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N:\FMS\CCH\2023 Data Input Workbooks\Revised DIW 10 13 2023\"/>
    </mc:Choice>
  </mc:AlternateContent>
  <xr:revisionPtr revIDLastSave="0" documentId="13_ncr:1_{18A267F1-309B-4100-96A5-23355D6D05A8}" xr6:coauthVersionLast="47" xr6:coauthVersionMax="47" xr10:uidLastSave="{00000000-0000-0000-0000-000000000000}"/>
  <bookViews>
    <workbookView xWindow="57480" yWindow="-120" windowWidth="29040" windowHeight="15840" tabRatio="817" xr2:uid="{00000000-000D-0000-FFFF-FFFF00000000}"/>
  </bookViews>
  <sheets>
    <sheet name="Instructions" sheetId="81" r:id="rId1"/>
    <sheet name="Unit Data from Audit Worksheet" sheetId="1" r:id="rId2"/>
    <sheet name="TD Info Completed by Auditor" sheetId="91" r:id="rId3"/>
    <sheet name="Performance  Indicators Print" sheetId="88" r:id="rId4"/>
    <sheet name="UAL" sheetId="75" state="hidden" r:id="rId5"/>
    <sheet name="Tax Reval Rate" sheetId="72" state="hidden" r:id="rId6"/>
    <sheet name="Import" sheetId="28" state="hidden" r:id="rId7"/>
    <sheet name="Performance Indicator FBA%" sheetId="93" r:id="rId8"/>
    <sheet name="RSS" sheetId="99" r:id="rId9"/>
    <sheet name="Electric trans" sheetId="89" r:id="rId10"/>
    <sheet name="PY1 Data(H)" sheetId="82" state="hidden" r:id="rId11"/>
    <sheet name="PY2 Data(H)" sheetId="84" state="hidden" r:id="rId12"/>
    <sheet name="Unit Names(H)" sheetId="29" state="hidden" r:id="rId13"/>
  </sheets>
  <externalReferences>
    <externalReference r:id="rId14"/>
  </externalReferences>
  <definedNames>
    <definedName name="_xlnm._FilterDatabase" localSheetId="5" hidden="1">'Tax Reval Rate'!$A$7:$E$107</definedName>
    <definedName name="Audit_Dtl">[1]Database!$AC$3:$AP$413</definedName>
    <definedName name="errorCount">#REF!</definedName>
    <definedName name="ppp">#REF!</definedName>
    <definedName name="_xlnm.Print_Area" localSheetId="0">Instructions!$B$1:$B$53</definedName>
    <definedName name="_xlnm.Print_Area" localSheetId="3">'Performance  Indicators Print'!$A$1:$H$46</definedName>
    <definedName name="_xlnm.Print_Area" localSheetId="2">'TD Info Completed by Auditor'!$A$1:$D$44</definedName>
    <definedName name="_xlnm.Print_Area" localSheetId="1">'Unit Data from Audit Worksheet'!$A$9:$F$267</definedName>
    <definedName name="Print_Selection_Auditor">#REF!</definedName>
    <definedName name="Print_Selection_Internal" localSheetId="9">#REF!</definedName>
    <definedName name="Print_Selection_Internal" localSheetId="3">#REF!</definedName>
    <definedName name="Print_Selection_Internal" localSheetId="7">#REF!</definedName>
    <definedName name="Print_Selection_Internal">#REF!</definedName>
    <definedName name="_xlnm.Print_Titles" localSheetId="3">'Performance  Indicators Print'!$3:$5</definedName>
    <definedName name="_xlnm.Print_Titles" localSheetId="1">'Unit Data from Audit Worksheet'!$5:$5</definedName>
    <definedName name="showError">#REF!</definedName>
    <definedName name="TD_IMPORT_RANGE" localSheetId="9">#REF!</definedName>
    <definedName name="TD_IMPORT_RANGE" localSheetId="0">#REF!</definedName>
    <definedName name="TD_IMPORT_RANGE" localSheetId="3">#REF!</definedName>
    <definedName name="TD_IMPORT_RANGE" localSheetId="7">#REF!</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7" i="1" l="1"/>
  <c r="D28" i="91"/>
  <c r="D29" i="91"/>
  <c r="D27" i="91"/>
  <c r="G13" i="88"/>
  <c r="C259" i="28" l="1"/>
  <c r="A259" i="28"/>
  <c r="E259" i="28"/>
  <c r="L259" i="28" s="1"/>
  <c r="E30" i="88" s="1"/>
  <c r="M30" i="88"/>
  <c r="N30" i="88" s="1"/>
  <c r="D31" i="91" s="1"/>
  <c r="L30" i="88"/>
  <c r="D18" i="91"/>
  <c r="D13" i="91"/>
  <c r="E219" i="28"/>
  <c r="E218" i="28"/>
  <c r="E231" i="28"/>
  <c r="CB280" i="82"/>
  <c r="CC280" i="82"/>
  <c r="CD280" i="82"/>
  <c r="CB276" i="82"/>
  <c r="CC276" i="82"/>
  <c r="CD276" i="82"/>
  <c r="CB277" i="82"/>
  <c r="CC277" i="82"/>
  <c r="CD277" i="82"/>
  <c r="CA309" i="84"/>
  <c r="CB309" i="84"/>
  <c r="CC309" i="84"/>
  <c r="CD309" i="84"/>
  <c r="CA310" i="84"/>
  <c r="CB310" i="84"/>
  <c r="CC310" i="84"/>
  <c r="CD310" i="84"/>
  <c r="G30" i="88" l="1"/>
  <c r="D276" i="82"/>
  <c r="E276" i="82"/>
  <c r="F276" i="82"/>
  <c r="G276" i="82"/>
  <c r="H276" i="82"/>
  <c r="I276" i="82"/>
  <c r="J276" i="82"/>
  <c r="K276" i="82"/>
  <c r="L276" i="82"/>
  <c r="M276" i="82"/>
  <c r="N276" i="82"/>
  <c r="O276" i="82"/>
  <c r="P276" i="82"/>
  <c r="Q276" i="82"/>
  <c r="R276" i="82"/>
  <c r="S276" i="82"/>
  <c r="T276" i="82"/>
  <c r="V276" i="82"/>
  <c r="W276" i="82"/>
  <c r="X276" i="82"/>
  <c r="Y276" i="82"/>
  <c r="Z276" i="82"/>
  <c r="AA276" i="82"/>
  <c r="AB276" i="82"/>
  <c r="AC276" i="82"/>
  <c r="AD276" i="82"/>
  <c r="AE276" i="82"/>
  <c r="AF276" i="82"/>
  <c r="AG276" i="82"/>
  <c r="AH276" i="82"/>
  <c r="AI276" i="82"/>
  <c r="AJ276" i="82"/>
  <c r="AK276" i="82"/>
  <c r="AL276" i="82"/>
  <c r="AM276" i="82"/>
  <c r="AN276" i="82"/>
  <c r="AO276" i="82"/>
  <c r="AP276" i="82"/>
  <c r="AQ276" i="82"/>
  <c r="AR276" i="82"/>
  <c r="AS276" i="82"/>
  <c r="AT276" i="82"/>
  <c r="AU276" i="82"/>
  <c r="AV276" i="82"/>
  <c r="AW276" i="82"/>
  <c r="AX276" i="82"/>
  <c r="AY276" i="82"/>
  <c r="AZ276" i="82"/>
  <c r="BA276" i="82"/>
  <c r="BB276" i="82"/>
  <c r="BC276" i="82"/>
  <c r="BD276" i="82"/>
  <c r="BE276" i="82"/>
  <c r="BF276" i="82"/>
  <c r="BG276" i="82"/>
  <c r="BH276" i="82"/>
  <c r="BI276" i="82"/>
  <c r="BJ276" i="82"/>
  <c r="BK276" i="82"/>
  <c r="BL276" i="82"/>
  <c r="BM276" i="82"/>
  <c r="BN276" i="82"/>
  <c r="BO276" i="82"/>
  <c r="BP276" i="82"/>
  <c r="BQ276" i="82"/>
  <c r="BR276" i="82"/>
  <c r="BS276" i="82"/>
  <c r="BT276" i="82"/>
  <c r="BU276" i="82"/>
  <c r="BV276" i="82"/>
  <c r="BW276" i="82"/>
  <c r="BX276" i="82"/>
  <c r="BY276" i="82"/>
  <c r="BZ276" i="82"/>
  <c r="D277" i="82"/>
  <c r="E277" i="82"/>
  <c r="F277" i="82"/>
  <c r="G277" i="82"/>
  <c r="H277" i="82"/>
  <c r="I277" i="82"/>
  <c r="J277" i="82"/>
  <c r="K277" i="82"/>
  <c r="L277" i="82"/>
  <c r="M277" i="82"/>
  <c r="N277" i="82"/>
  <c r="O277" i="82"/>
  <c r="P277" i="82"/>
  <c r="Q277" i="82"/>
  <c r="R277" i="82"/>
  <c r="S277" i="82"/>
  <c r="T277" i="82"/>
  <c r="U277" i="82"/>
  <c r="V277" i="82"/>
  <c r="W277" i="82"/>
  <c r="X277" i="82"/>
  <c r="Y277" i="82"/>
  <c r="Z277" i="82"/>
  <c r="AA277" i="82"/>
  <c r="AB277" i="82"/>
  <c r="AC277" i="82"/>
  <c r="AD277" i="82"/>
  <c r="AE277" i="82"/>
  <c r="AF277" i="82"/>
  <c r="AG277" i="82"/>
  <c r="AH277" i="82"/>
  <c r="AI277" i="82"/>
  <c r="AJ277" i="82"/>
  <c r="AK277" i="82"/>
  <c r="AL277" i="82"/>
  <c r="AM277" i="82"/>
  <c r="AN277" i="82"/>
  <c r="AO277" i="82"/>
  <c r="AP277" i="82"/>
  <c r="AQ277" i="82"/>
  <c r="AR277" i="82"/>
  <c r="AS277" i="82"/>
  <c r="AT277" i="82"/>
  <c r="AU277" i="82"/>
  <c r="AV277" i="82"/>
  <c r="AW277" i="82"/>
  <c r="AX277" i="82"/>
  <c r="AY277" i="82"/>
  <c r="AZ277" i="82"/>
  <c r="BA277" i="82"/>
  <c r="BB277" i="82"/>
  <c r="BC277" i="82"/>
  <c r="BD277" i="82"/>
  <c r="BE277" i="82"/>
  <c r="BF277" i="82"/>
  <c r="BG277" i="82"/>
  <c r="BH277" i="82"/>
  <c r="BI277" i="82"/>
  <c r="BJ277" i="82"/>
  <c r="BK277" i="82"/>
  <c r="BL277" i="82"/>
  <c r="BM277" i="82"/>
  <c r="BN277" i="82"/>
  <c r="BO277" i="82"/>
  <c r="BP277" i="82"/>
  <c r="BQ277" i="82"/>
  <c r="BR277" i="82"/>
  <c r="BS277" i="82"/>
  <c r="BT277" i="82"/>
  <c r="BU277" i="82"/>
  <c r="BV277" i="82"/>
  <c r="BW277" i="82"/>
  <c r="BX277" i="82"/>
  <c r="BY277" i="82"/>
  <c r="BZ277" i="82"/>
  <c r="D280" i="82"/>
  <c r="E280" i="82"/>
  <c r="F280" i="82"/>
  <c r="G280" i="82"/>
  <c r="H280" i="82"/>
  <c r="I280" i="82"/>
  <c r="J280" i="82"/>
  <c r="K280" i="82"/>
  <c r="L280" i="82"/>
  <c r="M280" i="82"/>
  <c r="N280" i="82"/>
  <c r="O280" i="82"/>
  <c r="P280" i="82"/>
  <c r="Q280" i="82"/>
  <c r="R280" i="82"/>
  <c r="S280" i="82"/>
  <c r="T280" i="82"/>
  <c r="U280" i="82"/>
  <c r="V280" i="82"/>
  <c r="W280" i="82"/>
  <c r="X280" i="82"/>
  <c r="Y280" i="82"/>
  <c r="Z280" i="82"/>
  <c r="AA280" i="82"/>
  <c r="AB280" i="82"/>
  <c r="AC280" i="82"/>
  <c r="AD280" i="82"/>
  <c r="AE280" i="82"/>
  <c r="AF280" i="82"/>
  <c r="AG280" i="82"/>
  <c r="AH280" i="82"/>
  <c r="AI280" i="82"/>
  <c r="AJ280" i="82"/>
  <c r="AK280" i="82"/>
  <c r="AL280" i="82"/>
  <c r="AM280" i="82"/>
  <c r="AN280" i="82"/>
  <c r="AO280" i="82"/>
  <c r="AP280" i="82"/>
  <c r="AQ280" i="82"/>
  <c r="AR280" i="82"/>
  <c r="AS280" i="82"/>
  <c r="AT280" i="82"/>
  <c r="AU280" i="82"/>
  <c r="AV280" i="82"/>
  <c r="AW280" i="82"/>
  <c r="AX280" i="82"/>
  <c r="AY280" i="82"/>
  <c r="AZ280" i="82"/>
  <c r="BA280" i="82"/>
  <c r="BB280" i="82"/>
  <c r="BC280" i="82"/>
  <c r="BD280" i="82"/>
  <c r="BE280" i="82"/>
  <c r="BF280" i="82"/>
  <c r="BG280" i="82"/>
  <c r="BH280" i="82"/>
  <c r="BI280" i="82"/>
  <c r="BJ280" i="82"/>
  <c r="BK280" i="82"/>
  <c r="BL280" i="82"/>
  <c r="BM280" i="82"/>
  <c r="BN280" i="82"/>
  <c r="BO280" i="82"/>
  <c r="BP280" i="82"/>
  <c r="BQ280" i="82"/>
  <c r="BR280" i="82"/>
  <c r="BS280" i="82"/>
  <c r="BT280" i="82"/>
  <c r="BU280" i="82"/>
  <c r="BV280" i="82"/>
  <c r="BW280" i="82"/>
  <c r="BX280" i="82"/>
  <c r="BY280" i="82"/>
  <c r="BZ280" i="82"/>
  <c r="L281" i="82"/>
  <c r="D285" i="82"/>
  <c r="E285" i="82"/>
  <c r="F285" i="82"/>
  <c r="G285" i="82"/>
  <c r="H285" i="82"/>
  <c r="I285" i="82"/>
  <c r="J285" i="82"/>
  <c r="K285" i="82"/>
  <c r="L285" i="82"/>
  <c r="M285" i="82"/>
  <c r="N285" i="82"/>
  <c r="O285" i="82"/>
  <c r="P285" i="82"/>
  <c r="Q285" i="82"/>
  <c r="R285" i="82"/>
  <c r="S285" i="82"/>
  <c r="T285" i="82"/>
  <c r="U285" i="82"/>
  <c r="V285" i="82"/>
  <c r="W285" i="82"/>
  <c r="X285" i="82"/>
  <c r="Y285" i="82"/>
  <c r="Z285" i="82"/>
  <c r="AA285" i="82"/>
  <c r="AB285" i="82"/>
  <c r="AC285" i="82"/>
  <c r="AD285" i="82"/>
  <c r="AE285" i="82"/>
  <c r="AF285" i="82"/>
  <c r="AG285" i="82"/>
  <c r="AH285" i="82"/>
  <c r="AI285" i="82"/>
  <c r="AJ285" i="82"/>
  <c r="AK285" i="82"/>
  <c r="AL285" i="82"/>
  <c r="AM285" i="82"/>
  <c r="AN285" i="82"/>
  <c r="AO285" i="82"/>
  <c r="AP285" i="82"/>
  <c r="AQ285" i="82"/>
  <c r="AR285" i="82"/>
  <c r="AS285" i="82"/>
  <c r="AT285" i="82"/>
  <c r="AU285" i="82"/>
  <c r="AV285" i="82"/>
  <c r="AW285" i="82"/>
  <c r="AX285" i="82"/>
  <c r="AY285" i="82"/>
  <c r="AZ285" i="82"/>
  <c r="BA285" i="82"/>
  <c r="BB285" i="82"/>
  <c r="BC285" i="82"/>
  <c r="BD285" i="82"/>
  <c r="BE285" i="82"/>
  <c r="BF285" i="82"/>
  <c r="BG285" i="82"/>
  <c r="BH285" i="82"/>
  <c r="BI285" i="82"/>
  <c r="BJ285" i="82"/>
  <c r="BK285" i="82"/>
  <c r="BL285" i="82"/>
  <c r="BM285" i="82"/>
  <c r="BN285" i="82"/>
  <c r="BO285" i="82"/>
  <c r="BP285" i="82"/>
  <c r="BQ285" i="82"/>
  <c r="BR285" i="82"/>
  <c r="BS285" i="82"/>
  <c r="BT285" i="82"/>
  <c r="BU285" i="82"/>
  <c r="BV285" i="82"/>
  <c r="BW285" i="82"/>
  <c r="BX285" i="82"/>
  <c r="BY285" i="82"/>
  <c r="BZ285" i="82"/>
  <c r="D286" i="82"/>
  <c r="E286" i="82"/>
  <c r="F286" i="82"/>
  <c r="G286" i="82"/>
  <c r="H286" i="82"/>
  <c r="I286" i="82"/>
  <c r="J286" i="82"/>
  <c r="K286" i="82"/>
  <c r="L286" i="82"/>
  <c r="M286" i="82"/>
  <c r="N286" i="82"/>
  <c r="O286" i="82"/>
  <c r="P286" i="82"/>
  <c r="Q286" i="82"/>
  <c r="R286" i="82"/>
  <c r="S286" i="82"/>
  <c r="T286" i="82"/>
  <c r="U286" i="82"/>
  <c r="V286" i="82"/>
  <c r="W286" i="82"/>
  <c r="X286" i="82"/>
  <c r="Y286" i="82"/>
  <c r="Z286" i="82"/>
  <c r="AA286" i="82"/>
  <c r="AB286" i="82"/>
  <c r="AC286" i="82"/>
  <c r="AD286" i="82"/>
  <c r="AE286" i="82"/>
  <c r="AF286" i="82"/>
  <c r="AG286" i="82"/>
  <c r="AH286" i="82"/>
  <c r="AI286" i="82"/>
  <c r="AJ286" i="82"/>
  <c r="AK286" i="82"/>
  <c r="AL286" i="82"/>
  <c r="AM286" i="82"/>
  <c r="AN286" i="82"/>
  <c r="AO286" i="82"/>
  <c r="AP286" i="82"/>
  <c r="AQ286" i="82"/>
  <c r="AR286" i="82"/>
  <c r="AS286" i="82"/>
  <c r="AT286" i="82"/>
  <c r="AU286" i="82"/>
  <c r="AV286" i="82"/>
  <c r="AW286" i="82"/>
  <c r="AX286" i="82"/>
  <c r="AY286" i="82"/>
  <c r="AZ286" i="82"/>
  <c r="BA286" i="82"/>
  <c r="BB286" i="82"/>
  <c r="BC286" i="82"/>
  <c r="BD286" i="82"/>
  <c r="BE286" i="82"/>
  <c r="BF286" i="82"/>
  <c r="BG286" i="82"/>
  <c r="BH286" i="82"/>
  <c r="BI286" i="82"/>
  <c r="BJ286" i="82"/>
  <c r="BK286" i="82"/>
  <c r="BL286" i="82"/>
  <c r="BM286" i="82"/>
  <c r="BN286" i="82"/>
  <c r="BO286" i="82"/>
  <c r="BP286" i="82"/>
  <c r="BQ286" i="82"/>
  <c r="BR286" i="82"/>
  <c r="BS286" i="82"/>
  <c r="BT286" i="82"/>
  <c r="BU286" i="82"/>
  <c r="BV286" i="82"/>
  <c r="BW286" i="82"/>
  <c r="BX286" i="82"/>
  <c r="BY286" i="82"/>
  <c r="BZ286" i="82"/>
  <c r="D287" i="82"/>
  <c r="E287" i="82"/>
  <c r="F287" i="82"/>
  <c r="G287" i="82"/>
  <c r="H287" i="82"/>
  <c r="I287" i="82"/>
  <c r="J287" i="82"/>
  <c r="K287" i="82"/>
  <c r="L287" i="82"/>
  <c r="M287" i="82"/>
  <c r="N287" i="82"/>
  <c r="O287" i="82"/>
  <c r="P287" i="82"/>
  <c r="Q287" i="82"/>
  <c r="R287" i="82"/>
  <c r="S287" i="82"/>
  <c r="T287" i="82"/>
  <c r="U287" i="82"/>
  <c r="V287" i="82"/>
  <c r="W287" i="82"/>
  <c r="X287" i="82"/>
  <c r="Y287" i="82"/>
  <c r="Z287" i="82"/>
  <c r="AA287" i="82"/>
  <c r="AB287" i="82"/>
  <c r="AC287" i="82"/>
  <c r="AD287" i="82"/>
  <c r="AE287" i="82"/>
  <c r="AF287" i="82"/>
  <c r="AG287" i="82"/>
  <c r="AH287" i="82"/>
  <c r="AI287" i="82"/>
  <c r="AJ287" i="82"/>
  <c r="AK287" i="82"/>
  <c r="AL287" i="82"/>
  <c r="AM287" i="82"/>
  <c r="AN287" i="82"/>
  <c r="AO287" i="82"/>
  <c r="AP287" i="82"/>
  <c r="AQ287" i="82"/>
  <c r="AR287" i="82"/>
  <c r="AS287" i="82"/>
  <c r="AT287" i="82"/>
  <c r="AU287" i="82"/>
  <c r="AV287" i="82"/>
  <c r="AW287" i="82"/>
  <c r="AX287" i="82"/>
  <c r="AY287" i="82"/>
  <c r="AZ287" i="82"/>
  <c r="BA287" i="82"/>
  <c r="BB287" i="82"/>
  <c r="BC287" i="82"/>
  <c r="BD287" i="82"/>
  <c r="BE287" i="82"/>
  <c r="BF287" i="82"/>
  <c r="BG287" i="82"/>
  <c r="BH287" i="82"/>
  <c r="BI287" i="82"/>
  <c r="BJ287" i="82"/>
  <c r="BK287" i="82"/>
  <c r="BL287" i="82"/>
  <c r="BM287" i="82"/>
  <c r="BN287" i="82"/>
  <c r="BO287" i="82"/>
  <c r="BP287" i="82"/>
  <c r="BQ287" i="82"/>
  <c r="BR287" i="82"/>
  <c r="BS287" i="82"/>
  <c r="BT287" i="82"/>
  <c r="BU287" i="82"/>
  <c r="BV287" i="82"/>
  <c r="BW287" i="82"/>
  <c r="BX287" i="82"/>
  <c r="BY287" i="82"/>
  <c r="BZ287" i="82"/>
  <c r="D288" i="82"/>
  <c r="E288" i="82"/>
  <c r="F288" i="82"/>
  <c r="G288" i="82"/>
  <c r="H288" i="82"/>
  <c r="I288" i="82"/>
  <c r="J288" i="82"/>
  <c r="K288" i="82"/>
  <c r="L288" i="82"/>
  <c r="M288" i="82"/>
  <c r="N288" i="82"/>
  <c r="O288" i="82"/>
  <c r="P288" i="82"/>
  <c r="Q288" i="82"/>
  <c r="R288" i="82"/>
  <c r="S288" i="82"/>
  <c r="T288" i="82"/>
  <c r="U288" i="82"/>
  <c r="V288" i="82"/>
  <c r="W288" i="82"/>
  <c r="X288" i="82"/>
  <c r="Y288" i="82"/>
  <c r="Z288" i="82"/>
  <c r="AA288" i="82"/>
  <c r="AB288" i="82"/>
  <c r="AC288" i="82"/>
  <c r="AD288" i="82"/>
  <c r="AE288" i="82"/>
  <c r="AF288" i="82"/>
  <c r="AG288" i="82"/>
  <c r="AH288" i="82"/>
  <c r="AI288" i="82"/>
  <c r="AJ288" i="82"/>
  <c r="AK288" i="82"/>
  <c r="AL288" i="82"/>
  <c r="AM288" i="82"/>
  <c r="AN288" i="82"/>
  <c r="AO288" i="82"/>
  <c r="AP288" i="82"/>
  <c r="AQ288" i="82"/>
  <c r="AR288" i="82"/>
  <c r="AS288" i="82"/>
  <c r="AT288" i="82"/>
  <c r="AU288" i="82"/>
  <c r="AV288" i="82"/>
  <c r="AW288" i="82"/>
  <c r="AX288" i="82"/>
  <c r="AY288" i="82"/>
  <c r="AZ288" i="82"/>
  <c r="BA288" i="82"/>
  <c r="BB288" i="82"/>
  <c r="BC288" i="82"/>
  <c r="BD288" i="82"/>
  <c r="BE288" i="82"/>
  <c r="BF288" i="82"/>
  <c r="BG288" i="82"/>
  <c r="BH288" i="82"/>
  <c r="BI288" i="82"/>
  <c r="BJ288" i="82"/>
  <c r="BK288" i="82"/>
  <c r="BL288" i="82"/>
  <c r="BM288" i="82"/>
  <c r="BN288" i="82"/>
  <c r="BO288" i="82"/>
  <c r="BP288" i="82"/>
  <c r="BQ288" i="82"/>
  <c r="BR288" i="82"/>
  <c r="BS288" i="82"/>
  <c r="BT288" i="82"/>
  <c r="BU288" i="82"/>
  <c r="BV288" i="82"/>
  <c r="BW288" i="82"/>
  <c r="BX288" i="82"/>
  <c r="BY288" i="82"/>
  <c r="BZ288" i="82"/>
  <c r="D289" i="82"/>
  <c r="E289" i="82"/>
  <c r="F289" i="82"/>
  <c r="G289" i="82"/>
  <c r="H289" i="82"/>
  <c r="I289" i="82"/>
  <c r="J289" i="82"/>
  <c r="K289" i="82"/>
  <c r="L289" i="82"/>
  <c r="M289" i="82"/>
  <c r="N289" i="82"/>
  <c r="O289" i="82"/>
  <c r="P289" i="82"/>
  <c r="Q289" i="82"/>
  <c r="R289" i="82"/>
  <c r="S289" i="82"/>
  <c r="T289" i="82"/>
  <c r="U289" i="82"/>
  <c r="V289" i="82"/>
  <c r="W289" i="82"/>
  <c r="X289" i="82"/>
  <c r="Y289" i="82"/>
  <c r="Z289" i="82"/>
  <c r="AA289" i="82"/>
  <c r="AB289" i="82"/>
  <c r="AC289" i="82"/>
  <c r="AD289" i="82"/>
  <c r="AE289" i="82"/>
  <c r="AF289" i="82"/>
  <c r="AG289" i="82"/>
  <c r="AH289" i="82"/>
  <c r="AI289" i="82"/>
  <c r="AJ289" i="82"/>
  <c r="AK289" i="82"/>
  <c r="AL289" i="82"/>
  <c r="AM289" i="82"/>
  <c r="AN289" i="82"/>
  <c r="AO289" i="82"/>
  <c r="AP289" i="82"/>
  <c r="AQ289" i="82"/>
  <c r="AR289" i="82"/>
  <c r="AS289" i="82"/>
  <c r="AT289" i="82"/>
  <c r="AU289" i="82"/>
  <c r="AV289" i="82"/>
  <c r="AW289" i="82"/>
  <c r="AX289" i="82"/>
  <c r="AY289" i="82"/>
  <c r="AZ289" i="82"/>
  <c r="BA289" i="82"/>
  <c r="BB289" i="82"/>
  <c r="BC289" i="82"/>
  <c r="BD289" i="82"/>
  <c r="BE289" i="82"/>
  <c r="BF289" i="82"/>
  <c r="BG289" i="82"/>
  <c r="BH289" i="82"/>
  <c r="BI289" i="82"/>
  <c r="BJ289" i="82"/>
  <c r="BK289" i="82"/>
  <c r="BL289" i="82"/>
  <c r="BM289" i="82"/>
  <c r="BN289" i="82"/>
  <c r="BO289" i="82"/>
  <c r="BP289" i="82"/>
  <c r="BQ289" i="82"/>
  <c r="BR289" i="82"/>
  <c r="BS289" i="82"/>
  <c r="BT289" i="82"/>
  <c r="BU289" i="82"/>
  <c r="BV289" i="82"/>
  <c r="BW289" i="82"/>
  <c r="BX289" i="82"/>
  <c r="BY289" i="82"/>
  <c r="BZ289" i="82"/>
  <c r="D290" i="82"/>
  <c r="E290" i="82"/>
  <c r="F290" i="82"/>
  <c r="G290" i="82"/>
  <c r="H290" i="82"/>
  <c r="I290" i="82"/>
  <c r="J290" i="82"/>
  <c r="K290" i="82"/>
  <c r="L290" i="82"/>
  <c r="M290" i="82"/>
  <c r="N290" i="82"/>
  <c r="O290" i="82"/>
  <c r="P290" i="82"/>
  <c r="Q290" i="82"/>
  <c r="R290" i="82"/>
  <c r="S290" i="82"/>
  <c r="T290" i="82"/>
  <c r="U290" i="82"/>
  <c r="V290" i="82"/>
  <c r="W290" i="82"/>
  <c r="X290" i="82"/>
  <c r="Y290" i="82"/>
  <c r="Z290" i="82"/>
  <c r="AA290" i="82"/>
  <c r="AB290" i="82"/>
  <c r="AC290" i="82"/>
  <c r="AD290" i="82"/>
  <c r="AE290" i="82"/>
  <c r="AF290" i="82"/>
  <c r="AG290" i="82"/>
  <c r="AH290" i="82"/>
  <c r="AI290" i="82"/>
  <c r="AJ290" i="82"/>
  <c r="AK290" i="82"/>
  <c r="AL290" i="82"/>
  <c r="AM290" i="82"/>
  <c r="AN290" i="82"/>
  <c r="AO290" i="82"/>
  <c r="AP290" i="82"/>
  <c r="AQ290" i="82"/>
  <c r="AR290" i="82"/>
  <c r="AS290" i="82"/>
  <c r="AT290" i="82"/>
  <c r="AU290" i="82"/>
  <c r="AV290" i="82"/>
  <c r="AW290" i="82"/>
  <c r="AX290" i="82"/>
  <c r="AY290" i="82"/>
  <c r="AZ290" i="82"/>
  <c r="BA290" i="82"/>
  <c r="BB290" i="82"/>
  <c r="BC290" i="82"/>
  <c r="BD290" i="82"/>
  <c r="BE290" i="82"/>
  <c r="BF290" i="82"/>
  <c r="BG290" i="82"/>
  <c r="BH290" i="82"/>
  <c r="BI290" i="82"/>
  <c r="BJ290" i="82"/>
  <c r="BK290" i="82"/>
  <c r="BL290" i="82"/>
  <c r="BM290" i="82"/>
  <c r="BN290" i="82"/>
  <c r="BO290" i="82"/>
  <c r="BP290" i="82"/>
  <c r="BQ290" i="82"/>
  <c r="BR290" i="82"/>
  <c r="BS290" i="82"/>
  <c r="BT290" i="82"/>
  <c r="BU290" i="82"/>
  <c r="BV290" i="82"/>
  <c r="BW290" i="82"/>
  <c r="BX290" i="82"/>
  <c r="BY290" i="82"/>
  <c r="BZ290" i="82"/>
  <c r="D291" i="82"/>
  <c r="E291" i="82"/>
  <c r="F291" i="82"/>
  <c r="G291" i="82"/>
  <c r="H291" i="82"/>
  <c r="I291" i="82"/>
  <c r="J291" i="82"/>
  <c r="K291" i="82"/>
  <c r="L291" i="82"/>
  <c r="M291" i="82"/>
  <c r="N291" i="82"/>
  <c r="O291" i="82"/>
  <c r="P291" i="82"/>
  <c r="Q291" i="82"/>
  <c r="R291" i="82"/>
  <c r="S291" i="82"/>
  <c r="T291" i="82"/>
  <c r="U291" i="82"/>
  <c r="V291" i="82"/>
  <c r="W291" i="82"/>
  <c r="X291" i="82"/>
  <c r="Y291" i="82"/>
  <c r="Z291" i="82"/>
  <c r="AA291" i="82"/>
  <c r="AB291" i="82"/>
  <c r="AC291" i="82"/>
  <c r="AD291" i="82"/>
  <c r="AE291" i="82"/>
  <c r="AF291" i="82"/>
  <c r="AG291" i="82"/>
  <c r="AH291" i="82"/>
  <c r="AI291" i="82"/>
  <c r="AJ291" i="82"/>
  <c r="AK291" i="82"/>
  <c r="AL291" i="82"/>
  <c r="AM291" i="82"/>
  <c r="AN291" i="82"/>
  <c r="AO291" i="82"/>
  <c r="AP291" i="82"/>
  <c r="AQ291" i="82"/>
  <c r="AR291" i="82"/>
  <c r="AS291" i="82"/>
  <c r="AT291" i="82"/>
  <c r="AU291" i="82"/>
  <c r="AV291" i="82"/>
  <c r="AW291" i="82"/>
  <c r="AX291" i="82"/>
  <c r="AY291" i="82"/>
  <c r="AZ291" i="82"/>
  <c r="BA291" i="82"/>
  <c r="BB291" i="82"/>
  <c r="BC291" i="82"/>
  <c r="BD291" i="82"/>
  <c r="BE291" i="82"/>
  <c r="BF291" i="82"/>
  <c r="BG291" i="82"/>
  <c r="BH291" i="82"/>
  <c r="BI291" i="82"/>
  <c r="BJ291" i="82"/>
  <c r="BK291" i="82"/>
  <c r="BL291" i="82"/>
  <c r="BM291" i="82"/>
  <c r="BN291" i="82"/>
  <c r="BO291" i="82"/>
  <c r="BP291" i="82"/>
  <c r="BQ291" i="82"/>
  <c r="BR291" i="82"/>
  <c r="BS291" i="82"/>
  <c r="BT291" i="82"/>
  <c r="BU291" i="82"/>
  <c r="BV291" i="82"/>
  <c r="BW291" i="82"/>
  <c r="BX291" i="82"/>
  <c r="BY291" i="82"/>
  <c r="BZ291" i="82"/>
  <c r="D292" i="82"/>
  <c r="E292" i="82"/>
  <c r="F292" i="82"/>
  <c r="G292" i="82"/>
  <c r="H292" i="82"/>
  <c r="I292" i="82"/>
  <c r="J292" i="82"/>
  <c r="K292" i="82"/>
  <c r="L292" i="82"/>
  <c r="M292" i="82"/>
  <c r="N292" i="82"/>
  <c r="O292" i="82"/>
  <c r="P292" i="82"/>
  <c r="Q292" i="82"/>
  <c r="R292" i="82"/>
  <c r="S292" i="82"/>
  <c r="T292" i="82"/>
  <c r="U292" i="82"/>
  <c r="V292" i="82"/>
  <c r="W292" i="82"/>
  <c r="X292" i="82"/>
  <c r="Y292" i="82"/>
  <c r="Z292" i="82"/>
  <c r="AA292" i="82"/>
  <c r="AB292" i="82"/>
  <c r="AC292" i="82"/>
  <c r="AD292" i="82"/>
  <c r="AE292" i="82"/>
  <c r="AF292" i="82"/>
  <c r="AG292" i="82"/>
  <c r="AH292" i="82"/>
  <c r="AI292" i="82"/>
  <c r="AJ292" i="82"/>
  <c r="AK292" i="82"/>
  <c r="AL292" i="82"/>
  <c r="AM292" i="82"/>
  <c r="AN292" i="82"/>
  <c r="AO292" i="82"/>
  <c r="AP292" i="82"/>
  <c r="AQ292" i="82"/>
  <c r="AR292" i="82"/>
  <c r="AS292" i="82"/>
  <c r="AT292" i="82"/>
  <c r="AU292" i="82"/>
  <c r="AV292" i="82"/>
  <c r="AW292" i="82"/>
  <c r="AX292" i="82"/>
  <c r="AY292" i="82"/>
  <c r="AZ292" i="82"/>
  <c r="BA292" i="82"/>
  <c r="BB292" i="82"/>
  <c r="BC292" i="82"/>
  <c r="BD292" i="82"/>
  <c r="BE292" i="82"/>
  <c r="BF292" i="82"/>
  <c r="BG292" i="82"/>
  <c r="BH292" i="82"/>
  <c r="BI292" i="82"/>
  <c r="BJ292" i="82"/>
  <c r="BK292" i="82"/>
  <c r="BL292" i="82"/>
  <c r="BM292" i="82"/>
  <c r="BN292" i="82"/>
  <c r="BO292" i="82"/>
  <c r="BP292" i="82"/>
  <c r="BQ292" i="82"/>
  <c r="BR292" i="82"/>
  <c r="BS292" i="82"/>
  <c r="BT292" i="82"/>
  <c r="BU292" i="82"/>
  <c r="BV292" i="82"/>
  <c r="BW292" i="82"/>
  <c r="BX292" i="82"/>
  <c r="BY292" i="82"/>
  <c r="BZ292" i="82"/>
  <c r="D293" i="82"/>
  <c r="E293" i="82"/>
  <c r="F293" i="82"/>
  <c r="G293" i="82"/>
  <c r="H293" i="82"/>
  <c r="I293" i="82"/>
  <c r="J293" i="82"/>
  <c r="K293" i="82"/>
  <c r="L293" i="82"/>
  <c r="M293" i="82"/>
  <c r="N293" i="82"/>
  <c r="O293" i="82"/>
  <c r="P293" i="82"/>
  <c r="Q293" i="82"/>
  <c r="R293" i="82"/>
  <c r="S293" i="82"/>
  <c r="T293" i="82"/>
  <c r="U293" i="82"/>
  <c r="V293" i="82"/>
  <c r="W293" i="82"/>
  <c r="X293" i="82"/>
  <c r="Y293" i="82"/>
  <c r="Z293" i="82"/>
  <c r="AA293" i="82"/>
  <c r="AB293" i="82"/>
  <c r="AC293" i="82"/>
  <c r="AD293" i="82"/>
  <c r="AE293" i="82"/>
  <c r="AF293" i="82"/>
  <c r="AG293" i="82"/>
  <c r="AH293" i="82"/>
  <c r="AI293" i="82"/>
  <c r="AJ293" i="82"/>
  <c r="AK293" i="82"/>
  <c r="AL293" i="82"/>
  <c r="AM293" i="82"/>
  <c r="AN293" i="82"/>
  <c r="AO293" i="82"/>
  <c r="AP293" i="82"/>
  <c r="AQ293" i="82"/>
  <c r="AR293" i="82"/>
  <c r="AS293" i="82"/>
  <c r="AT293" i="82"/>
  <c r="AU293" i="82"/>
  <c r="AV293" i="82"/>
  <c r="AW293" i="82"/>
  <c r="AX293" i="82"/>
  <c r="AY293" i="82"/>
  <c r="AZ293" i="82"/>
  <c r="BA293" i="82"/>
  <c r="BB293" i="82"/>
  <c r="BC293" i="82"/>
  <c r="BD293" i="82"/>
  <c r="BE293" i="82"/>
  <c r="BF293" i="82"/>
  <c r="BG293" i="82"/>
  <c r="BH293" i="82"/>
  <c r="BI293" i="82"/>
  <c r="BJ293" i="82"/>
  <c r="BK293" i="82"/>
  <c r="BL293" i="82"/>
  <c r="BM293" i="82"/>
  <c r="BN293" i="82"/>
  <c r="BO293" i="82"/>
  <c r="BP293" i="82"/>
  <c r="BQ293" i="82"/>
  <c r="BR293" i="82"/>
  <c r="BS293" i="82"/>
  <c r="BT293" i="82"/>
  <c r="BU293" i="82"/>
  <c r="BV293" i="82"/>
  <c r="BW293" i="82"/>
  <c r="BX293" i="82"/>
  <c r="BY293" i="82"/>
  <c r="BZ293" i="82"/>
  <c r="D294" i="82"/>
  <c r="E294" i="82"/>
  <c r="F294" i="82"/>
  <c r="G294" i="82"/>
  <c r="H294" i="82"/>
  <c r="I294" i="82"/>
  <c r="J294" i="82"/>
  <c r="K294" i="82"/>
  <c r="L294" i="82"/>
  <c r="M294" i="82"/>
  <c r="N294" i="82"/>
  <c r="O294" i="82"/>
  <c r="P294" i="82"/>
  <c r="Q294" i="82"/>
  <c r="R294" i="82"/>
  <c r="S294" i="82"/>
  <c r="T294" i="82"/>
  <c r="U294" i="82"/>
  <c r="V294" i="82"/>
  <c r="W294" i="82"/>
  <c r="X294" i="82"/>
  <c r="Y294" i="82"/>
  <c r="Z294" i="82"/>
  <c r="AA294" i="82"/>
  <c r="AB294" i="82"/>
  <c r="AC294" i="82"/>
  <c r="AD294" i="82"/>
  <c r="AE294" i="82"/>
  <c r="AF294" i="82"/>
  <c r="AG294" i="82"/>
  <c r="AH294" i="82"/>
  <c r="AI294" i="82"/>
  <c r="AJ294" i="82"/>
  <c r="AK294" i="82"/>
  <c r="AL294" i="82"/>
  <c r="AM294" i="82"/>
  <c r="AN294" i="82"/>
  <c r="AO294" i="82"/>
  <c r="AP294" i="82"/>
  <c r="AQ294" i="82"/>
  <c r="AR294" i="82"/>
  <c r="AS294" i="82"/>
  <c r="AT294" i="82"/>
  <c r="AU294" i="82"/>
  <c r="AV294" i="82"/>
  <c r="AW294" i="82"/>
  <c r="AX294" i="82"/>
  <c r="AY294" i="82"/>
  <c r="AZ294" i="82"/>
  <c r="BA294" i="82"/>
  <c r="BB294" i="82"/>
  <c r="BC294" i="82"/>
  <c r="BD294" i="82"/>
  <c r="BE294" i="82"/>
  <c r="BF294" i="82"/>
  <c r="BG294" i="82"/>
  <c r="BH294" i="82"/>
  <c r="BI294" i="82"/>
  <c r="BJ294" i="82"/>
  <c r="BK294" i="82"/>
  <c r="BL294" i="82"/>
  <c r="BM294" i="82"/>
  <c r="BN294" i="82"/>
  <c r="BO294" i="82"/>
  <c r="BP294" i="82"/>
  <c r="BQ294" i="82"/>
  <c r="BR294" i="82"/>
  <c r="BS294" i="82"/>
  <c r="BT294" i="82"/>
  <c r="BU294" i="82"/>
  <c r="BV294" i="82"/>
  <c r="BW294" i="82"/>
  <c r="BX294" i="82"/>
  <c r="BY294" i="82"/>
  <c r="BZ294" i="82"/>
  <c r="D295" i="82"/>
  <c r="E295" i="82"/>
  <c r="F295" i="82"/>
  <c r="G295" i="82"/>
  <c r="H295" i="82"/>
  <c r="I295" i="82"/>
  <c r="J295" i="82"/>
  <c r="K295" i="82"/>
  <c r="L295" i="82"/>
  <c r="M295" i="82"/>
  <c r="N295" i="82"/>
  <c r="O295" i="82"/>
  <c r="P295" i="82"/>
  <c r="Q295" i="82"/>
  <c r="R295" i="82"/>
  <c r="S295" i="82"/>
  <c r="T295" i="82"/>
  <c r="U295" i="82"/>
  <c r="V295" i="82"/>
  <c r="W295" i="82"/>
  <c r="X295" i="82"/>
  <c r="Y295" i="82"/>
  <c r="Z295" i="82"/>
  <c r="AA295" i="82"/>
  <c r="AB295" i="82"/>
  <c r="AC295" i="82"/>
  <c r="AD295" i="82"/>
  <c r="AE295" i="82"/>
  <c r="AF295" i="82"/>
  <c r="AG295" i="82"/>
  <c r="AH295" i="82"/>
  <c r="AI295" i="82"/>
  <c r="AJ295" i="82"/>
  <c r="AK295" i="82"/>
  <c r="AL295" i="82"/>
  <c r="AM295" i="82"/>
  <c r="AN295" i="82"/>
  <c r="AO295" i="82"/>
  <c r="AP295" i="82"/>
  <c r="AQ295" i="82"/>
  <c r="AR295" i="82"/>
  <c r="AS295" i="82"/>
  <c r="AT295" i="82"/>
  <c r="AU295" i="82"/>
  <c r="AV295" i="82"/>
  <c r="AW295" i="82"/>
  <c r="AX295" i="82"/>
  <c r="AY295" i="82"/>
  <c r="AZ295" i="82"/>
  <c r="BA295" i="82"/>
  <c r="BB295" i="82"/>
  <c r="BC295" i="82"/>
  <c r="BD295" i="82"/>
  <c r="BE295" i="82"/>
  <c r="BF295" i="82"/>
  <c r="BG295" i="82"/>
  <c r="BH295" i="82"/>
  <c r="BI295" i="82"/>
  <c r="BJ295" i="82"/>
  <c r="BK295" i="82"/>
  <c r="BL295" i="82"/>
  <c r="BM295" i="82"/>
  <c r="BN295" i="82"/>
  <c r="BO295" i="82"/>
  <c r="BP295" i="82"/>
  <c r="BQ295" i="82"/>
  <c r="BR295" i="82"/>
  <c r="BS295" i="82"/>
  <c r="BT295" i="82"/>
  <c r="BU295" i="82"/>
  <c r="BV295" i="82"/>
  <c r="BW295" i="82"/>
  <c r="BX295" i="82"/>
  <c r="BY295" i="82"/>
  <c r="BZ295" i="82"/>
  <c r="D296" i="82"/>
  <c r="E296" i="82"/>
  <c r="F296" i="82"/>
  <c r="G296" i="82"/>
  <c r="H296" i="82"/>
  <c r="I296" i="82"/>
  <c r="J296" i="82"/>
  <c r="K296" i="82"/>
  <c r="L296" i="82"/>
  <c r="M296" i="82"/>
  <c r="N296" i="82"/>
  <c r="O296" i="82"/>
  <c r="P296" i="82"/>
  <c r="Q296" i="82"/>
  <c r="R296" i="82"/>
  <c r="S296" i="82"/>
  <c r="T296" i="82"/>
  <c r="U296" i="82"/>
  <c r="V296" i="82"/>
  <c r="W296" i="82"/>
  <c r="X296" i="82"/>
  <c r="Y296" i="82"/>
  <c r="Z296" i="82"/>
  <c r="AA296" i="82"/>
  <c r="AB296" i="82"/>
  <c r="AC296" i="82"/>
  <c r="AD296" i="82"/>
  <c r="AE296" i="82"/>
  <c r="AF296" i="82"/>
  <c r="AG296" i="82"/>
  <c r="AH296" i="82"/>
  <c r="AI296" i="82"/>
  <c r="AJ296" i="82"/>
  <c r="AK296" i="82"/>
  <c r="AL296" i="82"/>
  <c r="AM296" i="82"/>
  <c r="AN296" i="82"/>
  <c r="AO296" i="82"/>
  <c r="AP296" i="82"/>
  <c r="AQ296" i="82"/>
  <c r="AR296" i="82"/>
  <c r="AS296" i="82"/>
  <c r="AT296" i="82"/>
  <c r="AU296" i="82"/>
  <c r="AV296" i="82"/>
  <c r="AW296" i="82"/>
  <c r="AX296" i="82"/>
  <c r="AY296" i="82"/>
  <c r="AZ296" i="82"/>
  <c r="BA296" i="82"/>
  <c r="BB296" i="82"/>
  <c r="BC296" i="82"/>
  <c r="BD296" i="82"/>
  <c r="BE296" i="82"/>
  <c r="BF296" i="82"/>
  <c r="BG296" i="82"/>
  <c r="BH296" i="82"/>
  <c r="BI296" i="82"/>
  <c r="BJ296" i="82"/>
  <c r="BK296" i="82"/>
  <c r="BL296" i="82"/>
  <c r="BM296" i="82"/>
  <c r="BN296" i="82"/>
  <c r="BO296" i="82"/>
  <c r="BP296" i="82"/>
  <c r="BQ296" i="82"/>
  <c r="BR296" i="82"/>
  <c r="BS296" i="82"/>
  <c r="BT296" i="82"/>
  <c r="BU296" i="82"/>
  <c r="BV296" i="82"/>
  <c r="BW296" i="82"/>
  <c r="BX296" i="82"/>
  <c r="BY296" i="82"/>
  <c r="BZ296" i="82"/>
  <c r="D297" i="82"/>
  <c r="E297" i="82"/>
  <c r="F297" i="82"/>
  <c r="G297" i="82"/>
  <c r="H297" i="82"/>
  <c r="I297" i="82"/>
  <c r="J297" i="82"/>
  <c r="K297" i="82"/>
  <c r="L297" i="82"/>
  <c r="M297" i="82"/>
  <c r="N297" i="82"/>
  <c r="O297" i="82"/>
  <c r="P297" i="82"/>
  <c r="Q297" i="82"/>
  <c r="R297" i="82"/>
  <c r="S297" i="82"/>
  <c r="T297" i="82"/>
  <c r="U297" i="82"/>
  <c r="V297" i="82"/>
  <c r="W297" i="82"/>
  <c r="X297" i="82"/>
  <c r="Y297" i="82"/>
  <c r="Z297" i="82"/>
  <c r="AA297" i="82"/>
  <c r="AB297" i="82"/>
  <c r="AC297" i="82"/>
  <c r="AD297" i="82"/>
  <c r="AE297" i="82"/>
  <c r="AF297" i="82"/>
  <c r="AG297" i="82"/>
  <c r="AH297" i="82"/>
  <c r="AI297" i="82"/>
  <c r="AJ297" i="82"/>
  <c r="AK297" i="82"/>
  <c r="AL297" i="82"/>
  <c r="AM297" i="82"/>
  <c r="AN297" i="82"/>
  <c r="AO297" i="82"/>
  <c r="AP297" i="82"/>
  <c r="AQ297" i="82"/>
  <c r="AR297" i="82"/>
  <c r="AS297" i="82"/>
  <c r="AT297" i="82"/>
  <c r="AU297" i="82"/>
  <c r="AV297" i="82"/>
  <c r="AW297" i="82"/>
  <c r="AX297" i="82"/>
  <c r="AY297" i="82"/>
  <c r="AZ297" i="82"/>
  <c r="BA297" i="82"/>
  <c r="BB297" i="82"/>
  <c r="BC297" i="82"/>
  <c r="BD297" i="82"/>
  <c r="BE297" i="82"/>
  <c r="BF297" i="82"/>
  <c r="BG297" i="82"/>
  <c r="BH297" i="82"/>
  <c r="BI297" i="82"/>
  <c r="BJ297" i="82"/>
  <c r="BK297" i="82"/>
  <c r="BL297" i="82"/>
  <c r="BM297" i="82"/>
  <c r="BN297" i="82"/>
  <c r="BO297" i="82"/>
  <c r="BP297" i="82"/>
  <c r="BQ297" i="82"/>
  <c r="BR297" i="82"/>
  <c r="BS297" i="82"/>
  <c r="BT297" i="82"/>
  <c r="BU297" i="82"/>
  <c r="BV297" i="82"/>
  <c r="BW297" i="82"/>
  <c r="BX297" i="82"/>
  <c r="BY297" i="82"/>
  <c r="BZ297" i="82"/>
  <c r="D298" i="82"/>
  <c r="E298" i="82"/>
  <c r="F298" i="82"/>
  <c r="G298" i="82"/>
  <c r="H298" i="82"/>
  <c r="I298" i="82"/>
  <c r="J298" i="82"/>
  <c r="K298" i="82"/>
  <c r="L298" i="82"/>
  <c r="M298" i="82"/>
  <c r="N298" i="82"/>
  <c r="O298" i="82"/>
  <c r="P298" i="82"/>
  <c r="Q298" i="82"/>
  <c r="R298" i="82"/>
  <c r="S298" i="82"/>
  <c r="T298" i="82"/>
  <c r="U298" i="82"/>
  <c r="V298" i="82"/>
  <c r="W298" i="82"/>
  <c r="X298" i="82"/>
  <c r="Y298" i="82"/>
  <c r="Z298" i="82"/>
  <c r="AA298" i="82"/>
  <c r="AB298" i="82"/>
  <c r="AC298" i="82"/>
  <c r="AD298" i="82"/>
  <c r="AE298" i="82"/>
  <c r="AF298" i="82"/>
  <c r="AG298" i="82"/>
  <c r="AH298" i="82"/>
  <c r="AI298" i="82"/>
  <c r="AJ298" i="82"/>
  <c r="AK298" i="82"/>
  <c r="AL298" i="82"/>
  <c r="AM298" i="82"/>
  <c r="AN298" i="82"/>
  <c r="AO298" i="82"/>
  <c r="AP298" i="82"/>
  <c r="AQ298" i="82"/>
  <c r="AR298" i="82"/>
  <c r="AS298" i="82"/>
  <c r="AT298" i="82"/>
  <c r="AU298" i="82"/>
  <c r="AV298" i="82"/>
  <c r="AW298" i="82"/>
  <c r="AX298" i="82"/>
  <c r="AY298" i="82"/>
  <c r="AZ298" i="82"/>
  <c r="BA298" i="82"/>
  <c r="BB298" i="82"/>
  <c r="BC298" i="82"/>
  <c r="BD298" i="82"/>
  <c r="BE298" i="82"/>
  <c r="BF298" i="82"/>
  <c r="BG298" i="82"/>
  <c r="BH298" i="82"/>
  <c r="BI298" i="82"/>
  <c r="BJ298" i="82"/>
  <c r="BK298" i="82"/>
  <c r="BL298" i="82"/>
  <c r="BM298" i="82"/>
  <c r="BN298" i="82"/>
  <c r="BO298" i="82"/>
  <c r="BP298" i="82"/>
  <c r="BQ298" i="82"/>
  <c r="BR298" i="82"/>
  <c r="BS298" i="82"/>
  <c r="BT298" i="82"/>
  <c r="BU298" i="82"/>
  <c r="BV298" i="82"/>
  <c r="BW298" i="82"/>
  <c r="BX298" i="82"/>
  <c r="BY298" i="82"/>
  <c r="BZ298" i="82"/>
  <c r="D299" i="82"/>
  <c r="E299" i="82"/>
  <c r="F299" i="82"/>
  <c r="G299" i="82"/>
  <c r="H299" i="82"/>
  <c r="I299" i="82"/>
  <c r="J299" i="82"/>
  <c r="K299" i="82"/>
  <c r="L299" i="82"/>
  <c r="M299" i="82"/>
  <c r="N299" i="82"/>
  <c r="O299" i="82"/>
  <c r="P299" i="82"/>
  <c r="Q299" i="82"/>
  <c r="R299" i="82"/>
  <c r="S299" i="82"/>
  <c r="T299" i="82"/>
  <c r="U299" i="82"/>
  <c r="V299" i="82"/>
  <c r="W299" i="82"/>
  <c r="X299" i="82"/>
  <c r="Y299" i="82"/>
  <c r="Z299" i="82"/>
  <c r="AA299" i="82"/>
  <c r="AB299" i="82"/>
  <c r="AC299" i="82"/>
  <c r="AD299" i="82"/>
  <c r="AE299" i="82"/>
  <c r="AF299" i="82"/>
  <c r="AG299" i="82"/>
  <c r="AH299" i="82"/>
  <c r="AI299" i="82"/>
  <c r="AJ299" i="82"/>
  <c r="AK299" i="82"/>
  <c r="AL299" i="82"/>
  <c r="AM299" i="82"/>
  <c r="AN299" i="82"/>
  <c r="AO299" i="82"/>
  <c r="AP299" i="82"/>
  <c r="AQ299" i="82"/>
  <c r="AR299" i="82"/>
  <c r="AS299" i="82"/>
  <c r="AT299" i="82"/>
  <c r="AU299" i="82"/>
  <c r="AV299" i="82"/>
  <c r="AW299" i="82"/>
  <c r="AX299" i="82"/>
  <c r="AY299" i="82"/>
  <c r="AZ299" i="82"/>
  <c r="BA299" i="82"/>
  <c r="BB299" i="82"/>
  <c r="BC299" i="82"/>
  <c r="BD299" i="82"/>
  <c r="BE299" i="82"/>
  <c r="BF299" i="82"/>
  <c r="BG299" i="82"/>
  <c r="BH299" i="82"/>
  <c r="BI299" i="82"/>
  <c r="BJ299" i="82"/>
  <c r="BK299" i="82"/>
  <c r="BL299" i="82"/>
  <c r="BM299" i="82"/>
  <c r="BN299" i="82"/>
  <c r="BO299" i="82"/>
  <c r="BP299" i="82"/>
  <c r="BQ299" i="82"/>
  <c r="BR299" i="82"/>
  <c r="BS299" i="82"/>
  <c r="BT299" i="82"/>
  <c r="BU299" i="82"/>
  <c r="BV299" i="82"/>
  <c r="BW299" i="82"/>
  <c r="BX299" i="82"/>
  <c r="BY299" i="82"/>
  <c r="BZ299" i="82"/>
  <c r="D300" i="82"/>
  <c r="E300" i="82"/>
  <c r="F300" i="82"/>
  <c r="G300" i="82"/>
  <c r="H300" i="82"/>
  <c r="I300" i="82"/>
  <c r="J300" i="82"/>
  <c r="K300" i="82"/>
  <c r="L300" i="82"/>
  <c r="M300" i="82"/>
  <c r="N300" i="82"/>
  <c r="O300" i="82"/>
  <c r="P300" i="82"/>
  <c r="Q300" i="82"/>
  <c r="R300" i="82"/>
  <c r="S300" i="82"/>
  <c r="T300" i="82"/>
  <c r="U300" i="82"/>
  <c r="V300" i="82"/>
  <c r="W300" i="82"/>
  <c r="X300" i="82"/>
  <c r="Y300" i="82"/>
  <c r="Z300" i="82"/>
  <c r="AA300" i="82"/>
  <c r="AB300" i="82"/>
  <c r="AC300" i="82"/>
  <c r="AD300" i="82"/>
  <c r="AE300" i="82"/>
  <c r="AF300" i="82"/>
  <c r="AG300" i="82"/>
  <c r="AH300" i="82"/>
  <c r="AI300" i="82"/>
  <c r="AJ300" i="82"/>
  <c r="AK300" i="82"/>
  <c r="AL300" i="82"/>
  <c r="AM300" i="82"/>
  <c r="AN300" i="82"/>
  <c r="AO300" i="82"/>
  <c r="AP300" i="82"/>
  <c r="AQ300" i="82"/>
  <c r="AR300" i="82"/>
  <c r="AS300" i="82"/>
  <c r="AT300" i="82"/>
  <c r="AU300" i="82"/>
  <c r="AV300" i="82"/>
  <c r="AW300" i="82"/>
  <c r="AX300" i="82"/>
  <c r="AY300" i="82"/>
  <c r="AZ300" i="82"/>
  <c r="BA300" i="82"/>
  <c r="BB300" i="82"/>
  <c r="BC300" i="82"/>
  <c r="BD300" i="82"/>
  <c r="BE300" i="82"/>
  <c r="BF300" i="82"/>
  <c r="BG300" i="82"/>
  <c r="BH300" i="82"/>
  <c r="BI300" i="82"/>
  <c r="BJ300" i="82"/>
  <c r="BK300" i="82"/>
  <c r="BL300" i="82"/>
  <c r="BM300" i="82"/>
  <c r="BN300" i="82"/>
  <c r="BO300" i="82"/>
  <c r="BP300" i="82"/>
  <c r="BQ300" i="82"/>
  <c r="BR300" i="82"/>
  <c r="BS300" i="82"/>
  <c r="BT300" i="82"/>
  <c r="BU300" i="82"/>
  <c r="BV300" i="82"/>
  <c r="BW300" i="82"/>
  <c r="BX300" i="82"/>
  <c r="BY300" i="82"/>
  <c r="BZ300" i="82"/>
  <c r="D301" i="82"/>
  <c r="E301" i="82"/>
  <c r="F301" i="82"/>
  <c r="G301" i="82"/>
  <c r="H301" i="82"/>
  <c r="I301" i="82"/>
  <c r="J301" i="82"/>
  <c r="K301" i="82"/>
  <c r="L301" i="82"/>
  <c r="M301" i="82"/>
  <c r="N301" i="82"/>
  <c r="O301" i="82"/>
  <c r="P301" i="82"/>
  <c r="Q301" i="82"/>
  <c r="R301" i="82"/>
  <c r="S301" i="82"/>
  <c r="T301" i="82"/>
  <c r="U301" i="82"/>
  <c r="V301" i="82"/>
  <c r="W301" i="82"/>
  <c r="X301" i="82"/>
  <c r="Y301" i="82"/>
  <c r="Z301" i="82"/>
  <c r="AA301" i="82"/>
  <c r="AB301" i="82"/>
  <c r="AC301" i="82"/>
  <c r="AD301" i="82"/>
  <c r="AE301" i="82"/>
  <c r="AF301" i="82"/>
  <c r="AG301" i="82"/>
  <c r="AH301" i="82"/>
  <c r="AI301" i="82"/>
  <c r="AJ301" i="82"/>
  <c r="AK301" i="82"/>
  <c r="AL301" i="82"/>
  <c r="AM301" i="82"/>
  <c r="AN301" i="82"/>
  <c r="AO301" i="82"/>
  <c r="AP301" i="82"/>
  <c r="AQ301" i="82"/>
  <c r="AR301" i="82"/>
  <c r="AS301" i="82"/>
  <c r="AT301" i="82"/>
  <c r="AU301" i="82"/>
  <c r="AV301" i="82"/>
  <c r="AW301" i="82"/>
  <c r="AX301" i="82"/>
  <c r="AY301" i="82"/>
  <c r="AZ301" i="82"/>
  <c r="BA301" i="82"/>
  <c r="BB301" i="82"/>
  <c r="BC301" i="82"/>
  <c r="BD301" i="82"/>
  <c r="BE301" i="82"/>
  <c r="BF301" i="82"/>
  <c r="BG301" i="82"/>
  <c r="BH301" i="82"/>
  <c r="BI301" i="82"/>
  <c r="BJ301" i="82"/>
  <c r="BK301" i="82"/>
  <c r="BL301" i="82"/>
  <c r="BM301" i="82"/>
  <c r="BN301" i="82"/>
  <c r="BO301" i="82"/>
  <c r="BP301" i="82"/>
  <c r="BQ301" i="82"/>
  <c r="BR301" i="82"/>
  <c r="BS301" i="82"/>
  <c r="BT301" i="82"/>
  <c r="BU301" i="82"/>
  <c r="BV301" i="82"/>
  <c r="BW301" i="82"/>
  <c r="BX301" i="82"/>
  <c r="BY301" i="82"/>
  <c r="BZ301" i="82"/>
  <c r="D302" i="82"/>
  <c r="E302" i="82"/>
  <c r="F302" i="82"/>
  <c r="G302" i="82"/>
  <c r="H302" i="82"/>
  <c r="I302" i="82"/>
  <c r="J302" i="82"/>
  <c r="K302" i="82"/>
  <c r="L302" i="82"/>
  <c r="M302" i="82"/>
  <c r="N302" i="82"/>
  <c r="O302" i="82"/>
  <c r="P302" i="82"/>
  <c r="Q302" i="82"/>
  <c r="R302" i="82"/>
  <c r="S302" i="82"/>
  <c r="T302" i="82"/>
  <c r="U302" i="82"/>
  <c r="V302" i="82"/>
  <c r="W302" i="82"/>
  <c r="X302" i="82"/>
  <c r="Y302" i="82"/>
  <c r="Z302" i="82"/>
  <c r="AA302" i="82"/>
  <c r="AB302" i="82"/>
  <c r="AC302" i="82"/>
  <c r="AD302" i="82"/>
  <c r="AE302" i="82"/>
  <c r="AF302" i="82"/>
  <c r="AG302" i="82"/>
  <c r="AH302" i="82"/>
  <c r="AI302" i="82"/>
  <c r="AJ302" i="82"/>
  <c r="AK302" i="82"/>
  <c r="AL302" i="82"/>
  <c r="AM302" i="82"/>
  <c r="AN302" i="82"/>
  <c r="AO302" i="82"/>
  <c r="AP302" i="82"/>
  <c r="AQ302" i="82"/>
  <c r="AR302" i="82"/>
  <c r="AS302" i="82"/>
  <c r="AT302" i="82"/>
  <c r="AU302" i="82"/>
  <c r="AV302" i="82"/>
  <c r="AW302" i="82"/>
  <c r="AX302" i="82"/>
  <c r="AY302" i="82"/>
  <c r="AZ302" i="82"/>
  <c r="BA302" i="82"/>
  <c r="BB302" i="82"/>
  <c r="BC302" i="82"/>
  <c r="BD302" i="82"/>
  <c r="BE302" i="82"/>
  <c r="BF302" i="82"/>
  <c r="BG302" i="82"/>
  <c r="BH302" i="82"/>
  <c r="BI302" i="82"/>
  <c r="BJ302" i="82"/>
  <c r="BK302" i="82"/>
  <c r="BL302" i="82"/>
  <c r="BM302" i="82"/>
  <c r="BN302" i="82"/>
  <c r="BO302" i="82"/>
  <c r="BP302" i="82"/>
  <c r="BQ302" i="82"/>
  <c r="BR302" i="82"/>
  <c r="BS302" i="82"/>
  <c r="BT302" i="82"/>
  <c r="BU302" i="82"/>
  <c r="BV302" i="82"/>
  <c r="BW302" i="82"/>
  <c r="BX302" i="82"/>
  <c r="BY302" i="82"/>
  <c r="BZ302" i="82"/>
  <c r="D303" i="82"/>
  <c r="E303" i="82"/>
  <c r="F303" i="82"/>
  <c r="G303" i="82"/>
  <c r="H303" i="82"/>
  <c r="I303" i="82"/>
  <c r="J303" i="82"/>
  <c r="K303" i="82"/>
  <c r="L303" i="82"/>
  <c r="M303" i="82"/>
  <c r="N303" i="82"/>
  <c r="O303" i="82"/>
  <c r="P303" i="82"/>
  <c r="Q303" i="82"/>
  <c r="R303" i="82"/>
  <c r="S303" i="82"/>
  <c r="T303" i="82"/>
  <c r="U303" i="82"/>
  <c r="V303" i="82"/>
  <c r="W303" i="82"/>
  <c r="X303" i="82"/>
  <c r="Y303" i="82"/>
  <c r="Z303" i="82"/>
  <c r="AA303" i="82"/>
  <c r="AB303" i="82"/>
  <c r="AC303" i="82"/>
  <c r="AD303" i="82"/>
  <c r="AE303" i="82"/>
  <c r="AF303" i="82"/>
  <c r="AG303" i="82"/>
  <c r="AH303" i="82"/>
  <c r="AI303" i="82"/>
  <c r="AJ303" i="82"/>
  <c r="AK303" i="82"/>
  <c r="AL303" i="82"/>
  <c r="AM303" i="82"/>
  <c r="AN303" i="82"/>
  <c r="AO303" i="82"/>
  <c r="AP303" i="82"/>
  <c r="AQ303" i="82"/>
  <c r="AR303" i="82"/>
  <c r="AS303" i="82"/>
  <c r="AT303" i="82"/>
  <c r="AU303" i="82"/>
  <c r="AV303" i="82"/>
  <c r="AW303" i="82"/>
  <c r="AX303" i="82"/>
  <c r="AY303" i="82"/>
  <c r="AZ303" i="82"/>
  <c r="BA303" i="82"/>
  <c r="BB303" i="82"/>
  <c r="BC303" i="82"/>
  <c r="BD303" i="82"/>
  <c r="BE303" i="82"/>
  <c r="BF303" i="82"/>
  <c r="BG303" i="82"/>
  <c r="BH303" i="82"/>
  <c r="BI303" i="82"/>
  <c r="BJ303" i="82"/>
  <c r="BK303" i="82"/>
  <c r="BL303" i="82"/>
  <c r="BM303" i="82"/>
  <c r="BN303" i="82"/>
  <c r="BO303" i="82"/>
  <c r="BP303" i="82"/>
  <c r="BQ303" i="82"/>
  <c r="BR303" i="82"/>
  <c r="BS303" i="82"/>
  <c r="BT303" i="82"/>
  <c r="BU303" i="82"/>
  <c r="BV303" i="82"/>
  <c r="BW303" i="82"/>
  <c r="BX303" i="82"/>
  <c r="BY303" i="82"/>
  <c r="BZ303" i="82"/>
  <c r="D304" i="82"/>
  <c r="E304" i="82"/>
  <c r="F304" i="82"/>
  <c r="G304" i="82"/>
  <c r="H304" i="82"/>
  <c r="I304" i="82"/>
  <c r="J304" i="82"/>
  <c r="K304" i="82"/>
  <c r="L304" i="82"/>
  <c r="M304" i="82"/>
  <c r="N304" i="82"/>
  <c r="O304" i="82"/>
  <c r="P304" i="82"/>
  <c r="Q304" i="82"/>
  <c r="R304" i="82"/>
  <c r="S304" i="82"/>
  <c r="T304" i="82"/>
  <c r="U304" i="82"/>
  <c r="V304" i="82"/>
  <c r="W304" i="82"/>
  <c r="X304" i="82"/>
  <c r="Y304" i="82"/>
  <c r="Z304" i="82"/>
  <c r="AA304" i="82"/>
  <c r="AB304" i="82"/>
  <c r="AC304" i="82"/>
  <c r="AD304" i="82"/>
  <c r="AE304" i="82"/>
  <c r="AF304" i="82"/>
  <c r="AG304" i="82"/>
  <c r="AH304" i="82"/>
  <c r="AI304" i="82"/>
  <c r="AJ304" i="82"/>
  <c r="AK304" i="82"/>
  <c r="AL304" i="82"/>
  <c r="AM304" i="82"/>
  <c r="AN304" i="82"/>
  <c r="AO304" i="82"/>
  <c r="AP304" i="82"/>
  <c r="AQ304" i="82"/>
  <c r="AR304" i="82"/>
  <c r="AS304" i="82"/>
  <c r="AT304" i="82"/>
  <c r="AU304" i="82"/>
  <c r="AV304" i="82"/>
  <c r="AW304" i="82"/>
  <c r="AX304" i="82"/>
  <c r="AY304" i="82"/>
  <c r="AZ304" i="82"/>
  <c r="BA304" i="82"/>
  <c r="BB304" i="82"/>
  <c r="BC304" i="82"/>
  <c r="BD304" i="82"/>
  <c r="BE304" i="82"/>
  <c r="BF304" i="82"/>
  <c r="BG304" i="82"/>
  <c r="BH304" i="82"/>
  <c r="BI304" i="82"/>
  <c r="BJ304" i="82"/>
  <c r="BK304" i="82"/>
  <c r="BL304" i="82"/>
  <c r="BM304" i="82"/>
  <c r="BN304" i="82"/>
  <c r="BO304" i="82"/>
  <c r="BP304" i="82"/>
  <c r="BQ304" i="82"/>
  <c r="BR304" i="82"/>
  <c r="BS304" i="82"/>
  <c r="BT304" i="82"/>
  <c r="BU304" i="82"/>
  <c r="BV304" i="82"/>
  <c r="BW304" i="82"/>
  <c r="BX304" i="82"/>
  <c r="BY304" i="82"/>
  <c r="BZ304" i="82"/>
  <c r="D305" i="82"/>
  <c r="E305" i="82"/>
  <c r="F305" i="82"/>
  <c r="G305" i="82"/>
  <c r="H305" i="82"/>
  <c r="I305" i="82"/>
  <c r="J305" i="82"/>
  <c r="K305" i="82"/>
  <c r="L305" i="82"/>
  <c r="M305" i="82"/>
  <c r="N305" i="82"/>
  <c r="O305" i="82"/>
  <c r="P305" i="82"/>
  <c r="Q305" i="82"/>
  <c r="R305" i="82"/>
  <c r="S305" i="82"/>
  <c r="T305" i="82"/>
  <c r="U305" i="82"/>
  <c r="V305" i="82"/>
  <c r="W305" i="82"/>
  <c r="X305" i="82"/>
  <c r="Y305" i="82"/>
  <c r="Z305" i="82"/>
  <c r="AA305" i="82"/>
  <c r="AB305" i="82"/>
  <c r="AC305" i="82"/>
  <c r="AD305" i="82"/>
  <c r="AE305" i="82"/>
  <c r="AF305" i="82"/>
  <c r="AG305" i="82"/>
  <c r="AH305" i="82"/>
  <c r="AI305" i="82"/>
  <c r="AJ305" i="82"/>
  <c r="AK305" i="82"/>
  <c r="AL305" i="82"/>
  <c r="AM305" i="82"/>
  <c r="AN305" i="82"/>
  <c r="AO305" i="82"/>
  <c r="AP305" i="82"/>
  <c r="AQ305" i="82"/>
  <c r="AR305" i="82"/>
  <c r="AS305" i="82"/>
  <c r="AT305" i="82"/>
  <c r="AU305" i="82"/>
  <c r="AV305" i="82"/>
  <c r="AW305" i="82"/>
  <c r="AX305" i="82"/>
  <c r="AY305" i="82"/>
  <c r="AZ305" i="82"/>
  <c r="BA305" i="82"/>
  <c r="BB305" i="82"/>
  <c r="BC305" i="82"/>
  <c r="BD305" i="82"/>
  <c r="BE305" i="82"/>
  <c r="BF305" i="82"/>
  <c r="BG305" i="82"/>
  <c r="BH305" i="82"/>
  <c r="BI305" i="82"/>
  <c r="BJ305" i="82"/>
  <c r="BK305" i="82"/>
  <c r="BL305" i="82"/>
  <c r="BM305" i="82"/>
  <c r="BN305" i="82"/>
  <c r="BO305" i="82"/>
  <c r="BP305" i="82"/>
  <c r="BQ305" i="82"/>
  <c r="BR305" i="82"/>
  <c r="BS305" i="82"/>
  <c r="BT305" i="82"/>
  <c r="BU305" i="82"/>
  <c r="BV305" i="82"/>
  <c r="BW305" i="82"/>
  <c r="BX305" i="82"/>
  <c r="BY305" i="82"/>
  <c r="BZ305" i="82"/>
  <c r="D306" i="82"/>
  <c r="E306" i="82"/>
  <c r="F306" i="82"/>
  <c r="G306" i="82"/>
  <c r="H306" i="82"/>
  <c r="I306" i="82"/>
  <c r="J306" i="82"/>
  <c r="K306" i="82"/>
  <c r="L306" i="82"/>
  <c r="M306" i="82"/>
  <c r="N306" i="82"/>
  <c r="O306" i="82"/>
  <c r="P306" i="82"/>
  <c r="Q306" i="82"/>
  <c r="R306" i="82"/>
  <c r="S306" i="82"/>
  <c r="T306" i="82"/>
  <c r="U306" i="82"/>
  <c r="V306" i="82"/>
  <c r="W306" i="82"/>
  <c r="X306" i="82"/>
  <c r="Y306" i="82"/>
  <c r="Z306" i="82"/>
  <c r="AA306" i="82"/>
  <c r="AB306" i="82"/>
  <c r="AC306" i="82"/>
  <c r="AD306" i="82"/>
  <c r="AE306" i="82"/>
  <c r="AF306" i="82"/>
  <c r="AG306" i="82"/>
  <c r="AH306" i="82"/>
  <c r="AI306" i="82"/>
  <c r="AJ306" i="82"/>
  <c r="AK306" i="82"/>
  <c r="AL306" i="82"/>
  <c r="AM306" i="82"/>
  <c r="AN306" i="82"/>
  <c r="AO306" i="82"/>
  <c r="AP306" i="82"/>
  <c r="AQ306" i="82"/>
  <c r="AR306" i="82"/>
  <c r="AS306" i="82"/>
  <c r="AT306" i="82"/>
  <c r="AU306" i="82"/>
  <c r="AV306" i="82"/>
  <c r="AW306" i="82"/>
  <c r="AX306" i="82"/>
  <c r="AY306" i="82"/>
  <c r="AZ306" i="82"/>
  <c r="BA306" i="82"/>
  <c r="BB306" i="82"/>
  <c r="BC306" i="82"/>
  <c r="BD306" i="82"/>
  <c r="BE306" i="82"/>
  <c r="BF306" i="82"/>
  <c r="BG306" i="82"/>
  <c r="BH306" i="82"/>
  <c r="BI306" i="82"/>
  <c r="BJ306" i="82"/>
  <c r="BK306" i="82"/>
  <c r="BL306" i="82"/>
  <c r="BM306" i="82"/>
  <c r="BN306" i="82"/>
  <c r="BO306" i="82"/>
  <c r="BP306" i="82"/>
  <c r="BQ306" i="82"/>
  <c r="BR306" i="82"/>
  <c r="BS306" i="82"/>
  <c r="BT306" i="82"/>
  <c r="BU306" i="82"/>
  <c r="BV306" i="82"/>
  <c r="BW306" i="82"/>
  <c r="BX306" i="82"/>
  <c r="BY306" i="82"/>
  <c r="BZ306" i="82"/>
  <c r="D307" i="82"/>
  <c r="E307" i="82"/>
  <c r="F307" i="82"/>
  <c r="G307" i="82"/>
  <c r="H307" i="82"/>
  <c r="I307" i="82"/>
  <c r="J307" i="82"/>
  <c r="K307" i="82"/>
  <c r="L307" i="82"/>
  <c r="M307" i="82"/>
  <c r="N307" i="82"/>
  <c r="O307" i="82"/>
  <c r="P307" i="82"/>
  <c r="Q307" i="82"/>
  <c r="R307" i="82"/>
  <c r="S307" i="82"/>
  <c r="T307" i="82"/>
  <c r="U307" i="82"/>
  <c r="V307" i="82"/>
  <c r="W307" i="82"/>
  <c r="X307" i="82"/>
  <c r="Y307" i="82"/>
  <c r="Z307" i="82"/>
  <c r="AA307" i="82"/>
  <c r="AB307" i="82"/>
  <c r="AC307" i="82"/>
  <c r="AD307" i="82"/>
  <c r="AE307" i="82"/>
  <c r="AF307" i="82"/>
  <c r="AG307" i="82"/>
  <c r="AH307" i="82"/>
  <c r="AI307" i="82"/>
  <c r="AJ307" i="82"/>
  <c r="AK307" i="82"/>
  <c r="AL307" i="82"/>
  <c r="AM307" i="82"/>
  <c r="AN307" i="82"/>
  <c r="AO307" i="82"/>
  <c r="AP307" i="82"/>
  <c r="AQ307" i="82"/>
  <c r="AR307" i="82"/>
  <c r="AS307" i="82"/>
  <c r="AT307" i="82"/>
  <c r="AU307" i="82"/>
  <c r="AV307" i="82"/>
  <c r="AW307" i="82"/>
  <c r="AX307" i="82"/>
  <c r="AY307" i="82"/>
  <c r="AZ307" i="82"/>
  <c r="BA307" i="82"/>
  <c r="BB307" i="82"/>
  <c r="BC307" i="82"/>
  <c r="BD307" i="82"/>
  <c r="BE307" i="82"/>
  <c r="BF307" i="82"/>
  <c r="BG307" i="82"/>
  <c r="BH307" i="82"/>
  <c r="BI307" i="82"/>
  <c r="BJ307" i="82"/>
  <c r="BK307" i="82"/>
  <c r="BL307" i="82"/>
  <c r="BM307" i="82"/>
  <c r="BN307" i="82"/>
  <c r="BO307" i="82"/>
  <c r="BP307" i="82"/>
  <c r="BQ307" i="82"/>
  <c r="BR307" i="82"/>
  <c r="BS307" i="82"/>
  <c r="BT307" i="82"/>
  <c r="BU307" i="82"/>
  <c r="BV307" i="82"/>
  <c r="BW307" i="82"/>
  <c r="BX307" i="82"/>
  <c r="BY307" i="82"/>
  <c r="BZ307" i="82"/>
  <c r="D308" i="82"/>
  <c r="E308" i="82"/>
  <c r="F308" i="82"/>
  <c r="G308" i="82"/>
  <c r="H308" i="82"/>
  <c r="I308" i="82"/>
  <c r="J308" i="82"/>
  <c r="K308" i="82"/>
  <c r="L308" i="82"/>
  <c r="M308" i="82"/>
  <c r="N308" i="82"/>
  <c r="O308" i="82"/>
  <c r="P308" i="82"/>
  <c r="Q308" i="82"/>
  <c r="R308" i="82"/>
  <c r="S308" i="82"/>
  <c r="T308" i="82"/>
  <c r="U308" i="82"/>
  <c r="V308" i="82"/>
  <c r="W308" i="82"/>
  <c r="X308" i="82"/>
  <c r="Y308" i="82"/>
  <c r="Z308" i="82"/>
  <c r="AA308" i="82"/>
  <c r="AB308" i="82"/>
  <c r="AC308" i="82"/>
  <c r="AD308" i="82"/>
  <c r="AE308" i="82"/>
  <c r="AF308" i="82"/>
  <c r="AG308" i="82"/>
  <c r="AH308" i="82"/>
  <c r="AI308" i="82"/>
  <c r="AJ308" i="82"/>
  <c r="AK308" i="82"/>
  <c r="AL308" i="82"/>
  <c r="AM308" i="82"/>
  <c r="AN308" i="82"/>
  <c r="AO308" i="82"/>
  <c r="AP308" i="82"/>
  <c r="AQ308" i="82"/>
  <c r="AR308" i="82"/>
  <c r="AS308" i="82"/>
  <c r="AT308" i="82"/>
  <c r="AU308" i="82"/>
  <c r="AV308" i="82"/>
  <c r="AW308" i="82"/>
  <c r="AX308" i="82"/>
  <c r="AY308" i="82"/>
  <c r="AZ308" i="82"/>
  <c r="BA308" i="82"/>
  <c r="BB308" i="82"/>
  <c r="BC308" i="82"/>
  <c r="BD308" i="82"/>
  <c r="BE308" i="82"/>
  <c r="BF308" i="82"/>
  <c r="BG308" i="82"/>
  <c r="BH308" i="82"/>
  <c r="BI308" i="82"/>
  <c r="BJ308" i="82"/>
  <c r="BK308" i="82"/>
  <c r="BL308" i="82"/>
  <c r="BM308" i="82"/>
  <c r="BN308" i="82"/>
  <c r="BO308" i="82"/>
  <c r="BP308" i="82"/>
  <c r="BQ308" i="82"/>
  <c r="BR308" i="82"/>
  <c r="BS308" i="82"/>
  <c r="BT308" i="82"/>
  <c r="BU308" i="82"/>
  <c r="BV308" i="82"/>
  <c r="BW308" i="82"/>
  <c r="BX308" i="82"/>
  <c r="BY308" i="82"/>
  <c r="BZ308" i="82"/>
  <c r="CA280" i="82" l="1"/>
  <c r="CA276" i="82" l="1"/>
  <c r="CA277" i="82"/>
  <c r="CA285" i="82"/>
  <c r="CB285" i="82"/>
  <c r="CC285" i="82"/>
  <c r="CD285" i="82"/>
  <c r="CE285" i="82"/>
  <c r="CF285" i="82"/>
  <c r="CG285" i="82"/>
  <c r="CH285" i="82"/>
  <c r="CI285" i="82"/>
  <c r="CJ285" i="82"/>
  <c r="CK285" i="82"/>
  <c r="CA286" i="82"/>
  <c r="CB286" i="82"/>
  <c r="CC286" i="82"/>
  <c r="CD286" i="82"/>
  <c r="CE286" i="82"/>
  <c r="CF286" i="82"/>
  <c r="CG286" i="82"/>
  <c r="CH286" i="82"/>
  <c r="CI286" i="82"/>
  <c r="CJ286" i="82"/>
  <c r="CK286" i="82"/>
  <c r="CA287" i="82"/>
  <c r="CB287" i="82"/>
  <c r="CC287" i="82"/>
  <c r="CD287" i="82"/>
  <c r="CE287" i="82"/>
  <c r="CF287" i="82"/>
  <c r="CG287" i="82"/>
  <c r="CH287" i="82"/>
  <c r="CI287" i="82"/>
  <c r="CJ287" i="82"/>
  <c r="CK287" i="82"/>
  <c r="CA288" i="82"/>
  <c r="CB288" i="82"/>
  <c r="CC288" i="82"/>
  <c r="CD288" i="82"/>
  <c r="CE288" i="82"/>
  <c r="CF288" i="82"/>
  <c r="CG288" i="82"/>
  <c r="CH288" i="82"/>
  <c r="CI288" i="82"/>
  <c r="CJ288" i="82"/>
  <c r="CK288" i="82"/>
  <c r="CA289" i="82"/>
  <c r="CB289" i="82"/>
  <c r="CC289" i="82"/>
  <c r="CD289" i="82"/>
  <c r="CE289" i="82"/>
  <c r="CF289" i="82"/>
  <c r="CG289" i="82"/>
  <c r="CH289" i="82"/>
  <c r="CI289" i="82"/>
  <c r="CJ289" i="82"/>
  <c r="CK289" i="82"/>
  <c r="CA290" i="82"/>
  <c r="CB290" i="82"/>
  <c r="CC290" i="82"/>
  <c r="CD290" i="82"/>
  <c r="CE290" i="82"/>
  <c r="CF290" i="82"/>
  <c r="CG290" i="82"/>
  <c r="CH290" i="82"/>
  <c r="CI290" i="82"/>
  <c r="CJ290" i="82"/>
  <c r="CK290" i="82"/>
  <c r="CA291" i="82"/>
  <c r="CB291" i="82"/>
  <c r="CC291" i="82"/>
  <c r="CD291" i="82"/>
  <c r="CE291" i="82"/>
  <c r="CF291" i="82"/>
  <c r="CG291" i="82"/>
  <c r="CH291" i="82"/>
  <c r="CI291" i="82"/>
  <c r="CJ291" i="82"/>
  <c r="CK291" i="82"/>
  <c r="CA292" i="82"/>
  <c r="CB292" i="82"/>
  <c r="CC292" i="82"/>
  <c r="CD292" i="82"/>
  <c r="CE292" i="82"/>
  <c r="CF292" i="82"/>
  <c r="CG292" i="82"/>
  <c r="CH292" i="82"/>
  <c r="CI292" i="82"/>
  <c r="CJ292" i="82"/>
  <c r="CK292" i="82"/>
  <c r="CA293" i="82"/>
  <c r="CB293" i="82"/>
  <c r="CC293" i="82"/>
  <c r="CD293" i="82"/>
  <c r="CE293" i="82"/>
  <c r="CF293" i="82"/>
  <c r="CG293" i="82"/>
  <c r="CH293" i="82"/>
  <c r="CI293" i="82"/>
  <c r="CJ293" i="82"/>
  <c r="CK293" i="82"/>
  <c r="CA294" i="82"/>
  <c r="CB294" i="82"/>
  <c r="CC294" i="82"/>
  <c r="CD294" i="82"/>
  <c r="CE294" i="82"/>
  <c r="CF294" i="82"/>
  <c r="CG294" i="82"/>
  <c r="CH294" i="82"/>
  <c r="CI294" i="82"/>
  <c r="CJ294" i="82"/>
  <c r="CK294" i="82"/>
  <c r="CA295" i="82"/>
  <c r="CB295" i="82"/>
  <c r="CC295" i="82"/>
  <c r="CD295" i="82"/>
  <c r="CE295" i="82"/>
  <c r="CF295" i="82"/>
  <c r="CG295" i="82"/>
  <c r="CH295" i="82"/>
  <c r="CI295" i="82"/>
  <c r="CJ295" i="82"/>
  <c r="CK295" i="82"/>
  <c r="CA296" i="82"/>
  <c r="CB296" i="82"/>
  <c r="CC296" i="82"/>
  <c r="CD296" i="82"/>
  <c r="CE296" i="82"/>
  <c r="CF296" i="82"/>
  <c r="CG296" i="82"/>
  <c r="CH296" i="82"/>
  <c r="CI296" i="82"/>
  <c r="CJ296" i="82"/>
  <c r="CK296" i="82"/>
  <c r="CA297" i="82"/>
  <c r="CB297" i="82"/>
  <c r="CC297" i="82"/>
  <c r="CD297" i="82"/>
  <c r="CE297" i="82"/>
  <c r="CF297" i="82"/>
  <c r="CG297" i="82"/>
  <c r="CH297" i="82"/>
  <c r="CI297" i="82"/>
  <c r="CJ297" i="82"/>
  <c r="CK297" i="82"/>
  <c r="CA298" i="82"/>
  <c r="CB298" i="82"/>
  <c r="CC298" i="82"/>
  <c r="CD298" i="82"/>
  <c r="CE298" i="82"/>
  <c r="CF298" i="82"/>
  <c r="CG298" i="82"/>
  <c r="CH298" i="82"/>
  <c r="CI298" i="82"/>
  <c r="CJ298" i="82"/>
  <c r="CK298" i="82"/>
  <c r="CA299" i="82"/>
  <c r="CB299" i="82"/>
  <c r="CC299" i="82"/>
  <c r="CD299" i="82"/>
  <c r="CE299" i="82"/>
  <c r="CF299" i="82"/>
  <c r="CG299" i="82"/>
  <c r="CH299" i="82"/>
  <c r="CI299" i="82"/>
  <c r="CJ299" i="82"/>
  <c r="CK299" i="82"/>
  <c r="CA300" i="82"/>
  <c r="CB300" i="82"/>
  <c r="CC300" i="82"/>
  <c r="CD300" i="82"/>
  <c r="CE300" i="82"/>
  <c r="CF300" i="82"/>
  <c r="CG300" i="82"/>
  <c r="CH300" i="82"/>
  <c r="CI300" i="82"/>
  <c r="CJ300" i="82"/>
  <c r="CK300" i="82"/>
  <c r="CA301" i="82"/>
  <c r="CB301" i="82"/>
  <c r="CC301" i="82"/>
  <c r="CD301" i="82"/>
  <c r="CE301" i="82"/>
  <c r="CF301" i="82"/>
  <c r="CG301" i="82"/>
  <c r="CH301" i="82"/>
  <c r="CI301" i="82"/>
  <c r="CJ301" i="82"/>
  <c r="CK301" i="82"/>
  <c r="CA302" i="82"/>
  <c r="CB302" i="82"/>
  <c r="CC302" i="82"/>
  <c r="CD302" i="82"/>
  <c r="CE302" i="82"/>
  <c r="CF302" i="82"/>
  <c r="CG302" i="82"/>
  <c r="CH302" i="82"/>
  <c r="CI302" i="82"/>
  <c r="CJ302" i="82"/>
  <c r="CK302" i="82"/>
  <c r="CA303" i="82"/>
  <c r="CB303" i="82"/>
  <c r="CC303" i="82"/>
  <c r="CD303" i="82"/>
  <c r="CE303" i="82"/>
  <c r="CF303" i="82"/>
  <c r="CG303" i="82"/>
  <c r="CH303" i="82"/>
  <c r="CI303" i="82"/>
  <c r="CJ303" i="82"/>
  <c r="CK303" i="82"/>
  <c r="CA304" i="82"/>
  <c r="CB304" i="82"/>
  <c r="CC304" i="82"/>
  <c r="CD304" i="82"/>
  <c r="CE304" i="82"/>
  <c r="CF304" i="82"/>
  <c r="CG304" i="82"/>
  <c r="CH304" i="82"/>
  <c r="CI304" i="82"/>
  <c r="CJ304" i="82"/>
  <c r="CK304" i="82"/>
  <c r="CA305" i="82"/>
  <c r="CB305" i="82"/>
  <c r="CC305" i="82"/>
  <c r="CD305" i="82"/>
  <c r="CE305" i="82"/>
  <c r="CF305" i="82"/>
  <c r="CG305" i="82"/>
  <c r="CH305" i="82"/>
  <c r="CI305" i="82"/>
  <c r="CJ305" i="82"/>
  <c r="CK305" i="82"/>
  <c r="CA306" i="82"/>
  <c r="CB306" i="82"/>
  <c r="CC306" i="82"/>
  <c r="CD306" i="82"/>
  <c r="CE306" i="82"/>
  <c r="CF306" i="82"/>
  <c r="CG306" i="82"/>
  <c r="CH306" i="82"/>
  <c r="CI306" i="82"/>
  <c r="CJ306" i="82"/>
  <c r="CK306" i="82"/>
  <c r="CA307" i="82"/>
  <c r="CB307" i="82"/>
  <c r="CC307" i="82"/>
  <c r="CD307" i="82"/>
  <c r="CE307" i="82"/>
  <c r="CF307" i="82"/>
  <c r="CG307" i="82"/>
  <c r="CH307" i="82"/>
  <c r="CI307" i="82"/>
  <c r="CJ307" i="82"/>
  <c r="CK307" i="82"/>
  <c r="CA308" i="82"/>
  <c r="CB308" i="82"/>
  <c r="CC308" i="82"/>
  <c r="CD308" i="82"/>
  <c r="CE308" i="82"/>
  <c r="CF308" i="82"/>
  <c r="CG308" i="82"/>
  <c r="CH308" i="82"/>
  <c r="CI308" i="82"/>
  <c r="CJ308" i="82"/>
  <c r="CK308" i="82"/>
  <c r="BS309" i="84"/>
  <c r="BS313" i="84" s="1"/>
  <c r="BT309" i="84"/>
  <c r="BT313" i="84" s="1"/>
  <c r="BU309" i="84"/>
  <c r="BU313" i="84" s="1"/>
  <c r="BV309" i="84"/>
  <c r="BV313" i="84" s="1"/>
  <c r="BW309" i="84"/>
  <c r="BW313" i="84" s="1"/>
  <c r="BX309" i="84"/>
  <c r="BX313" i="84" s="1"/>
  <c r="BY309" i="84"/>
  <c r="BY313" i="84" s="1"/>
  <c r="BZ309" i="84"/>
  <c r="BZ313" i="84" s="1"/>
  <c r="BS310" i="84"/>
  <c r="BT310" i="84"/>
  <c r="BU310" i="84"/>
  <c r="BV310" i="84"/>
  <c r="BW310" i="84"/>
  <c r="BX310" i="84"/>
  <c r="BY310" i="84"/>
  <c r="BZ310" i="84"/>
  <c r="L219" i="28" l="1"/>
  <c r="C219" i="28"/>
  <c r="D17" i="91"/>
  <c r="E310" i="84" l="1"/>
  <c r="F310" i="84"/>
  <c r="G310" i="84"/>
  <c r="H310" i="84"/>
  <c r="I310" i="84"/>
  <c r="J310" i="84"/>
  <c r="K310" i="84"/>
  <c r="L310" i="84"/>
  <c r="M310" i="84"/>
  <c r="N310" i="84"/>
  <c r="O310" i="84"/>
  <c r="P310" i="84"/>
  <c r="Q310" i="84"/>
  <c r="R310" i="84"/>
  <c r="S310" i="84"/>
  <c r="T310" i="84"/>
  <c r="U310" i="84"/>
  <c r="V310" i="84"/>
  <c r="W310" i="84"/>
  <c r="X310" i="84"/>
  <c r="Y310" i="84"/>
  <c r="Z310" i="84"/>
  <c r="AA310" i="84"/>
  <c r="AB310" i="84"/>
  <c r="AC310" i="84"/>
  <c r="AD310" i="84"/>
  <c r="AE310" i="84"/>
  <c r="AF310" i="84"/>
  <c r="AG310" i="84"/>
  <c r="AH310" i="84"/>
  <c r="AI310" i="84"/>
  <c r="AJ310" i="84"/>
  <c r="AK310" i="84"/>
  <c r="AL310" i="84"/>
  <c r="AM310" i="84"/>
  <c r="AN310" i="84"/>
  <c r="AO310" i="84"/>
  <c r="AP310" i="84"/>
  <c r="AQ310" i="84"/>
  <c r="AR310" i="84"/>
  <c r="AS310" i="84"/>
  <c r="AT310" i="84"/>
  <c r="AU310" i="84"/>
  <c r="AV310" i="84"/>
  <c r="AW310" i="84"/>
  <c r="AX310" i="84"/>
  <c r="AY310" i="84"/>
  <c r="AZ310" i="84"/>
  <c r="BA310" i="84"/>
  <c r="BB310" i="84"/>
  <c r="BC310" i="84"/>
  <c r="BD310" i="84"/>
  <c r="BE310" i="84"/>
  <c r="BF310" i="84"/>
  <c r="BG310" i="84"/>
  <c r="BH310" i="84"/>
  <c r="BI310" i="84"/>
  <c r="BJ310" i="84"/>
  <c r="BK310" i="84"/>
  <c r="BL310" i="84"/>
  <c r="BM310" i="84"/>
  <c r="BN310" i="84"/>
  <c r="BO310" i="84"/>
  <c r="BP310" i="84"/>
  <c r="BQ310" i="84"/>
  <c r="BR310" i="84"/>
  <c r="D310" i="84"/>
  <c r="E309" i="84" l="1"/>
  <c r="E313" i="84" s="1"/>
  <c r="F309" i="84"/>
  <c r="F313" i="84" s="1"/>
  <c r="G309" i="84"/>
  <c r="G313" i="84" s="1"/>
  <c r="H309" i="84"/>
  <c r="H313" i="84" s="1"/>
  <c r="I309" i="84"/>
  <c r="I313" i="84" s="1"/>
  <c r="J309" i="84"/>
  <c r="J313" i="84" s="1"/>
  <c r="K309" i="84"/>
  <c r="K313" i="84" s="1"/>
  <c r="L309" i="84"/>
  <c r="L313" i="84" s="1"/>
  <c r="M309" i="84"/>
  <c r="M313" i="84" s="1"/>
  <c r="N309" i="84"/>
  <c r="N313" i="84" s="1"/>
  <c r="O309" i="84"/>
  <c r="O313" i="84" s="1"/>
  <c r="P309" i="84"/>
  <c r="P313" i="84" s="1"/>
  <c r="Q309" i="84"/>
  <c r="Q313" i="84" s="1"/>
  <c r="R309" i="84"/>
  <c r="R313" i="84" s="1"/>
  <c r="S309" i="84"/>
  <c r="S313" i="84" s="1"/>
  <c r="T309" i="84"/>
  <c r="T313" i="84" s="1"/>
  <c r="U309" i="84"/>
  <c r="U313" i="84" s="1"/>
  <c r="V309" i="84"/>
  <c r="V314" i="84" s="1"/>
  <c r="W309" i="84"/>
  <c r="W313" i="84" s="1"/>
  <c r="X309" i="84"/>
  <c r="X313" i="84" s="1"/>
  <c r="Y309" i="84"/>
  <c r="Y313" i="84" s="1"/>
  <c r="Z309" i="84"/>
  <c r="Z314" i="84" s="1"/>
  <c r="AA309" i="84"/>
  <c r="AA313" i="84" s="1"/>
  <c r="AB309" i="84"/>
  <c r="AB313" i="84" s="1"/>
  <c r="AC309" i="84"/>
  <c r="AC313" i="84" s="1"/>
  <c r="AD309" i="84"/>
  <c r="AD313" i="84" s="1"/>
  <c r="AE309" i="84"/>
  <c r="AE313" i="84" s="1"/>
  <c r="AF309" i="84"/>
  <c r="AF313" i="84" s="1"/>
  <c r="AG309" i="84"/>
  <c r="AG313" i="84" s="1"/>
  <c r="AH309" i="84"/>
  <c r="AH313" i="84" s="1"/>
  <c r="AI309" i="84"/>
  <c r="AI313" i="84" s="1"/>
  <c r="AJ309" i="84"/>
  <c r="AJ313" i="84" s="1"/>
  <c r="AK309" i="84"/>
  <c r="AK313" i="84" s="1"/>
  <c r="AL309" i="84"/>
  <c r="AL313" i="84" s="1"/>
  <c r="AM309" i="84"/>
  <c r="AM313" i="84" s="1"/>
  <c r="AN309" i="84"/>
  <c r="AN313" i="84" s="1"/>
  <c r="AO309" i="84"/>
  <c r="AO313" i="84" s="1"/>
  <c r="AP309" i="84"/>
  <c r="AP313" i="84" s="1"/>
  <c r="AQ309" i="84"/>
  <c r="AQ313" i="84" s="1"/>
  <c r="AR309" i="84"/>
  <c r="AR313" i="84" s="1"/>
  <c r="AS309" i="84"/>
  <c r="AS313" i="84" s="1"/>
  <c r="AT309" i="84"/>
  <c r="AT313" i="84" s="1"/>
  <c r="AU309" i="84"/>
  <c r="AU314" i="84" s="1"/>
  <c r="AV309" i="84"/>
  <c r="AV313" i="84" s="1"/>
  <c r="AW309" i="84"/>
  <c r="AW313" i="84" s="1"/>
  <c r="AX309" i="84"/>
  <c r="AX313" i="84" s="1"/>
  <c r="AY309" i="84"/>
  <c r="AY313" i="84" s="1"/>
  <c r="AZ309" i="84"/>
  <c r="AZ313" i="84" s="1"/>
  <c r="BA309" i="84"/>
  <c r="BA313" i="84" s="1"/>
  <c r="BB309" i="84"/>
  <c r="BB313" i="84" s="1"/>
  <c r="BC309" i="84"/>
  <c r="BC313" i="84" s="1"/>
  <c r="BD309" i="84"/>
  <c r="BD313" i="84" s="1"/>
  <c r="BE309" i="84"/>
  <c r="BE313" i="84" s="1"/>
  <c r="BF309" i="84"/>
  <c r="BF313" i="84" s="1"/>
  <c r="BG309" i="84"/>
  <c r="BG313" i="84" s="1"/>
  <c r="BH309" i="84"/>
  <c r="BH313" i="84" s="1"/>
  <c r="BI309" i="84"/>
  <c r="BI313" i="84" s="1"/>
  <c r="BJ309" i="84"/>
  <c r="BJ313" i="84" s="1"/>
  <c r="BK309" i="84"/>
  <c r="BK313" i="84" s="1"/>
  <c r="BL309" i="84"/>
  <c r="BL313" i="84" s="1"/>
  <c r="BM309" i="84"/>
  <c r="BM313" i="84" s="1"/>
  <c r="BN309" i="84"/>
  <c r="BN313" i="84" s="1"/>
  <c r="BO309" i="84"/>
  <c r="BO313" i="84" s="1"/>
  <c r="BP309" i="84"/>
  <c r="BP313" i="84" s="1"/>
  <c r="BQ309" i="84"/>
  <c r="BQ313" i="84" s="1"/>
  <c r="BR309" i="84"/>
  <c r="BR313" i="84" s="1"/>
  <c r="D309" i="84"/>
  <c r="D313" i="84" s="1"/>
  <c r="D26" i="91"/>
  <c r="D25" i="91"/>
  <c r="D22" i="91"/>
  <c r="D19" i="91"/>
  <c r="D15" i="91" l="1"/>
  <c r="D16" i="91"/>
  <c r="D14" i="91"/>
  <c r="E146" i="28" l="1"/>
  <c r="E147" i="28"/>
  <c r="M13" i="88"/>
  <c r="D33" i="91" l="1"/>
  <c r="D24" i="91"/>
  <c r="D23" i="91"/>
  <c r="D35" i="91" l="1"/>
  <c r="L239" i="28" l="1"/>
  <c r="L240" i="28"/>
  <c r="C220" i="28" l="1"/>
  <c r="E230" i="28"/>
  <c r="E229" i="28"/>
  <c r="G86" i="1" l="1"/>
  <c r="C109" i="72" l="1"/>
  <c r="E331" i="82" l="1"/>
  <c r="F331" i="82"/>
  <c r="G331" i="82"/>
  <c r="H331" i="82"/>
  <c r="I331" i="82"/>
  <c r="J331" i="82"/>
  <c r="K331" i="82"/>
  <c r="L331" i="82"/>
  <c r="M331" i="82"/>
  <c r="N331" i="82"/>
  <c r="O331" i="82"/>
  <c r="P331" i="82"/>
  <c r="Q331" i="82"/>
  <c r="R331" i="82"/>
  <c r="S331" i="82"/>
  <c r="T331" i="82"/>
  <c r="U331" i="82"/>
  <c r="V331" i="82"/>
  <c r="W331" i="82"/>
  <c r="X331" i="82"/>
  <c r="Y331" i="82"/>
  <c r="Z331" i="82"/>
  <c r="AA331" i="82"/>
  <c r="AB331" i="82"/>
  <c r="AC331" i="82"/>
  <c r="AD331" i="82"/>
  <c r="AE331" i="82"/>
  <c r="AF331" i="82"/>
  <c r="AG331" i="82"/>
  <c r="AH331" i="82"/>
  <c r="AI331" i="82"/>
  <c r="AJ331" i="82"/>
  <c r="AK331" i="82"/>
  <c r="AL331" i="82"/>
  <c r="AM331" i="82"/>
  <c r="AN331" i="82"/>
  <c r="AO331" i="82"/>
  <c r="AP331" i="82"/>
  <c r="AQ331" i="82"/>
  <c r="AR331" i="82"/>
  <c r="AS331" i="82"/>
  <c r="AT331" i="82"/>
  <c r="AU331" i="82"/>
  <c r="AV331" i="82"/>
  <c r="AW331" i="82"/>
  <c r="AX331" i="82"/>
  <c r="AY331" i="82"/>
  <c r="AZ331" i="82"/>
  <c r="BA331" i="82"/>
  <c r="BB331" i="82"/>
  <c r="BC331" i="82"/>
  <c r="BD331" i="82"/>
  <c r="BE331" i="82"/>
  <c r="BF331" i="82"/>
  <c r="BG331" i="82"/>
  <c r="BH331" i="82"/>
  <c r="BI331" i="82"/>
  <c r="BJ331" i="82"/>
  <c r="BK331" i="82"/>
  <c r="BL331" i="82"/>
  <c r="BM331" i="82"/>
  <c r="BN331" i="82"/>
  <c r="BO331" i="82"/>
  <c r="BP331" i="82"/>
  <c r="BQ331" i="82"/>
  <c r="BR331" i="82"/>
  <c r="BS331" i="82"/>
  <c r="BT331" i="82"/>
  <c r="BU331" i="82"/>
  <c r="BV331" i="82"/>
  <c r="BW331" i="82"/>
  <c r="BX331" i="82"/>
  <c r="BY331" i="82"/>
  <c r="BZ331" i="82"/>
  <c r="CA331" i="82"/>
  <c r="CB331" i="82"/>
  <c r="CC331" i="82"/>
  <c r="CD331" i="82"/>
  <c r="CE331" i="82"/>
  <c r="CF331" i="82"/>
  <c r="CG331" i="82"/>
  <c r="CH331" i="82"/>
  <c r="CI331" i="82"/>
  <c r="CJ331" i="82"/>
  <c r="CK331" i="82"/>
  <c r="CL331" i="82"/>
  <c r="CM331" i="82"/>
  <c r="CN331" i="82"/>
  <c r="CO331" i="82"/>
  <c r="CP331" i="82"/>
  <c r="CQ331" i="82"/>
  <c r="CR331" i="82"/>
  <c r="CS331" i="82"/>
  <c r="CT331" i="82"/>
  <c r="CU331" i="82"/>
  <c r="CV331" i="82"/>
  <c r="CW331" i="82"/>
  <c r="CX331" i="82"/>
  <c r="CY331" i="82"/>
  <c r="CZ331" i="82"/>
  <c r="E332" i="82"/>
  <c r="F332" i="82"/>
  <c r="G332" i="82"/>
  <c r="H332" i="82"/>
  <c r="I332" i="82"/>
  <c r="J332" i="82"/>
  <c r="K332" i="82"/>
  <c r="L332" i="82"/>
  <c r="M332" i="82"/>
  <c r="N332" i="82"/>
  <c r="O332" i="82"/>
  <c r="P332" i="82"/>
  <c r="Q332" i="82"/>
  <c r="R332" i="82"/>
  <c r="S332" i="82"/>
  <c r="T332" i="82"/>
  <c r="U332" i="82"/>
  <c r="V332" i="82"/>
  <c r="W332" i="82"/>
  <c r="X332" i="82"/>
  <c r="Y332" i="82"/>
  <c r="Z332" i="82"/>
  <c r="AA332" i="82"/>
  <c r="AB332" i="82"/>
  <c r="AC332" i="82"/>
  <c r="AD332" i="82"/>
  <c r="AE332" i="82"/>
  <c r="AF332" i="82"/>
  <c r="AG332" i="82"/>
  <c r="AH332" i="82"/>
  <c r="AI332" i="82"/>
  <c r="AJ332" i="82"/>
  <c r="AK332" i="82"/>
  <c r="AL332" i="82"/>
  <c r="AM332" i="82"/>
  <c r="AN332" i="82"/>
  <c r="AO332" i="82"/>
  <c r="AP332" i="82"/>
  <c r="AQ332" i="82"/>
  <c r="AR332" i="82"/>
  <c r="AS332" i="82"/>
  <c r="AT332" i="82"/>
  <c r="AU332" i="82"/>
  <c r="AV332" i="82"/>
  <c r="AW332" i="82"/>
  <c r="AX332" i="82"/>
  <c r="AY332" i="82"/>
  <c r="AZ332" i="82"/>
  <c r="BA332" i="82"/>
  <c r="BB332" i="82"/>
  <c r="BC332" i="82"/>
  <c r="BD332" i="82"/>
  <c r="BE332" i="82"/>
  <c r="BF332" i="82"/>
  <c r="BG332" i="82"/>
  <c r="BH332" i="82"/>
  <c r="BI332" i="82"/>
  <c r="BJ332" i="82"/>
  <c r="BK332" i="82"/>
  <c r="BL332" i="82"/>
  <c r="BM332" i="82"/>
  <c r="BN332" i="82"/>
  <c r="BO332" i="82"/>
  <c r="BP332" i="82"/>
  <c r="BQ332" i="82"/>
  <c r="BR332" i="82"/>
  <c r="BS332" i="82"/>
  <c r="BT332" i="82"/>
  <c r="BU332" i="82"/>
  <c r="BV332" i="82"/>
  <c r="BW332" i="82"/>
  <c r="BX332" i="82"/>
  <c r="BY332" i="82"/>
  <c r="BZ332" i="82"/>
  <c r="CA332" i="82"/>
  <c r="CB332" i="82"/>
  <c r="CC332" i="82"/>
  <c r="CD332" i="82"/>
  <c r="CE332" i="82"/>
  <c r="CF332" i="82"/>
  <c r="CG332" i="82"/>
  <c r="CH332" i="82"/>
  <c r="CI332" i="82"/>
  <c r="CJ332" i="82"/>
  <c r="CK332" i="82"/>
  <c r="CL332" i="82"/>
  <c r="CM332" i="82"/>
  <c r="CN332" i="82"/>
  <c r="CO332" i="82"/>
  <c r="CP332" i="82"/>
  <c r="CQ332" i="82"/>
  <c r="CR332" i="82"/>
  <c r="CS332" i="82"/>
  <c r="CT332" i="82"/>
  <c r="CU332" i="82"/>
  <c r="CV332" i="82"/>
  <c r="CW332" i="82"/>
  <c r="CX332" i="82"/>
  <c r="CY332" i="82"/>
  <c r="CZ332" i="82"/>
  <c r="E333" i="82"/>
  <c r="F333" i="82"/>
  <c r="G333" i="82"/>
  <c r="H333" i="82"/>
  <c r="I333" i="82"/>
  <c r="J333" i="82"/>
  <c r="K333" i="82"/>
  <c r="L333" i="82"/>
  <c r="M333" i="82"/>
  <c r="N333" i="82"/>
  <c r="O333" i="82"/>
  <c r="P333" i="82"/>
  <c r="Q333" i="82"/>
  <c r="R333" i="82"/>
  <c r="S333" i="82"/>
  <c r="T333" i="82"/>
  <c r="U333" i="82"/>
  <c r="V333" i="82"/>
  <c r="W333" i="82"/>
  <c r="X333" i="82"/>
  <c r="Y333" i="82"/>
  <c r="Z333" i="82"/>
  <c r="AA333" i="82"/>
  <c r="AB333" i="82"/>
  <c r="AC333" i="82"/>
  <c r="AD333" i="82"/>
  <c r="AE333" i="82"/>
  <c r="AF333" i="82"/>
  <c r="AG333" i="82"/>
  <c r="AH333" i="82"/>
  <c r="AI333" i="82"/>
  <c r="AJ333" i="82"/>
  <c r="AK333" i="82"/>
  <c r="AL333" i="82"/>
  <c r="AM333" i="82"/>
  <c r="AN333" i="82"/>
  <c r="AO333" i="82"/>
  <c r="AP333" i="82"/>
  <c r="AQ333" i="82"/>
  <c r="AR333" i="82"/>
  <c r="AS333" i="82"/>
  <c r="AT333" i="82"/>
  <c r="AU333" i="82"/>
  <c r="AV333" i="82"/>
  <c r="AW333" i="82"/>
  <c r="AX333" i="82"/>
  <c r="AY333" i="82"/>
  <c r="AZ333" i="82"/>
  <c r="BA333" i="82"/>
  <c r="BB333" i="82"/>
  <c r="BC333" i="82"/>
  <c r="BD333" i="82"/>
  <c r="BE333" i="82"/>
  <c r="BF333" i="82"/>
  <c r="BG333" i="82"/>
  <c r="BH333" i="82"/>
  <c r="BI333" i="82"/>
  <c r="BJ333" i="82"/>
  <c r="BK333" i="82"/>
  <c r="BL333" i="82"/>
  <c r="BM333" i="82"/>
  <c r="BN333" i="82"/>
  <c r="BO333" i="82"/>
  <c r="BP333" i="82"/>
  <c r="BQ333" i="82"/>
  <c r="BR333" i="82"/>
  <c r="BS333" i="82"/>
  <c r="BT333" i="82"/>
  <c r="BU333" i="82"/>
  <c r="BV333" i="82"/>
  <c r="BW333" i="82"/>
  <c r="BX333" i="82"/>
  <c r="BY333" i="82"/>
  <c r="BZ333" i="82"/>
  <c r="CA333" i="82"/>
  <c r="CB333" i="82"/>
  <c r="CC333" i="82"/>
  <c r="CD333" i="82"/>
  <c r="CE333" i="82"/>
  <c r="CF333" i="82"/>
  <c r="CG333" i="82"/>
  <c r="CH333" i="82"/>
  <c r="CI333" i="82"/>
  <c r="CJ333" i="82"/>
  <c r="CK333" i="82"/>
  <c r="CL333" i="82"/>
  <c r="CM333" i="82"/>
  <c r="CN333" i="82"/>
  <c r="CO333" i="82"/>
  <c r="CP333" i="82"/>
  <c r="CQ333" i="82"/>
  <c r="CR333" i="82"/>
  <c r="CS333" i="82"/>
  <c r="CT333" i="82"/>
  <c r="CU333" i="82"/>
  <c r="CV333" i="82"/>
  <c r="CW333" i="82"/>
  <c r="CX333" i="82"/>
  <c r="CY333" i="82"/>
  <c r="CZ333" i="82"/>
  <c r="D333" i="82"/>
  <c r="D332" i="82"/>
  <c r="D331" i="82"/>
  <c r="E318" i="82"/>
  <c r="F318" i="82"/>
  <c r="G318" i="82"/>
  <c r="H318" i="82"/>
  <c r="I318" i="82"/>
  <c r="J318" i="82"/>
  <c r="K318" i="82"/>
  <c r="L318" i="82"/>
  <c r="M318" i="82"/>
  <c r="N318" i="82"/>
  <c r="O318" i="82"/>
  <c r="P318" i="82"/>
  <c r="Q318" i="82"/>
  <c r="R318" i="82"/>
  <c r="S318" i="82"/>
  <c r="T318" i="82"/>
  <c r="U318" i="82"/>
  <c r="V318" i="82"/>
  <c r="W318" i="82"/>
  <c r="X318" i="82"/>
  <c r="Y318" i="82"/>
  <c r="Z318" i="82"/>
  <c r="AA318" i="82"/>
  <c r="AB318" i="82"/>
  <c r="AC318" i="82"/>
  <c r="AD318" i="82"/>
  <c r="AE318" i="82"/>
  <c r="AF318" i="82"/>
  <c r="AG318" i="82"/>
  <c r="AH318" i="82"/>
  <c r="AI318" i="82"/>
  <c r="AJ318" i="82"/>
  <c r="AK318" i="82"/>
  <c r="AL318" i="82"/>
  <c r="AM318" i="82"/>
  <c r="AN318" i="82"/>
  <c r="AO318" i="82"/>
  <c r="AP318" i="82"/>
  <c r="AQ318" i="82"/>
  <c r="AR318" i="82"/>
  <c r="AS318" i="82"/>
  <c r="AT318" i="82"/>
  <c r="AU318" i="82"/>
  <c r="AV318" i="82"/>
  <c r="AW318" i="82"/>
  <c r="AX318" i="82"/>
  <c r="AY318" i="82"/>
  <c r="AZ318" i="82"/>
  <c r="BA318" i="82"/>
  <c r="BB318" i="82"/>
  <c r="BC318" i="82"/>
  <c r="BD318" i="82"/>
  <c r="BE318" i="82"/>
  <c r="BF318" i="82"/>
  <c r="BG318" i="82"/>
  <c r="BH318" i="82"/>
  <c r="BI318" i="82"/>
  <c r="BJ318" i="82"/>
  <c r="BK318" i="82"/>
  <c r="BL318" i="82"/>
  <c r="BM318" i="82"/>
  <c r="BN318" i="82"/>
  <c r="BO318" i="82"/>
  <c r="BP318" i="82"/>
  <c r="BQ318" i="82"/>
  <c r="BR318" i="82"/>
  <c r="BS318" i="82"/>
  <c r="BT318" i="82"/>
  <c r="BU318" i="82"/>
  <c r="BV318" i="82"/>
  <c r="BW318" i="82"/>
  <c r="BX318" i="82"/>
  <c r="BY318" i="82"/>
  <c r="BZ318" i="82"/>
  <c r="CA318" i="82"/>
  <c r="CB318" i="82"/>
  <c r="CC318" i="82"/>
  <c r="CD318" i="82"/>
  <c r="CE318" i="82"/>
  <c r="CF318" i="82"/>
  <c r="CG318" i="82"/>
  <c r="CH318" i="82"/>
  <c r="CI318" i="82"/>
  <c r="CJ318" i="82"/>
  <c r="CK318" i="82"/>
  <c r="CL318" i="82"/>
  <c r="CM318" i="82"/>
  <c r="CN318" i="82"/>
  <c r="CO318" i="82"/>
  <c r="CP318" i="82"/>
  <c r="CQ318" i="82"/>
  <c r="CR318" i="82"/>
  <c r="CS318" i="82"/>
  <c r="CT318" i="82"/>
  <c r="CU318" i="82"/>
  <c r="CV318" i="82"/>
  <c r="CW318" i="82"/>
  <c r="CX318" i="82"/>
  <c r="CY318" i="82"/>
  <c r="CZ318" i="82"/>
  <c r="D318" i="82"/>
  <c r="E314" i="82"/>
  <c r="F314" i="82"/>
  <c r="G314" i="82"/>
  <c r="H314" i="82"/>
  <c r="I314" i="82"/>
  <c r="J314" i="82"/>
  <c r="K314" i="82"/>
  <c r="L314" i="82"/>
  <c r="M314" i="82"/>
  <c r="N314" i="82"/>
  <c r="O314" i="82"/>
  <c r="P314" i="82"/>
  <c r="Q314" i="82"/>
  <c r="R314" i="82"/>
  <c r="S314" i="82"/>
  <c r="T314" i="82"/>
  <c r="U314" i="82"/>
  <c r="V314" i="82"/>
  <c r="W314" i="82"/>
  <c r="X314" i="82"/>
  <c r="Y314" i="82"/>
  <c r="Z314" i="82"/>
  <c r="AA314" i="82"/>
  <c r="AB314" i="82"/>
  <c r="AC314" i="82"/>
  <c r="AD314" i="82"/>
  <c r="AE314" i="82"/>
  <c r="AF314" i="82"/>
  <c r="AG314" i="82"/>
  <c r="AH314" i="82"/>
  <c r="AI314" i="82"/>
  <c r="AJ314" i="82"/>
  <c r="AK314" i="82"/>
  <c r="AL314" i="82"/>
  <c r="AM314" i="82"/>
  <c r="AN314" i="82"/>
  <c r="AO314" i="82"/>
  <c r="AP314" i="82"/>
  <c r="AQ314" i="82"/>
  <c r="AR314" i="82"/>
  <c r="AS314" i="82"/>
  <c r="AT314" i="82"/>
  <c r="AU314" i="82"/>
  <c r="AV314" i="82"/>
  <c r="AW314" i="82"/>
  <c r="AX314" i="82"/>
  <c r="AY314" i="82"/>
  <c r="AZ314" i="82"/>
  <c r="BA314" i="82"/>
  <c r="BB314" i="82"/>
  <c r="BC314" i="82"/>
  <c r="BD314" i="82"/>
  <c r="BE314" i="82"/>
  <c r="BF314" i="82"/>
  <c r="BG314" i="82"/>
  <c r="BH314" i="82"/>
  <c r="BI314" i="82"/>
  <c r="BJ314" i="82"/>
  <c r="BK314" i="82"/>
  <c r="BL314" i="82"/>
  <c r="BM314" i="82"/>
  <c r="BN314" i="82"/>
  <c r="BO314" i="82"/>
  <c r="BP314" i="82"/>
  <c r="BQ314" i="82"/>
  <c r="BR314" i="82"/>
  <c r="BS314" i="82"/>
  <c r="BT314" i="82"/>
  <c r="BU314" i="82"/>
  <c r="BV314" i="82"/>
  <c r="BW314" i="82"/>
  <c r="BX314" i="82"/>
  <c r="BY314" i="82"/>
  <c r="BZ314" i="82"/>
  <c r="CA314" i="82"/>
  <c r="CB314" i="82"/>
  <c r="CC314" i="82"/>
  <c r="CD314" i="82"/>
  <c r="CE314" i="82"/>
  <c r="CF314" i="82"/>
  <c r="CG314" i="82"/>
  <c r="CH314" i="82"/>
  <c r="CI314" i="82"/>
  <c r="CJ314" i="82"/>
  <c r="CK314" i="82"/>
  <c r="CL314" i="82"/>
  <c r="CM314" i="82"/>
  <c r="CN314" i="82"/>
  <c r="CO314" i="82"/>
  <c r="CP314" i="82"/>
  <c r="CQ314" i="82"/>
  <c r="CR314" i="82"/>
  <c r="CS314" i="82"/>
  <c r="CT314" i="82"/>
  <c r="CU314" i="82"/>
  <c r="CV314" i="82"/>
  <c r="CW314" i="82"/>
  <c r="CX314" i="82"/>
  <c r="CY314" i="82"/>
  <c r="CZ314" i="82"/>
  <c r="D314" i="82"/>
  <c r="CL305" i="82"/>
  <c r="CM305" i="82"/>
  <c r="CN305" i="82"/>
  <c r="CO305" i="82"/>
  <c r="CP305" i="82"/>
  <c r="CQ305" i="82"/>
  <c r="CR305" i="82"/>
  <c r="CS305" i="82"/>
  <c r="CT305" i="82"/>
  <c r="CU305" i="82"/>
  <c r="CV305" i="82"/>
  <c r="CW305" i="82"/>
  <c r="CX305" i="82"/>
  <c r="CY305" i="82"/>
  <c r="CZ305" i="82"/>
  <c r="CL306" i="82"/>
  <c r="CM306" i="82"/>
  <c r="CN306" i="82"/>
  <c r="CO306" i="82"/>
  <c r="CP306" i="82"/>
  <c r="CQ306" i="82"/>
  <c r="CR306" i="82"/>
  <c r="CS306" i="82"/>
  <c r="CT306" i="82"/>
  <c r="CU306" i="82"/>
  <c r="CV306" i="82"/>
  <c r="CW306" i="82"/>
  <c r="CX306" i="82"/>
  <c r="CY306" i="82"/>
  <c r="CZ306" i="82"/>
  <c r="E21" i="1"/>
  <c r="E14" i="1"/>
  <c r="E11" i="1"/>
  <c r="D322" i="82" l="1"/>
  <c r="E322" i="82"/>
  <c r="F322" i="82"/>
  <c r="G322" i="82"/>
  <c r="H322" i="82"/>
  <c r="I322" i="82"/>
  <c r="J322" i="82"/>
  <c r="K322" i="82"/>
  <c r="L322" i="82"/>
  <c r="M322" i="82"/>
  <c r="N322" i="82"/>
  <c r="O322" i="82"/>
  <c r="P322" i="82"/>
  <c r="Q322" i="82"/>
  <c r="R322" i="82"/>
  <c r="S322" i="82"/>
  <c r="T322" i="82"/>
  <c r="U322" i="82"/>
  <c r="V322" i="82"/>
  <c r="W322" i="82"/>
  <c r="X322" i="82"/>
  <c r="Y322" i="82"/>
  <c r="Z322" i="82"/>
  <c r="AA322" i="82"/>
  <c r="AB322" i="82"/>
  <c r="AC322" i="82"/>
  <c r="AD322" i="82"/>
  <c r="AE322" i="82"/>
  <c r="AF322" i="82"/>
  <c r="AG322" i="82"/>
  <c r="AH322" i="82"/>
  <c r="AI322" i="82"/>
  <c r="AJ322" i="82"/>
  <c r="AK322" i="82"/>
  <c r="AL322" i="82"/>
  <c r="AM322" i="82"/>
  <c r="AN322" i="82"/>
  <c r="AO322" i="82"/>
  <c r="AP322" i="82"/>
  <c r="AQ322" i="82"/>
  <c r="AR322" i="82"/>
  <c r="AS322" i="82"/>
  <c r="AT322" i="82"/>
  <c r="AU322" i="82"/>
  <c r="AV322" i="82"/>
  <c r="AW322" i="82"/>
  <c r="AX322" i="82"/>
  <c r="AY322" i="82"/>
  <c r="AZ322" i="82"/>
  <c r="BA322" i="82"/>
  <c r="BB322" i="82"/>
  <c r="BC322" i="82"/>
  <c r="BD322" i="82"/>
  <c r="BE322" i="82"/>
  <c r="BF322" i="82"/>
  <c r="BG322" i="82"/>
  <c r="BH322" i="82"/>
  <c r="BI322" i="82"/>
  <c r="BJ322" i="82"/>
  <c r="BK322" i="82"/>
  <c r="BL322" i="82"/>
  <c r="BM322" i="82"/>
  <c r="BN322" i="82"/>
  <c r="BO322" i="82"/>
  <c r="BP322" i="82"/>
  <c r="BQ322" i="82"/>
  <c r="BR322" i="82"/>
  <c r="BS322" i="82"/>
  <c r="BT322" i="82"/>
  <c r="BU322" i="82"/>
  <c r="BV322" i="82"/>
  <c r="BW322" i="82"/>
  <c r="BX322" i="82"/>
  <c r="BY322" i="82"/>
  <c r="BZ322" i="82"/>
  <c r="CA322" i="82"/>
  <c r="CB322" i="82"/>
  <c r="CC322" i="82"/>
  <c r="CD322" i="82"/>
  <c r="CE322" i="82"/>
  <c r="CF322" i="82"/>
  <c r="CG322" i="82"/>
  <c r="CH322" i="82"/>
  <c r="E321" i="82"/>
  <c r="F321" i="82"/>
  <c r="G321" i="82"/>
  <c r="H321" i="82"/>
  <c r="I321" i="82"/>
  <c r="J321" i="82"/>
  <c r="K321" i="82"/>
  <c r="L321" i="82"/>
  <c r="M321" i="82"/>
  <c r="N321" i="82"/>
  <c r="O321" i="82"/>
  <c r="P321" i="82"/>
  <c r="Q321" i="82"/>
  <c r="R321" i="82"/>
  <c r="S321" i="82"/>
  <c r="T321" i="82"/>
  <c r="U321" i="82"/>
  <c r="V321" i="82"/>
  <c r="W321" i="82"/>
  <c r="X321" i="82"/>
  <c r="Y321" i="82"/>
  <c r="Z321" i="82"/>
  <c r="AA321" i="82"/>
  <c r="AB321" i="82"/>
  <c r="AC321" i="82"/>
  <c r="AD321" i="82"/>
  <c r="AE321" i="82"/>
  <c r="AF321" i="82"/>
  <c r="AG321" i="82"/>
  <c r="AH321" i="82"/>
  <c r="AI321" i="82"/>
  <c r="AJ321" i="82"/>
  <c r="AK321" i="82"/>
  <c r="AL321" i="82"/>
  <c r="AM321" i="82"/>
  <c r="AN321" i="82"/>
  <c r="AO321" i="82"/>
  <c r="AP321" i="82"/>
  <c r="AQ321" i="82"/>
  <c r="AR321" i="82"/>
  <c r="AS321" i="82"/>
  <c r="AT321" i="82"/>
  <c r="AU321" i="82"/>
  <c r="AV321" i="82"/>
  <c r="AW321" i="82"/>
  <c r="AX321" i="82"/>
  <c r="AY321" i="82"/>
  <c r="AZ321" i="82"/>
  <c r="BA321" i="82"/>
  <c r="BB321" i="82"/>
  <c r="BC321" i="82"/>
  <c r="BD321" i="82"/>
  <c r="BE321" i="82"/>
  <c r="BF321" i="82"/>
  <c r="BG321" i="82"/>
  <c r="BH321" i="82"/>
  <c r="BI321" i="82"/>
  <c r="BJ321" i="82"/>
  <c r="BK321" i="82"/>
  <c r="BL321" i="82"/>
  <c r="BM321" i="82"/>
  <c r="BN321" i="82"/>
  <c r="BO321" i="82"/>
  <c r="BP321" i="82"/>
  <c r="BQ321" i="82"/>
  <c r="BR321" i="82"/>
  <c r="BS321" i="82"/>
  <c r="BT321" i="82"/>
  <c r="BU321" i="82"/>
  <c r="BV321" i="82"/>
  <c r="BW321" i="82"/>
  <c r="BX321" i="82"/>
  <c r="BY321" i="82"/>
  <c r="BZ321" i="82"/>
  <c r="CA321" i="82"/>
  <c r="CB321" i="82"/>
  <c r="CC321" i="82"/>
  <c r="CD321" i="82"/>
  <c r="CE321" i="82"/>
  <c r="CF321" i="82"/>
  <c r="CG321" i="82"/>
  <c r="CH321" i="82"/>
  <c r="CI321" i="82"/>
  <c r="CJ321" i="82"/>
  <c r="CK321" i="82"/>
  <c r="CL321" i="82"/>
  <c r="CM321" i="82"/>
  <c r="CN321" i="82"/>
  <c r="CO321" i="82"/>
  <c r="CP321" i="82"/>
  <c r="CQ321" i="82"/>
  <c r="CR321" i="82"/>
  <c r="CS321" i="82"/>
  <c r="CT321" i="82"/>
  <c r="CU321" i="82"/>
  <c r="CV321" i="82"/>
  <c r="CW321" i="82"/>
  <c r="CX321" i="82"/>
  <c r="CY321" i="82"/>
  <c r="CZ321" i="82"/>
  <c r="D321" i="82"/>
  <c r="CI322" i="82"/>
  <c r="CJ322" i="82"/>
  <c r="CK322" i="82"/>
  <c r="CL322" i="82"/>
  <c r="CM322" i="82"/>
  <c r="CN322" i="82"/>
  <c r="CO322" i="82"/>
  <c r="CP322" i="82"/>
  <c r="CQ322" i="82"/>
  <c r="CR322" i="82"/>
  <c r="CS322" i="82"/>
  <c r="CT322" i="82"/>
  <c r="CU322" i="82"/>
  <c r="CV322" i="82"/>
  <c r="CW322" i="82"/>
  <c r="CX322" i="82"/>
  <c r="CY322" i="82"/>
  <c r="CZ322" i="82"/>
  <c r="E323" i="82"/>
  <c r="F323" i="82"/>
  <c r="G323" i="82"/>
  <c r="H323" i="82"/>
  <c r="I323" i="82"/>
  <c r="J323" i="82"/>
  <c r="K323" i="82"/>
  <c r="L323" i="82"/>
  <c r="M323" i="82"/>
  <c r="N323" i="82"/>
  <c r="O323" i="82"/>
  <c r="P323" i="82"/>
  <c r="Q323" i="82"/>
  <c r="R323" i="82"/>
  <c r="S323" i="82"/>
  <c r="T323" i="82"/>
  <c r="U323" i="82"/>
  <c r="V323" i="82"/>
  <c r="W323" i="82"/>
  <c r="X323" i="82"/>
  <c r="Y323" i="82"/>
  <c r="Z323" i="82"/>
  <c r="AA323" i="82"/>
  <c r="AB323" i="82"/>
  <c r="AC323" i="82"/>
  <c r="AD323" i="82"/>
  <c r="AE323" i="82"/>
  <c r="AF323" i="82"/>
  <c r="AG323" i="82"/>
  <c r="AH323" i="82"/>
  <c r="AI323" i="82"/>
  <c r="AJ323" i="82"/>
  <c r="AK323" i="82"/>
  <c r="AL323" i="82"/>
  <c r="AM323" i="82"/>
  <c r="AN323" i="82"/>
  <c r="AO323" i="82"/>
  <c r="AP323" i="82"/>
  <c r="AQ323" i="82"/>
  <c r="AR323" i="82"/>
  <c r="AS323" i="82"/>
  <c r="AT323" i="82"/>
  <c r="AU323" i="82"/>
  <c r="AV323" i="82"/>
  <c r="AW323" i="82"/>
  <c r="AX323" i="82"/>
  <c r="AY323" i="82"/>
  <c r="AZ323" i="82"/>
  <c r="BA323" i="82"/>
  <c r="BB323" i="82"/>
  <c r="BC323" i="82"/>
  <c r="BD323" i="82"/>
  <c r="BE323" i="82"/>
  <c r="BF323" i="82"/>
  <c r="BG323" i="82"/>
  <c r="BH323" i="82"/>
  <c r="BI323" i="82"/>
  <c r="BJ323" i="82"/>
  <c r="BK323" i="82"/>
  <c r="BL323" i="82"/>
  <c r="BM323" i="82"/>
  <c r="BN323" i="82"/>
  <c r="BO323" i="82"/>
  <c r="BP323" i="82"/>
  <c r="BQ323" i="82"/>
  <c r="BR323" i="82"/>
  <c r="BS323" i="82"/>
  <c r="BT323" i="82"/>
  <c r="BU323" i="82"/>
  <c r="BV323" i="82"/>
  <c r="BW323" i="82"/>
  <c r="BX323" i="82"/>
  <c r="BY323" i="82"/>
  <c r="BZ323" i="82"/>
  <c r="CA323" i="82"/>
  <c r="CB323" i="82"/>
  <c r="CC323" i="82"/>
  <c r="CD323" i="82"/>
  <c r="CE323" i="82"/>
  <c r="CF323" i="82"/>
  <c r="CG323" i="82"/>
  <c r="CH323" i="82"/>
  <c r="CI323" i="82"/>
  <c r="CJ323" i="82"/>
  <c r="CK323" i="82"/>
  <c r="CL323" i="82"/>
  <c r="CM323" i="82"/>
  <c r="CN323" i="82"/>
  <c r="CO323" i="82"/>
  <c r="CP323" i="82"/>
  <c r="CQ323" i="82"/>
  <c r="CR323" i="82"/>
  <c r="CS323" i="82"/>
  <c r="CT323" i="82"/>
  <c r="CU323" i="82"/>
  <c r="CV323" i="82"/>
  <c r="CW323" i="82"/>
  <c r="CX323" i="82"/>
  <c r="CY323" i="82"/>
  <c r="CZ323" i="82"/>
  <c r="E324" i="82"/>
  <c r="F324" i="82"/>
  <c r="G324" i="82"/>
  <c r="H324" i="82"/>
  <c r="I324" i="82"/>
  <c r="J324" i="82"/>
  <c r="K324" i="82"/>
  <c r="L324" i="82"/>
  <c r="M324" i="82"/>
  <c r="N324" i="82"/>
  <c r="O324" i="82"/>
  <c r="P324" i="82"/>
  <c r="Q324" i="82"/>
  <c r="R324" i="82"/>
  <c r="S324" i="82"/>
  <c r="T324" i="82"/>
  <c r="U324" i="82"/>
  <c r="V324" i="82"/>
  <c r="W324" i="82"/>
  <c r="X324" i="82"/>
  <c r="Y324" i="82"/>
  <c r="Z324" i="82"/>
  <c r="AA324" i="82"/>
  <c r="AB324" i="82"/>
  <c r="AC324" i="82"/>
  <c r="AD324" i="82"/>
  <c r="AE324" i="82"/>
  <c r="AF324" i="82"/>
  <c r="AG324" i="82"/>
  <c r="AH324" i="82"/>
  <c r="AI324" i="82"/>
  <c r="AJ324" i="82"/>
  <c r="AK324" i="82"/>
  <c r="AL324" i="82"/>
  <c r="AM324" i="82"/>
  <c r="AN324" i="82"/>
  <c r="AO324" i="82"/>
  <c r="AP324" i="82"/>
  <c r="AQ324" i="82"/>
  <c r="AR324" i="82"/>
  <c r="AS324" i="82"/>
  <c r="AT324" i="82"/>
  <c r="AU324" i="82"/>
  <c r="AV324" i="82"/>
  <c r="AW324" i="82"/>
  <c r="AX324" i="82"/>
  <c r="AY324" i="82"/>
  <c r="AZ324" i="82"/>
  <c r="BA324" i="82"/>
  <c r="BB324" i="82"/>
  <c r="BC324" i="82"/>
  <c r="BD324" i="82"/>
  <c r="BE324" i="82"/>
  <c r="BF324" i="82"/>
  <c r="BG324" i="82"/>
  <c r="BH324" i="82"/>
  <c r="BI324" i="82"/>
  <c r="BJ324" i="82"/>
  <c r="BK324" i="82"/>
  <c r="BL324" i="82"/>
  <c r="BM324" i="82"/>
  <c r="BN324" i="82"/>
  <c r="BO324" i="82"/>
  <c r="BP324" i="82"/>
  <c r="BQ324" i="82"/>
  <c r="BR324" i="82"/>
  <c r="BS324" i="82"/>
  <c r="BT324" i="82"/>
  <c r="BU324" i="82"/>
  <c r="BV324" i="82"/>
  <c r="BW324" i="82"/>
  <c r="BX324" i="82"/>
  <c r="BY324" i="82"/>
  <c r="BZ324" i="82"/>
  <c r="CA324" i="82"/>
  <c r="CB324" i="82"/>
  <c r="CC324" i="82"/>
  <c r="CD324" i="82"/>
  <c r="CE324" i="82"/>
  <c r="CF324" i="82"/>
  <c r="CG324" i="82"/>
  <c r="CH324" i="82"/>
  <c r="CI324" i="82"/>
  <c r="CJ324" i="82"/>
  <c r="CK324" i="82"/>
  <c r="CL324" i="82"/>
  <c r="CM324" i="82"/>
  <c r="CN324" i="82"/>
  <c r="CO324" i="82"/>
  <c r="CP324" i="82"/>
  <c r="CQ324" i="82"/>
  <c r="CR324" i="82"/>
  <c r="CS324" i="82"/>
  <c r="CT324" i="82"/>
  <c r="CU324" i="82"/>
  <c r="CV324" i="82"/>
  <c r="CW324" i="82"/>
  <c r="CX324" i="82"/>
  <c r="CY324" i="82"/>
  <c r="CZ324" i="82"/>
  <c r="E325" i="82"/>
  <c r="F325" i="82"/>
  <c r="G325" i="82"/>
  <c r="H325" i="82"/>
  <c r="I325" i="82"/>
  <c r="J325" i="82"/>
  <c r="K325" i="82"/>
  <c r="L325" i="82"/>
  <c r="M325" i="82"/>
  <c r="N325" i="82"/>
  <c r="O325" i="82"/>
  <c r="P325" i="82"/>
  <c r="Q325" i="82"/>
  <c r="R325" i="82"/>
  <c r="S325" i="82"/>
  <c r="T325" i="82"/>
  <c r="U325" i="82"/>
  <c r="V325" i="82"/>
  <c r="W325" i="82"/>
  <c r="X325" i="82"/>
  <c r="Y325" i="82"/>
  <c r="Z325" i="82"/>
  <c r="AA325" i="82"/>
  <c r="AB325" i="82"/>
  <c r="AC325" i="82"/>
  <c r="AD325" i="82"/>
  <c r="AE325" i="82"/>
  <c r="AF325" i="82"/>
  <c r="AG325" i="82"/>
  <c r="AH325" i="82"/>
  <c r="AI325" i="82"/>
  <c r="AJ325" i="82"/>
  <c r="AK325" i="82"/>
  <c r="AL325" i="82"/>
  <c r="AM325" i="82"/>
  <c r="AN325" i="82"/>
  <c r="AO325" i="82"/>
  <c r="AP325" i="82"/>
  <c r="AQ325" i="82"/>
  <c r="AR325" i="82"/>
  <c r="AS325" i="82"/>
  <c r="AT325" i="82"/>
  <c r="AU325" i="82"/>
  <c r="AV325" i="82"/>
  <c r="AW325" i="82"/>
  <c r="AX325" i="82"/>
  <c r="AY325" i="82"/>
  <c r="AZ325" i="82"/>
  <c r="BA325" i="82"/>
  <c r="BB325" i="82"/>
  <c r="BC325" i="82"/>
  <c r="BD325" i="82"/>
  <c r="BE325" i="82"/>
  <c r="BF325" i="82"/>
  <c r="BG325" i="82"/>
  <c r="BH325" i="82"/>
  <c r="BI325" i="82"/>
  <c r="BJ325" i="82"/>
  <c r="BK325" i="82"/>
  <c r="BL325" i="82"/>
  <c r="BM325" i="82"/>
  <c r="BN325" i="82"/>
  <c r="BO325" i="82"/>
  <c r="BP325" i="82"/>
  <c r="BQ325" i="82"/>
  <c r="BR325" i="82"/>
  <c r="BS325" i="82"/>
  <c r="BT325" i="82"/>
  <c r="BU325" i="82"/>
  <c r="BV325" i="82"/>
  <c r="BW325" i="82"/>
  <c r="BX325" i="82"/>
  <c r="BY325" i="82"/>
  <c r="BZ325" i="82"/>
  <c r="CA325" i="82"/>
  <c r="CB325" i="82"/>
  <c r="CC325" i="82"/>
  <c r="CD325" i="82"/>
  <c r="CE325" i="82"/>
  <c r="CF325" i="82"/>
  <c r="CG325" i="82"/>
  <c r="CH325" i="82"/>
  <c r="CI325" i="82"/>
  <c r="CJ325" i="82"/>
  <c r="CK325" i="82"/>
  <c r="CL325" i="82"/>
  <c r="CM325" i="82"/>
  <c r="CN325" i="82"/>
  <c r="CO325" i="82"/>
  <c r="CP325" i="82"/>
  <c r="CQ325" i="82"/>
  <c r="CR325" i="82"/>
  <c r="CS325" i="82"/>
  <c r="CT325" i="82"/>
  <c r="CU325" i="82"/>
  <c r="CV325" i="82"/>
  <c r="CW325" i="82"/>
  <c r="CX325" i="82"/>
  <c r="CY325" i="82"/>
  <c r="CZ325" i="82"/>
  <c r="E326" i="82"/>
  <c r="F326" i="82"/>
  <c r="G326" i="82"/>
  <c r="H326" i="82"/>
  <c r="I326" i="82"/>
  <c r="J326" i="82"/>
  <c r="K326" i="82"/>
  <c r="L326" i="82"/>
  <c r="M326" i="82"/>
  <c r="N326" i="82"/>
  <c r="O326" i="82"/>
  <c r="P326" i="82"/>
  <c r="Q326" i="82"/>
  <c r="R326" i="82"/>
  <c r="S326" i="82"/>
  <c r="T326" i="82"/>
  <c r="U326" i="82"/>
  <c r="V326" i="82"/>
  <c r="W326" i="82"/>
  <c r="X326" i="82"/>
  <c r="Y326" i="82"/>
  <c r="Z326" i="82"/>
  <c r="AA326" i="82"/>
  <c r="AB326" i="82"/>
  <c r="AC326" i="82"/>
  <c r="AD326" i="82"/>
  <c r="AE326" i="82"/>
  <c r="AF326" i="82"/>
  <c r="AG326" i="82"/>
  <c r="AH326" i="82"/>
  <c r="AI326" i="82"/>
  <c r="AJ326" i="82"/>
  <c r="AK326" i="82"/>
  <c r="AL326" i="82"/>
  <c r="AM326" i="82"/>
  <c r="AN326" i="82"/>
  <c r="AO326" i="82"/>
  <c r="AP326" i="82"/>
  <c r="AQ326" i="82"/>
  <c r="AR326" i="82"/>
  <c r="AS326" i="82"/>
  <c r="AT326" i="82"/>
  <c r="AU326" i="82"/>
  <c r="AV326" i="82"/>
  <c r="AW326" i="82"/>
  <c r="AX326" i="82"/>
  <c r="AY326" i="82"/>
  <c r="AZ326" i="82"/>
  <c r="BA326" i="82"/>
  <c r="BB326" i="82"/>
  <c r="BC326" i="82"/>
  <c r="BD326" i="82"/>
  <c r="BE326" i="82"/>
  <c r="BF326" i="82"/>
  <c r="BG326" i="82"/>
  <c r="BH326" i="82"/>
  <c r="BI326" i="82"/>
  <c r="BJ326" i="82"/>
  <c r="BK326" i="82"/>
  <c r="BL326" i="82"/>
  <c r="BM326" i="82"/>
  <c r="BN326" i="82"/>
  <c r="BO326" i="82"/>
  <c r="BP326" i="82"/>
  <c r="BQ326" i="82"/>
  <c r="BR326" i="82"/>
  <c r="BS326" i="82"/>
  <c r="BT326" i="82"/>
  <c r="BU326" i="82"/>
  <c r="BV326" i="82"/>
  <c r="BW326" i="82"/>
  <c r="BX326" i="82"/>
  <c r="BY326" i="82"/>
  <c r="BZ326" i="82"/>
  <c r="CA326" i="82"/>
  <c r="CB326" i="82"/>
  <c r="CC326" i="82"/>
  <c r="CD326" i="82"/>
  <c r="CE326" i="82"/>
  <c r="CF326" i="82"/>
  <c r="CG326" i="82"/>
  <c r="CH326" i="82"/>
  <c r="CI326" i="82"/>
  <c r="CJ326" i="82"/>
  <c r="CK326" i="82"/>
  <c r="CL326" i="82"/>
  <c r="CM326" i="82"/>
  <c r="CN326" i="82"/>
  <c r="CO326" i="82"/>
  <c r="CP326" i="82"/>
  <c r="CQ326" i="82"/>
  <c r="CR326" i="82"/>
  <c r="CS326" i="82"/>
  <c r="CT326" i="82"/>
  <c r="CU326" i="82"/>
  <c r="CV326" i="82"/>
  <c r="CW326" i="82"/>
  <c r="CX326" i="82"/>
  <c r="CY326" i="82"/>
  <c r="CZ326" i="82"/>
  <c r="D323" i="82"/>
  <c r="D324" i="82"/>
  <c r="D325" i="82"/>
  <c r="D326" i="82"/>
  <c r="E320" i="82"/>
  <c r="F320" i="82"/>
  <c r="G320" i="82"/>
  <c r="H320" i="82"/>
  <c r="I320" i="82"/>
  <c r="J320" i="82"/>
  <c r="K320" i="82"/>
  <c r="L320" i="82"/>
  <c r="M320" i="82"/>
  <c r="N320" i="82"/>
  <c r="O320" i="82"/>
  <c r="P320" i="82"/>
  <c r="Q320" i="82"/>
  <c r="R320" i="82"/>
  <c r="S320" i="82"/>
  <c r="T320" i="82"/>
  <c r="U320" i="82"/>
  <c r="V320" i="82"/>
  <c r="W320" i="82"/>
  <c r="X320" i="82"/>
  <c r="Y320" i="82"/>
  <c r="Z320" i="82"/>
  <c r="AA320" i="82"/>
  <c r="AB320" i="82"/>
  <c r="AC320" i="82"/>
  <c r="AD320" i="82"/>
  <c r="AE320" i="82"/>
  <c r="AF320" i="82"/>
  <c r="AG320" i="82"/>
  <c r="AH320" i="82"/>
  <c r="AI320" i="82"/>
  <c r="AJ320" i="82"/>
  <c r="AK320" i="82"/>
  <c r="AL320" i="82"/>
  <c r="AM320" i="82"/>
  <c r="AN320" i="82"/>
  <c r="AO320" i="82"/>
  <c r="AP320" i="82"/>
  <c r="AQ320" i="82"/>
  <c r="AR320" i="82"/>
  <c r="AS320" i="82"/>
  <c r="AT320" i="82"/>
  <c r="AU320" i="82"/>
  <c r="AV320" i="82"/>
  <c r="AW320" i="82"/>
  <c r="AX320" i="82"/>
  <c r="AY320" i="82"/>
  <c r="AZ320" i="82"/>
  <c r="BA320" i="82"/>
  <c r="BB320" i="82"/>
  <c r="BC320" i="82"/>
  <c r="BD320" i="82"/>
  <c r="BE320" i="82"/>
  <c r="BF320" i="82"/>
  <c r="BG320" i="82"/>
  <c r="BH320" i="82"/>
  <c r="BI320" i="82"/>
  <c r="BJ320" i="82"/>
  <c r="BK320" i="82"/>
  <c r="BL320" i="82"/>
  <c r="BM320" i="82"/>
  <c r="BN320" i="82"/>
  <c r="BO320" i="82"/>
  <c r="BP320" i="82"/>
  <c r="BQ320" i="82"/>
  <c r="BR320" i="82"/>
  <c r="BS320" i="82"/>
  <c r="BT320" i="82"/>
  <c r="BU320" i="82"/>
  <c r="BV320" i="82"/>
  <c r="BW320" i="82"/>
  <c r="BX320" i="82"/>
  <c r="BY320" i="82"/>
  <c r="BZ320" i="82"/>
  <c r="CA320" i="82"/>
  <c r="CB320" i="82"/>
  <c r="CC320" i="82"/>
  <c r="CD320" i="82"/>
  <c r="CE320" i="82"/>
  <c r="CF320" i="82"/>
  <c r="CG320" i="82"/>
  <c r="CH320" i="82"/>
  <c r="CI320" i="82"/>
  <c r="CJ320" i="82"/>
  <c r="CK320" i="82"/>
  <c r="CL320" i="82"/>
  <c r="CM320" i="82"/>
  <c r="CN320" i="82"/>
  <c r="CO320" i="82"/>
  <c r="CP320" i="82"/>
  <c r="CQ320" i="82"/>
  <c r="CR320" i="82"/>
  <c r="CS320" i="82"/>
  <c r="CT320" i="82"/>
  <c r="CU320" i="82"/>
  <c r="CV320" i="82"/>
  <c r="CW320" i="82"/>
  <c r="CX320" i="82"/>
  <c r="CY320" i="82"/>
  <c r="CZ320" i="82"/>
  <c r="D320" i="82"/>
  <c r="E310" i="82"/>
  <c r="F310" i="82"/>
  <c r="G310" i="82"/>
  <c r="H310" i="82"/>
  <c r="I310" i="82"/>
  <c r="J310" i="82"/>
  <c r="K310" i="82"/>
  <c r="L310" i="82"/>
  <c r="M310" i="82"/>
  <c r="N310" i="82"/>
  <c r="O310" i="82"/>
  <c r="P310" i="82"/>
  <c r="Q310" i="82"/>
  <c r="R310" i="82"/>
  <c r="S310" i="82"/>
  <c r="T310" i="82"/>
  <c r="U310" i="82"/>
  <c r="V310" i="82"/>
  <c r="W310" i="82"/>
  <c r="X310" i="82"/>
  <c r="Y310" i="82"/>
  <c r="Z310" i="82"/>
  <c r="AA310" i="82"/>
  <c r="AB310" i="82"/>
  <c r="AC310" i="82"/>
  <c r="AD310" i="82"/>
  <c r="AE310" i="82"/>
  <c r="AF310" i="82"/>
  <c r="AG310" i="82"/>
  <c r="AH310" i="82"/>
  <c r="AI310" i="82"/>
  <c r="AJ310" i="82"/>
  <c r="AK310" i="82"/>
  <c r="AL310" i="82"/>
  <c r="AM310" i="82"/>
  <c r="AN310" i="82"/>
  <c r="AO310" i="82"/>
  <c r="AP310" i="82"/>
  <c r="AQ310" i="82"/>
  <c r="AR310" i="82"/>
  <c r="AS310" i="82"/>
  <c r="AT310" i="82"/>
  <c r="AU310" i="82"/>
  <c r="AV310" i="82"/>
  <c r="AW310" i="82"/>
  <c r="AX310" i="82"/>
  <c r="AY310" i="82"/>
  <c r="AZ310" i="82"/>
  <c r="BA310" i="82"/>
  <c r="BB310" i="82"/>
  <c r="BC310" i="82"/>
  <c r="BD310" i="82"/>
  <c r="BE310" i="82"/>
  <c r="BF310" i="82"/>
  <c r="BG310" i="82"/>
  <c r="BH310" i="82"/>
  <c r="BI310" i="82"/>
  <c r="BJ310" i="82"/>
  <c r="BK310" i="82"/>
  <c r="BL310" i="82"/>
  <c r="BM310" i="82"/>
  <c r="BN310" i="82"/>
  <c r="BO310" i="82"/>
  <c r="BP310" i="82"/>
  <c r="BQ310" i="82"/>
  <c r="BR310" i="82"/>
  <c r="BS310" i="82"/>
  <c r="BT310" i="82"/>
  <c r="BU310" i="82"/>
  <c r="BV310" i="82"/>
  <c r="BW310" i="82"/>
  <c r="BX310" i="82"/>
  <c r="BY310" i="82"/>
  <c r="BZ310" i="82"/>
  <c r="CA310" i="82"/>
  <c r="CB310" i="82"/>
  <c r="CC310" i="82"/>
  <c r="CD310" i="82"/>
  <c r="CE310" i="82"/>
  <c r="CF310" i="82"/>
  <c r="CG310" i="82"/>
  <c r="CH310" i="82"/>
  <c r="CI310" i="82"/>
  <c r="CJ310" i="82"/>
  <c r="CK310" i="82"/>
  <c r="CL310" i="82"/>
  <c r="CM310" i="82"/>
  <c r="CN310" i="82"/>
  <c r="CO310" i="82"/>
  <c r="CP310" i="82"/>
  <c r="CQ310" i="82"/>
  <c r="CR310" i="82"/>
  <c r="CS310" i="82"/>
  <c r="CT310" i="82"/>
  <c r="CU310" i="82"/>
  <c r="CV310" i="82"/>
  <c r="CW310" i="82"/>
  <c r="CX310" i="82"/>
  <c r="CY310" i="82"/>
  <c r="CZ310" i="82"/>
  <c r="E311" i="82"/>
  <c r="F311" i="82"/>
  <c r="G311" i="82"/>
  <c r="H311" i="82"/>
  <c r="I311" i="82"/>
  <c r="J311" i="82"/>
  <c r="K311" i="82"/>
  <c r="L311" i="82"/>
  <c r="M311" i="82"/>
  <c r="N311" i="82"/>
  <c r="O311" i="82"/>
  <c r="P311" i="82"/>
  <c r="Q311" i="82"/>
  <c r="R311" i="82"/>
  <c r="S311" i="82"/>
  <c r="T311" i="82"/>
  <c r="U311" i="82"/>
  <c r="V311" i="82"/>
  <c r="W311" i="82"/>
  <c r="X311" i="82"/>
  <c r="Y311" i="82"/>
  <c r="Z311" i="82"/>
  <c r="AA311" i="82"/>
  <c r="AB311" i="82"/>
  <c r="AC311" i="82"/>
  <c r="AD311" i="82"/>
  <c r="AE311" i="82"/>
  <c r="AF311" i="82"/>
  <c r="AG311" i="82"/>
  <c r="AH311" i="82"/>
  <c r="AI311" i="82"/>
  <c r="AJ311" i="82"/>
  <c r="AK311" i="82"/>
  <c r="AL311" i="82"/>
  <c r="AM311" i="82"/>
  <c r="AN311" i="82"/>
  <c r="AO311" i="82"/>
  <c r="AP311" i="82"/>
  <c r="AQ311" i="82"/>
  <c r="AR311" i="82"/>
  <c r="AS311" i="82"/>
  <c r="AT311" i="82"/>
  <c r="AU311" i="82"/>
  <c r="AV311" i="82"/>
  <c r="AW311" i="82"/>
  <c r="AX311" i="82"/>
  <c r="AY311" i="82"/>
  <c r="AZ311" i="82"/>
  <c r="BA311" i="82"/>
  <c r="BB311" i="82"/>
  <c r="BC311" i="82"/>
  <c r="BD311" i="82"/>
  <c r="BE311" i="82"/>
  <c r="BF311" i="82"/>
  <c r="BG311" i="82"/>
  <c r="BH311" i="82"/>
  <c r="BI311" i="82"/>
  <c r="BJ311" i="82"/>
  <c r="BK311" i="82"/>
  <c r="BL311" i="82"/>
  <c r="BM311" i="82"/>
  <c r="BN311" i="82"/>
  <c r="BO311" i="82"/>
  <c r="BP311" i="82"/>
  <c r="BQ311" i="82"/>
  <c r="BR311" i="82"/>
  <c r="BS311" i="82"/>
  <c r="BT311" i="82"/>
  <c r="BU311" i="82"/>
  <c r="BV311" i="82"/>
  <c r="BW311" i="82"/>
  <c r="BX311" i="82"/>
  <c r="BY311" i="82"/>
  <c r="BZ311" i="82"/>
  <c r="CA311" i="82"/>
  <c r="CB311" i="82"/>
  <c r="CC311" i="82"/>
  <c r="CD311" i="82"/>
  <c r="CE311" i="82"/>
  <c r="CF311" i="82"/>
  <c r="CG311" i="82"/>
  <c r="CH311" i="82"/>
  <c r="CI311" i="82"/>
  <c r="CJ311" i="82"/>
  <c r="CK311" i="82"/>
  <c r="CL311" i="82"/>
  <c r="CM311" i="82"/>
  <c r="CN311" i="82"/>
  <c r="CO311" i="82"/>
  <c r="CP311" i="82"/>
  <c r="CQ311" i="82"/>
  <c r="CR311" i="82"/>
  <c r="CS311" i="82"/>
  <c r="CT311" i="82"/>
  <c r="CU311" i="82"/>
  <c r="CV311" i="82"/>
  <c r="CW311" i="82"/>
  <c r="CX311" i="82"/>
  <c r="CY311" i="82"/>
  <c r="CZ311" i="82"/>
  <c r="E312" i="82"/>
  <c r="F312" i="82"/>
  <c r="G312" i="82"/>
  <c r="H312" i="82"/>
  <c r="I312" i="82"/>
  <c r="J312" i="82"/>
  <c r="K312" i="82"/>
  <c r="L312" i="82"/>
  <c r="M312" i="82"/>
  <c r="N312" i="82"/>
  <c r="O312" i="82"/>
  <c r="P312" i="82"/>
  <c r="Q312" i="82"/>
  <c r="R312" i="82"/>
  <c r="S312" i="82"/>
  <c r="T312" i="82"/>
  <c r="U312" i="82"/>
  <c r="V312" i="82"/>
  <c r="W312" i="82"/>
  <c r="X312" i="82"/>
  <c r="Y312" i="82"/>
  <c r="Z312" i="82"/>
  <c r="AA312" i="82"/>
  <c r="AB312" i="82"/>
  <c r="AC312" i="82"/>
  <c r="AD312" i="82"/>
  <c r="AE312" i="82"/>
  <c r="AF312" i="82"/>
  <c r="AG312" i="82"/>
  <c r="AH312" i="82"/>
  <c r="AI312" i="82"/>
  <c r="AJ312" i="82"/>
  <c r="AK312" i="82"/>
  <c r="AL312" i="82"/>
  <c r="AM312" i="82"/>
  <c r="AN312" i="82"/>
  <c r="AO312" i="82"/>
  <c r="AP312" i="82"/>
  <c r="AQ312" i="82"/>
  <c r="AR312" i="82"/>
  <c r="AS312" i="82"/>
  <c r="AT312" i="82"/>
  <c r="AU312" i="82"/>
  <c r="AV312" i="82"/>
  <c r="AW312" i="82"/>
  <c r="AX312" i="82"/>
  <c r="AY312" i="82"/>
  <c r="AZ312" i="82"/>
  <c r="BA312" i="82"/>
  <c r="BB312" i="82"/>
  <c r="BC312" i="82"/>
  <c r="BD312" i="82"/>
  <c r="BE312" i="82"/>
  <c r="BF312" i="82"/>
  <c r="BG312" i="82"/>
  <c r="BH312" i="82"/>
  <c r="BI312" i="82"/>
  <c r="BJ312" i="82"/>
  <c r="BK312" i="82"/>
  <c r="BL312" i="82"/>
  <c r="BM312" i="82"/>
  <c r="BN312" i="82"/>
  <c r="BO312" i="82"/>
  <c r="BP312" i="82"/>
  <c r="BQ312" i="82"/>
  <c r="BR312" i="82"/>
  <c r="BS312" i="82"/>
  <c r="BT312" i="82"/>
  <c r="BU312" i="82"/>
  <c r="BV312" i="82"/>
  <c r="BW312" i="82"/>
  <c r="BX312" i="82"/>
  <c r="BY312" i="82"/>
  <c r="BZ312" i="82"/>
  <c r="CA312" i="82"/>
  <c r="CB312" i="82"/>
  <c r="CC312" i="82"/>
  <c r="CD312" i="82"/>
  <c r="CE312" i="82"/>
  <c r="CF312" i="82"/>
  <c r="CG312" i="82"/>
  <c r="CH312" i="82"/>
  <c r="CI312" i="82"/>
  <c r="CJ312" i="82"/>
  <c r="CK312" i="82"/>
  <c r="CL312" i="82"/>
  <c r="CM312" i="82"/>
  <c r="CN312" i="82"/>
  <c r="CO312" i="82"/>
  <c r="CP312" i="82"/>
  <c r="CQ312" i="82"/>
  <c r="CR312" i="82"/>
  <c r="CS312" i="82"/>
  <c r="CT312" i="82"/>
  <c r="CU312" i="82"/>
  <c r="CV312" i="82"/>
  <c r="CW312" i="82"/>
  <c r="CX312" i="82"/>
  <c r="CY312" i="82"/>
  <c r="CZ312" i="82"/>
  <c r="E313" i="82"/>
  <c r="F313" i="82"/>
  <c r="G313" i="82"/>
  <c r="H313" i="82"/>
  <c r="I313" i="82"/>
  <c r="J313" i="82"/>
  <c r="K313" i="82"/>
  <c r="L313" i="82"/>
  <c r="M313" i="82"/>
  <c r="N313" i="82"/>
  <c r="O313" i="82"/>
  <c r="P313" i="82"/>
  <c r="Q313" i="82"/>
  <c r="R313" i="82"/>
  <c r="S313" i="82"/>
  <c r="T313" i="82"/>
  <c r="U313" i="82"/>
  <c r="V313" i="82"/>
  <c r="W313" i="82"/>
  <c r="X313" i="82"/>
  <c r="Y313" i="82"/>
  <c r="Z313" i="82"/>
  <c r="AA313" i="82"/>
  <c r="AB313" i="82"/>
  <c r="AC313" i="82"/>
  <c r="AD313" i="82"/>
  <c r="AE313" i="82"/>
  <c r="AF313" i="82"/>
  <c r="AG313" i="82"/>
  <c r="AH313" i="82"/>
  <c r="AI313" i="82"/>
  <c r="AJ313" i="82"/>
  <c r="AK313" i="82"/>
  <c r="AL313" i="82"/>
  <c r="AM313" i="82"/>
  <c r="AN313" i="82"/>
  <c r="AO313" i="82"/>
  <c r="AP313" i="82"/>
  <c r="AQ313" i="82"/>
  <c r="AR313" i="82"/>
  <c r="AS313" i="82"/>
  <c r="AT313" i="82"/>
  <c r="AU313" i="82"/>
  <c r="AV313" i="82"/>
  <c r="AW313" i="82"/>
  <c r="AX313" i="82"/>
  <c r="AY313" i="82"/>
  <c r="AZ313" i="82"/>
  <c r="BA313" i="82"/>
  <c r="BB313" i="82"/>
  <c r="BC313" i="82"/>
  <c r="BD313" i="82"/>
  <c r="BE313" i="82"/>
  <c r="BF313" i="82"/>
  <c r="BG313" i="82"/>
  <c r="BH313" i="82"/>
  <c r="BI313" i="82"/>
  <c r="BJ313" i="82"/>
  <c r="BK313" i="82"/>
  <c r="BL313" i="82"/>
  <c r="BM313" i="82"/>
  <c r="BN313" i="82"/>
  <c r="BO313" i="82"/>
  <c r="BP313" i="82"/>
  <c r="BQ313" i="82"/>
  <c r="BR313" i="82"/>
  <c r="BS313" i="82"/>
  <c r="BT313" i="82"/>
  <c r="BU313" i="82"/>
  <c r="BV313" i="82"/>
  <c r="BW313" i="82"/>
  <c r="BX313" i="82"/>
  <c r="BY313" i="82"/>
  <c r="BZ313" i="82"/>
  <c r="CA313" i="82"/>
  <c r="CB313" i="82"/>
  <c r="CC313" i="82"/>
  <c r="CD313" i="82"/>
  <c r="CE313" i="82"/>
  <c r="CF313" i="82"/>
  <c r="CG313" i="82"/>
  <c r="CH313" i="82"/>
  <c r="CI313" i="82"/>
  <c r="CJ313" i="82"/>
  <c r="CK313" i="82"/>
  <c r="CL313" i="82"/>
  <c r="CM313" i="82"/>
  <c r="CN313" i="82"/>
  <c r="CO313" i="82"/>
  <c r="CP313" i="82"/>
  <c r="CQ313" i="82"/>
  <c r="CR313" i="82"/>
  <c r="CS313" i="82"/>
  <c r="CT313" i="82"/>
  <c r="CU313" i="82"/>
  <c r="CV313" i="82"/>
  <c r="CW313" i="82"/>
  <c r="CX313" i="82"/>
  <c r="CY313" i="82"/>
  <c r="CZ313" i="82"/>
  <c r="D311" i="82"/>
  <c r="D312" i="82"/>
  <c r="D313" i="82"/>
  <c r="D310" i="82"/>
  <c r="E264" i="1"/>
  <c r="E261" i="1"/>
  <c r="E260" i="1"/>
  <c r="E255" i="1"/>
  <c r="E256" i="1"/>
  <c r="E257" i="1"/>
  <c r="E258" i="1"/>
  <c r="E259" i="1"/>
  <c r="E254" i="1"/>
  <c r="E251" i="1"/>
  <c r="E249" i="1"/>
  <c r="E247" i="1"/>
  <c r="E245" i="1"/>
  <c r="E243" i="1"/>
  <c r="E244" i="1"/>
  <c r="E242" i="1"/>
  <c r="E238" i="1"/>
  <c r="E235" i="1"/>
  <c r="E233" i="1"/>
  <c r="E234" i="1"/>
  <c r="E232" i="1"/>
  <c r="E231" i="1"/>
  <c r="E229" i="1"/>
  <c r="E227" i="1"/>
  <c r="E228" i="1"/>
  <c r="E226" i="1"/>
  <c r="E223" i="1"/>
  <c r="E221" i="1"/>
  <c r="E219" i="1"/>
  <c r="E220" i="1"/>
  <c r="E218" i="1"/>
  <c r="E215" i="1"/>
  <c r="E216" i="1"/>
  <c r="E214" i="1"/>
  <c r="E209" i="1"/>
  <c r="E207" i="1"/>
  <c r="E208" i="1"/>
  <c r="E206" i="1"/>
  <c r="E203" i="1"/>
  <c r="E201" i="1"/>
  <c r="E202" i="1"/>
  <c r="E200" i="1"/>
  <c r="E197" i="1"/>
  <c r="E195" i="1"/>
  <c r="E196" i="1"/>
  <c r="E194" i="1"/>
  <c r="E190" i="1"/>
  <c r="E189" i="1"/>
  <c r="E181" i="1"/>
  <c r="E182" i="1"/>
  <c r="E183" i="1"/>
  <c r="E184" i="1"/>
  <c r="E185" i="1"/>
  <c r="E173" i="1"/>
  <c r="E175" i="1"/>
  <c r="E177" i="1"/>
  <c r="E168" i="1"/>
  <c r="E169" i="1"/>
  <c r="E170" i="1"/>
  <c r="E171" i="1"/>
  <c r="E165" i="1"/>
  <c r="E166" i="1"/>
  <c r="E162" i="1"/>
  <c r="E164" i="1"/>
  <c r="E160" i="1"/>
  <c r="E161" i="1"/>
  <c r="E155" i="1"/>
  <c r="E151" i="1"/>
  <c r="E152" i="1"/>
  <c r="E153" i="1"/>
  <c r="E154" i="1"/>
  <c r="E147" i="1"/>
  <c r="E148" i="1"/>
  <c r="E149" i="1"/>
  <c r="E150" i="1"/>
  <c r="E143" i="1"/>
  <c r="E144" i="1"/>
  <c r="E145" i="1"/>
  <c r="E146" i="1"/>
  <c r="E139" i="1"/>
  <c r="E140" i="1"/>
  <c r="E142" i="1"/>
  <c r="E136" i="1"/>
  <c r="E137" i="1"/>
  <c r="E138" i="1"/>
  <c r="E132" i="1"/>
  <c r="E133" i="1"/>
  <c r="E134" i="1"/>
  <c r="E135" i="1"/>
  <c r="E128" i="1"/>
  <c r="E129" i="1"/>
  <c r="E130" i="1"/>
  <c r="E131" i="1"/>
  <c r="E125" i="1"/>
  <c r="E126" i="1"/>
  <c r="E127" i="1"/>
  <c r="E120" i="1"/>
  <c r="E121" i="1"/>
  <c r="E122" i="1"/>
  <c r="H155" i="1" s="1"/>
  <c r="I155" i="1" s="1"/>
  <c r="E117" i="1"/>
  <c r="E118" i="1"/>
  <c r="E119" i="1"/>
  <c r="E114" i="1"/>
  <c r="E115" i="1"/>
  <c r="E116" i="1"/>
  <c r="E109" i="1"/>
  <c r="E110" i="1"/>
  <c r="E111" i="1"/>
  <c r="E112" i="1"/>
  <c r="E113" i="1"/>
  <c r="E105" i="1"/>
  <c r="E106" i="1"/>
  <c r="E107" i="1"/>
  <c r="E108" i="1"/>
  <c r="E100" i="1"/>
  <c r="E101" i="1"/>
  <c r="E102" i="1"/>
  <c r="E103" i="1"/>
  <c r="E97" i="1"/>
  <c r="E98" i="1"/>
  <c r="E99" i="1"/>
  <c r="E94" i="1"/>
  <c r="E95" i="1"/>
  <c r="E96" i="1"/>
  <c r="E91" i="1"/>
  <c r="E92" i="1"/>
  <c r="E93" i="1"/>
  <c r="E86" i="1"/>
  <c r="E87" i="1"/>
  <c r="E88" i="1"/>
  <c r="E89" i="1"/>
  <c r="E90" i="1"/>
  <c r="E81" i="1"/>
  <c r="E85" i="1"/>
  <c r="E79" i="1"/>
  <c r="E78" i="1"/>
  <c r="E75" i="1"/>
  <c r="E76" i="1"/>
  <c r="E69" i="1"/>
  <c r="E70" i="1"/>
  <c r="E71" i="1"/>
  <c r="E72" i="1"/>
  <c r="E73" i="1"/>
  <c r="E74" i="1"/>
  <c r="E64" i="1"/>
  <c r="E65" i="1"/>
  <c r="E66" i="1"/>
  <c r="E67" i="1"/>
  <c r="E68" i="1"/>
  <c r="E59" i="1"/>
  <c r="E60" i="1"/>
  <c r="E61" i="1"/>
  <c r="E63" i="1"/>
  <c r="E54" i="1"/>
  <c r="E55" i="1"/>
  <c r="E56" i="1"/>
  <c r="E57" i="1"/>
  <c r="E58" i="1"/>
  <c r="E51" i="1"/>
  <c r="E52" i="1"/>
  <c r="E53" i="1"/>
  <c r="E46" i="1"/>
  <c r="E47" i="1"/>
  <c r="E48" i="1"/>
  <c r="E49" i="1"/>
  <c r="E50" i="1"/>
  <c r="E43" i="1"/>
  <c r="E44" i="1"/>
  <c r="E39" i="1"/>
  <c r="E40" i="1"/>
  <c r="E41" i="1"/>
  <c r="E32" i="1"/>
  <c r="E33" i="1"/>
  <c r="E34" i="1"/>
  <c r="E35" i="1"/>
  <c r="E36" i="1"/>
  <c r="E37" i="1"/>
  <c r="E38" i="1"/>
  <c r="E31" i="1"/>
  <c r="E30" i="1"/>
  <c r="E27" i="1"/>
  <c r="E28" i="1"/>
  <c r="E10" i="1"/>
  <c r="E12" i="1"/>
  <c r="E13" i="1"/>
  <c r="E15" i="1"/>
  <c r="E16" i="1"/>
  <c r="E17" i="1"/>
  <c r="E18" i="1"/>
  <c r="E19" i="1"/>
  <c r="E20" i="1"/>
  <c r="E22" i="1"/>
  <c r="E23" i="1"/>
  <c r="E24" i="1"/>
  <c r="E25" i="1"/>
  <c r="E9" i="1"/>
  <c r="CL285" i="82"/>
  <c r="CM285" i="82"/>
  <c r="CN285" i="82"/>
  <c r="CO285" i="82"/>
  <c r="CP285" i="82"/>
  <c r="CQ285" i="82"/>
  <c r="CR285" i="82"/>
  <c r="CS285" i="82"/>
  <c r="CT285" i="82"/>
  <c r="CU285" i="82"/>
  <c r="CV285" i="82"/>
  <c r="CW285" i="82"/>
  <c r="CX285" i="82"/>
  <c r="CY285" i="82"/>
  <c r="CZ285" i="82"/>
  <c r="CL286" i="82"/>
  <c r="CM286" i="82"/>
  <c r="CN286" i="82"/>
  <c r="CO286" i="82"/>
  <c r="CP286" i="82"/>
  <c r="CQ286" i="82"/>
  <c r="CR286" i="82"/>
  <c r="CS286" i="82"/>
  <c r="CT286" i="82"/>
  <c r="CU286" i="82"/>
  <c r="CV286" i="82"/>
  <c r="CW286" i="82"/>
  <c r="CX286" i="82"/>
  <c r="CY286" i="82"/>
  <c r="CZ286" i="82"/>
  <c r="CL287" i="82"/>
  <c r="CM287" i="82"/>
  <c r="CN287" i="82"/>
  <c r="CO287" i="82"/>
  <c r="CP287" i="82"/>
  <c r="CQ287" i="82"/>
  <c r="CR287" i="82"/>
  <c r="CS287" i="82"/>
  <c r="CT287" i="82"/>
  <c r="CU287" i="82"/>
  <c r="CV287" i="82"/>
  <c r="CW287" i="82"/>
  <c r="CX287" i="82"/>
  <c r="CY287" i="82"/>
  <c r="CZ287" i="82"/>
  <c r="CL288" i="82"/>
  <c r="CM288" i="82"/>
  <c r="CN288" i="82"/>
  <c r="CO288" i="82"/>
  <c r="CP288" i="82"/>
  <c r="CQ288" i="82"/>
  <c r="CR288" i="82"/>
  <c r="CS288" i="82"/>
  <c r="CT288" i="82"/>
  <c r="CU288" i="82"/>
  <c r="CV288" i="82"/>
  <c r="CW288" i="82"/>
  <c r="CX288" i="82"/>
  <c r="CY288" i="82"/>
  <c r="CZ288" i="82"/>
  <c r="CL289" i="82"/>
  <c r="CM289" i="82"/>
  <c r="CN289" i="82"/>
  <c r="CO289" i="82"/>
  <c r="CP289" i="82"/>
  <c r="CQ289" i="82"/>
  <c r="CR289" i="82"/>
  <c r="CS289" i="82"/>
  <c r="CT289" i="82"/>
  <c r="CU289" i="82"/>
  <c r="CV289" i="82"/>
  <c r="CW289" i="82"/>
  <c r="CX289" i="82"/>
  <c r="CY289" i="82"/>
  <c r="CZ289" i="82"/>
  <c r="CL290" i="82"/>
  <c r="CM290" i="82"/>
  <c r="CN290" i="82"/>
  <c r="CO290" i="82"/>
  <c r="CP290" i="82"/>
  <c r="CQ290" i="82"/>
  <c r="CR290" i="82"/>
  <c r="CS290" i="82"/>
  <c r="CT290" i="82"/>
  <c r="CU290" i="82"/>
  <c r="CV290" i="82"/>
  <c r="CW290" i="82"/>
  <c r="CX290" i="82"/>
  <c r="CY290" i="82"/>
  <c r="CZ290" i="82"/>
  <c r="CL291" i="82"/>
  <c r="CM291" i="82"/>
  <c r="CN291" i="82"/>
  <c r="CO291" i="82"/>
  <c r="CP291" i="82"/>
  <c r="CQ291" i="82"/>
  <c r="CR291" i="82"/>
  <c r="CS291" i="82"/>
  <c r="CT291" i="82"/>
  <c r="CU291" i="82"/>
  <c r="CV291" i="82"/>
  <c r="CW291" i="82"/>
  <c r="CX291" i="82"/>
  <c r="CY291" i="82"/>
  <c r="CZ291" i="82"/>
  <c r="CL292" i="82"/>
  <c r="CM292" i="82"/>
  <c r="CN292" i="82"/>
  <c r="CO292" i="82"/>
  <c r="CP292" i="82"/>
  <c r="CQ292" i="82"/>
  <c r="CR292" i="82"/>
  <c r="CS292" i="82"/>
  <c r="CT292" i="82"/>
  <c r="CU292" i="82"/>
  <c r="CV292" i="82"/>
  <c r="CW292" i="82"/>
  <c r="CX292" i="82"/>
  <c r="CY292" i="82"/>
  <c r="CZ292" i="82"/>
  <c r="CL293" i="82"/>
  <c r="CM293" i="82"/>
  <c r="CN293" i="82"/>
  <c r="CO293" i="82"/>
  <c r="CP293" i="82"/>
  <c r="CQ293" i="82"/>
  <c r="CR293" i="82"/>
  <c r="CS293" i="82"/>
  <c r="CT293" i="82"/>
  <c r="CU293" i="82"/>
  <c r="CV293" i="82"/>
  <c r="CW293" i="82"/>
  <c r="CX293" i="82"/>
  <c r="CY293" i="82"/>
  <c r="CZ293" i="82"/>
  <c r="CL294" i="82"/>
  <c r="CM294" i="82"/>
  <c r="CN294" i="82"/>
  <c r="CO294" i="82"/>
  <c r="CP294" i="82"/>
  <c r="CQ294" i="82"/>
  <c r="CR294" i="82"/>
  <c r="CS294" i="82"/>
  <c r="CT294" i="82"/>
  <c r="CU294" i="82"/>
  <c r="CV294" i="82"/>
  <c r="CW294" i="82"/>
  <c r="CX294" i="82"/>
  <c r="CY294" i="82"/>
  <c r="CZ294" i="82"/>
  <c r="CL295" i="82"/>
  <c r="CM295" i="82"/>
  <c r="CN295" i="82"/>
  <c r="CO295" i="82"/>
  <c r="CP295" i="82"/>
  <c r="CQ295" i="82"/>
  <c r="CR295" i="82"/>
  <c r="CS295" i="82"/>
  <c r="CT295" i="82"/>
  <c r="CU295" i="82"/>
  <c r="CV295" i="82"/>
  <c r="CW295" i="82"/>
  <c r="CX295" i="82"/>
  <c r="CY295" i="82"/>
  <c r="CZ295" i="82"/>
  <c r="CL296" i="82"/>
  <c r="CM296" i="82"/>
  <c r="CN296" i="82"/>
  <c r="CO296" i="82"/>
  <c r="CP296" i="82"/>
  <c r="CQ296" i="82"/>
  <c r="CR296" i="82"/>
  <c r="CS296" i="82"/>
  <c r="CT296" i="82"/>
  <c r="CU296" i="82"/>
  <c r="CV296" i="82"/>
  <c r="CW296" i="82"/>
  <c r="CX296" i="82"/>
  <c r="CY296" i="82"/>
  <c r="CZ296" i="82"/>
  <c r="CL297" i="82"/>
  <c r="CM297" i="82"/>
  <c r="CN297" i="82"/>
  <c r="CO297" i="82"/>
  <c r="CP297" i="82"/>
  <c r="CQ297" i="82"/>
  <c r="CR297" i="82"/>
  <c r="CS297" i="82"/>
  <c r="CT297" i="82"/>
  <c r="CU297" i="82"/>
  <c r="CV297" i="82"/>
  <c r="CW297" i="82"/>
  <c r="CX297" i="82"/>
  <c r="CY297" i="82"/>
  <c r="CZ297" i="82"/>
  <c r="CL298" i="82"/>
  <c r="CM298" i="82"/>
  <c r="CN298" i="82"/>
  <c r="CO298" i="82"/>
  <c r="CP298" i="82"/>
  <c r="CQ298" i="82"/>
  <c r="CR298" i="82"/>
  <c r="CS298" i="82"/>
  <c r="CT298" i="82"/>
  <c r="CU298" i="82"/>
  <c r="CV298" i="82"/>
  <c r="CW298" i="82"/>
  <c r="CX298" i="82"/>
  <c r="CY298" i="82"/>
  <c r="CZ298" i="82"/>
  <c r="CL299" i="82"/>
  <c r="CM299" i="82"/>
  <c r="CN299" i="82"/>
  <c r="CO299" i="82"/>
  <c r="CP299" i="82"/>
  <c r="CQ299" i="82"/>
  <c r="CR299" i="82"/>
  <c r="CS299" i="82"/>
  <c r="CT299" i="82"/>
  <c r="CU299" i="82"/>
  <c r="CV299" i="82"/>
  <c r="CW299" i="82"/>
  <c r="CX299" i="82"/>
  <c r="CY299" i="82"/>
  <c r="CZ299" i="82"/>
  <c r="CL300" i="82"/>
  <c r="CM300" i="82"/>
  <c r="CN300" i="82"/>
  <c r="CO300" i="82"/>
  <c r="CP300" i="82"/>
  <c r="CQ300" i="82"/>
  <c r="CR300" i="82"/>
  <c r="CS300" i="82"/>
  <c r="CT300" i="82"/>
  <c r="CU300" i="82"/>
  <c r="CV300" i="82"/>
  <c r="CW300" i="82"/>
  <c r="CX300" i="82"/>
  <c r="CY300" i="82"/>
  <c r="CZ300" i="82"/>
  <c r="CL301" i="82"/>
  <c r="CM301" i="82"/>
  <c r="CN301" i="82"/>
  <c r="CO301" i="82"/>
  <c r="CP301" i="82"/>
  <c r="CQ301" i="82"/>
  <c r="CR301" i="82"/>
  <c r="CS301" i="82"/>
  <c r="CT301" i="82"/>
  <c r="CU301" i="82"/>
  <c r="CV301" i="82"/>
  <c r="CW301" i="82"/>
  <c r="CX301" i="82"/>
  <c r="CY301" i="82"/>
  <c r="CZ301" i="82"/>
  <c r="CL302" i="82"/>
  <c r="CM302" i="82"/>
  <c r="CN302" i="82"/>
  <c r="CO302" i="82"/>
  <c r="CP302" i="82"/>
  <c r="CQ302" i="82"/>
  <c r="CR302" i="82"/>
  <c r="CS302" i="82"/>
  <c r="CT302" i="82"/>
  <c r="CU302" i="82"/>
  <c r="CV302" i="82"/>
  <c r="CW302" i="82"/>
  <c r="CX302" i="82"/>
  <c r="CY302" i="82"/>
  <c r="CZ302" i="82"/>
  <c r="CL303" i="82"/>
  <c r="CM303" i="82"/>
  <c r="CN303" i="82"/>
  <c r="CO303" i="82"/>
  <c r="CP303" i="82"/>
  <c r="CQ303" i="82"/>
  <c r="CR303" i="82"/>
  <c r="CS303" i="82"/>
  <c r="CT303" i="82"/>
  <c r="CU303" i="82"/>
  <c r="CV303" i="82"/>
  <c r="CW303" i="82"/>
  <c r="CX303" i="82"/>
  <c r="CY303" i="82"/>
  <c r="CZ303" i="82"/>
  <c r="CL304" i="82"/>
  <c r="CM304" i="82"/>
  <c r="CN304" i="82"/>
  <c r="CO304" i="82"/>
  <c r="CP304" i="82"/>
  <c r="CQ304" i="82"/>
  <c r="CR304" i="82"/>
  <c r="CS304" i="82"/>
  <c r="CT304" i="82"/>
  <c r="CU304" i="82"/>
  <c r="CV304" i="82"/>
  <c r="CW304" i="82"/>
  <c r="CX304" i="82"/>
  <c r="CY304" i="82"/>
  <c r="CZ304" i="82"/>
  <c r="CL307" i="82"/>
  <c r="CM307" i="82"/>
  <c r="CN307" i="82"/>
  <c r="CO307" i="82"/>
  <c r="CP307" i="82"/>
  <c r="CQ307" i="82"/>
  <c r="CR307" i="82"/>
  <c r="CS307" i="82"/>
  <c r="CT307" i="82"/>
  <c r="CU307" i="82"/>
  <c r="CV307" i="82"/>
  <c r="CW307" i="82"/>
  <c r="CX307" i="82"/>
  <c r="CY307" i="82"/>
  <c r="CZ307" i="82"/>
  <c r="CL308" i="82"/>
  <c r="CM308" i="82"/>
  <c r="CN308" i="82"/>
  <c r="CO308" i="82"/>
  <c r="CP308" i="82"/>
  <c r="CQ308" i="82"/>
  <c r="CR308" i="82"/>
  <c r="CS308" i="82"/>
  <c r="CT308" i="82"/>
  <c r="CU308" i="82"/>
  <c r="CV308" i="82"/>
  <c r="CW308" i="82"/>
  <c r="CX308" i="82"/>
  <c r="CY308" i="82"/>
  <c r="CZ308" i="82"/>
  <c r="E309" i="82"/>
  <c r="F309" i="82"/>
  <c r="G309" i="82"/>
  <c r="H309" i="82"/>
  <c r="I309" i="82"/>
  <c r="J309" i="82"/>
  <c r="K309" i="82"/>
  <c r="L309" i="82"/>
  <c r="M309" i="82"/>
  <c r="N309" i="82"/>
  <c r="O309" i="82"/>
  <c r="P309" i="82"/>
  <c r="Q309" i="82"/>
  <c r="R309" i="82"/>
  <c r="S309" i="82"/>
  <c r="T309" i="82"/>
  <c r="U309" i="82"/>
  <c r="V309" i="82"/>
  <c r="W309" i="82"/>
  <c r="X309" i="82"/>
  <c r="Y309" i="82"/>
  <c r="Z309" i="82"/>
  <c r="AA309" i="82"/>
  <c r="AB309" i="82"/>
  <c r="AC309" i="82"/>
  <c r="AD309" i="82"/>
  <c r="AE309" i="82"/>
  <c r="AF309" i="82"/>
  <c r="AG309" i="82"/>
  <c r="AH309" i="82"/>
  <c r="AI309" i="82"/>
  <c r="AJ309" i="82"/>
  <c r="AK309" i="82"/>
  <c r="AL309" i="82"/>
  <c r="AM309" i="82"/>
  <c r="AN309" i="82"/>
  <c r="AO309" i="82"/>
  <c r="AP309" i="82"/>
  <c r="AQ309" i="82"/>
  <c r="AR309" i="82"/>
  <c r="AS309" i="82"/>
  <c r="AT309" i="82"/>
  <c r="AU309" i="82"/>
  <c r="AV309" i="82"/>
  <c r="AW309" i="82"/>
  <c r="AX309" i="82"/>
  <c r="AY309" i="82"/>
  <c r="AZ309" i="82"/>
  <c r="BA309" i="82"/>
  <c r="BB309" i="82"/>
  <c r="BC309" i="82"/>
  <c r="BD309" i="82"/>
  <c r="BE309" i="82"/>
  <c r="BF309" i="82"/>
  <c r="BG309" i="82"/>
  <c r="BH309" i="82"/>
  <c r="BI309" i="82"/>
  <c r="BJ309" i="82"/>
  <c r="BK309" i="82"/>
  <c r="BL309" i="82"/>
  <c r="BM309" i="82"/>
  <c r="BN309" i="82"/>
  <c r="BO309" i="82"/>
  <c r="BP309" i="82"/>
  <c r="BQ309" i="82"/>
  <c r="BR309" i="82"/>
  <c r="BS309" i="82"/>
  <c r="BT309" i="82"/>
  <c r="BU309" i="82"/>
  <c r="BV309" i="82"/>
  <c r="BW309" i="82"/>
  <c r="BX309" i="82"/>
  <c r="BY309" i="82"/>
  <c r="BZ309" i="82"/>
  <c r="CA309" i="82"/>
  <c r="CB309" i="82"/>
  <c r="CC309" i="82"/>
  <c r="CD309" i="82"/>
  <c r="CE309" i="82"/>
  <c r="CF309" i="82"/>
  <c r="CG309" i="82"/>
  <c r="CH309" i="82"/>
  <c r="CI309" i="82"/>
  <c r="CJ309" i="82"/>
  <c r="CK309" i="82"/>
  <c r="CL309" i="82"/>
  <c r="CM309" i="82"/>
  <c r="CN309" i="82"/>
  <c r="CO309" i="82"/>
  <c r="CP309" i="82"/>
  <c r="CQ309" i="82"/>
  <c r="CR309" i="82"/>
  <c r="CS309" i="82"/>
  <c r="CT309" i="82"/>
  <c r="CU309" i="82"/>
  <c r="CV309" i="82"/>
  <c r="CW309" i="82"/>
  <c r="CX309" i="82"/>
  <c r="CY309" i="82"/>
  <c r="CZ309" i="82"/>
  <c r="E315" i="82"/>
  <c r="F315" i="82"/>
  <c r="G315" i="82"/>
  <c r="H315" i="82"/>
  <c r="I315" i="82"/>
  <c r="J315" i="82"/>
  <c r="K315" i="82"/>
  <c r="L315" i="82"/>
  <c r="M315" i="82"/>
  <c r="N315" i="82"/>
  <c r="O315" i="82"/>
  <c r="P315" i="82"/>
  <c r="Q315" i="82"/>
  <c r="R315" i="82"/>
  <c r="S315" i="82"/>
  <c r="T315" i="82"/>
  <c r="U315" i="82"/>
  <c r="V315" i="82"/>
  <c r="W315" i="82"/>
  <c r="X315" i="82"/>
  <c r="Y315" i="82"/>
  <c r="Z315" i="82"/>
  <c r="AA315" i="82"/>
  <c r="AB315" i="82"/>
  <c r="AC315" i="82"/>
  <c r="AD315" i="82"/>
  <c r="AE315" i="82"/>
  <c r="AF315" i="82"/>
  <c r="AG315" i="82"/>
  <c r="AH315" i="82"/>
  <c r="AI315" i="82"/>
  <c r="AJ315" i="82"/>
  <c r="AK315" i="82"/>
  <c r="AL315" i="82"/>
  <c r="AM315" i="82"/>
  <c r="AN315" i="82"/>
  <c r="AO315" i="82"/>
  <c r="AP315" i="82"/>
  <c r="AQ315" i="82"/>
  <c r="AR315" i="82"/>
  <c r="AS315" i="82"/>
  <c r="AT315" i="82"/>
  <c r="AU315" i="82"/>
  <c r="AV315" i="82"/>
  <c r="AW315" i="82"/>
  <c r="AX315" i="82"/>
  <c r="AY315" i="82"/>
  <c r="AZ315" i="82"/>
  <c r="BA315" i="82"/>
  <c r="BB315" i="82"/>
  <c r="BC315" i="82"/>
  <c r="BD315" i="82"/>
  <c r="BE315" i="82"/>
  <c r="BF315" i="82"/>
  <c r="BG315" i="82"/>
  <c r="BH315" i="82"/>
  <c r="BI315" i="82"/>
  <c r="BJ315" i="82"/>
  <c r="BK315" i="82"/>
  <c r="BL315" i="82"/>
  <c r="BM315" i="82"/>
  <c r="BN315" i="82"/>
  <c r="BO315" i="82"/>
  <c r="BP315" i="82"/>
  <c r="BQ315" i="82"/>
  <c r="BR315" i="82"/>
  <c r="BS315" i="82"/>
  <c r="BT315" i="82"/>
  <c r="BU315" i="82"/>
  <c r="BV315" i="82"/>
  <c r="BW315" i="82"/>
  <c r="BX315" i="82"/>
  <c r="BY315" i="82"/>
  <c r="BZ315" i="82"/>
  <c r="CA315" i="82"/>
  <c r="CB315" i="82"/>
  <c r="CC315" i="82"/>
  <c r="CD315" i="82"/>
  <c r="CE315" i="82"/>
  <c r="CF315" i="82"/>
  <c r="CG315" i="82"/>
  <c r="CH315" i="82"/>
  <c r="CI315" i="82"/>
  <c r="CJ315" i="82"/>
  <c r="CK315" i="82"/>
  <c r="CL315" i="82"/>
  <c r="CM315" i="82"/>
  <c r="CN315" i="82"/>
  <c r="CO315" i="82"/>
  <c r="CP315" i="82"/>
  <c r="CQ315" i="82"/>
  <c r="CR315" i="82"/>
  <c r="CS315" i="82"/>
  <c r="CT315" i="82"/>
  <c r="CU315" i="82"/>
  <c r="CV315" i="82"/>
  <c r="CW315" i="82"/>
  <c r="CX315" i="82"/>
  <c r="CY315" i="82"/>
  <c r="CZ315" i="82"/>
  <c r="E316" i="82"/>
  <c r="F316" i="82"/>
  <c r="G316" i="82"/>
  <c r="H316" i="82"/>
  <c r="I316" i="82"/>
  <c r="J316" i="82"/>
  <c r="K316" i="82"/>
  <c r="L316" i="82"/>
  <c r="M316" i="82"/>
  <c r="N316" i="82"/>
  <c r="O316" i="82"/>
  <c r="P316" i="82"/>
  <c r="Q316" i="82"/>
  <c r="R316" i="82"/>
  <c r="S316" i="82"/>
  <c r="T316" i="82"/>
  <c r="U316" i="82"/>
  <c r="V316" i="82"/>
  <c r="W316" i="82"/>
  <c r="X316" i="82"/>
  <c r="Y316" i="82"/>
  <c r="Z316" i="82"/>
  <c r="AA316" i="82"/>
  <c r="AB316" i="82"/>
  <c r="AC316" i="82"/>
  <c r="AD316" i="82"/>
  <c r="AE316" i="82"/>
  <c r="AF316" i="82"/>
  <c r="AG316" i="82"/>
  <c r="AH316" i="82"/>
  <c r="AI316" i="82"/>
  <c r="AJ316" i="82"/>
  <c r="AK316" i="82"/>
  <c r="AL316" i="82"/>
  <c r="AM316" i="82"/>
  <c r="AN316" i="82"/>
  <c r="AO316" i="82"/>
  <c r="AP316" i="82"/>
  <c r="AQ316" i="82"/>
  <c r="AR316" i="82"/>
  <c r="AS316" i="82"/>
  <c r="AT316" i="82"/>
  <c r="AU316" i="82"/>
  <c r="AV316" i="82"/>
  <c r="AW316" i="82"/>
  <c r="AX316" i="82"/>
  <c r="AY316" i="82"/>
  <c r="AZ316" i="82"/>
  <c r="BA316" i="82"/>
  <c r="BB316" i="82"/>
  <c r="BC316" i="82"/>
  <c r="BD316" i="82"/>
  <c r="BE316" i="82"/>
  <c r="BF316" i="82"/>
  <c r="BG316" i="82"/>
  <c r="BH316" i="82"/>
  <c r="BI316" i="82"/>
  <c r="BJ316" i="82"/>
  <c r="BK316" i="82"/>
  <c r="BL316" i="82"/>
  <c r="BM316" i="82"/>
  <c r="BN316" i="82"/>
  <c r="BO316" i="82"/>
  <c r="BP316" i="82"/>
  <c r="BQ316" i="82"/>
  <c r="BR316" i="82"/>
  <c r="BS316" i="82"/>
  <c r="BT316" i="82"/>
  <c r="BU316" i="82"/>
  <c r="BV316" i="82"/>
  <c r="BW316" i="82"/>
  <c r="BX316" i="82"/>
  <c r="BY316" i="82"/>
  <c r="BZ316" i="82"/>
  <c r="CA316" i="82"/>
  <c r="CB316" i="82"/>
  <c r="CC316" i="82"/>
  <c r="CD316" i="82"/>
  <c r="CE316" i="82"/>
  <c r="CF316" i="82"/>
  <c r="CG316" i="82"/>
  <c r="CH316" i="82"/>
  <c r="CI316" i="82"/>
  <c r="CJ316" i="82"/>
  <c r="CK316" i="82"/>
  <c r="CL316" i="82"/>
  <c r="CM316" i="82"/>
  <c r="CN316" i="82"/>
  <c r="CO316" i="82"/>
  <c r="CP316" i="82"/>
  <c r="CQ316" i="82"/>
  <c r="CR316" i="82"/>
  <c r="CS316" i="82"/>
  <c r="CT316" i="82"/>
  <c r="CU316" i="82"/>
  <c r="CV316" i="82"/>
  <c r="CW316" i="82"/>
  <c r="CX316" i="82"/>
  <c r="CY316" i="82"/>
  <c r="CZ316" i="82"/>
  <c r="E317" i="82"/>
  <c r="F317" i="82"/>
  <c r="G317" i="82"/>
  <c r="H317" i="82"/>
  <c r="I317" i="82"/>
  <c r="J317" i="82"/>
  <c r="K317" i="82"/>
  <c r="L317" i="82"/>
  <c r="M317" i="82"/>
  <c r="N317" i="82"/>
  <c r="O317" i="82"/>
  <c r="P317" i="82"/>
  <c r="Q317" i="82"/>
  <c r="R317" i="82"/>
  <c r="S317" i="82"/>
  <c r="T317" i="82"/>
  <c r="U317" i="82"/>
  <c r="V317" i="82"/>
  <c r="W317" i="82"/>
  <c r="X317" i="82"/>
  <c r="Y317" i="82"/>
  <c r="Z317" i="82"/>
  <c r="AA317" i="82"/>
  <c r="AB317" i="82"/>
  <c r="AC317" i="82"/>
  <c r="AD317" i="82"/>
  <c r="AE317" i="82"/>
  <c r="AF317" i="82"/>
  <c r="AG317" i="82"/>
  <c r="AH317" i="82"/>
  <c r="AI317" i="82"/>
  <c r="AJ317" i="82"/>
  <c r="AK317" i="82"/>
  <c r="AL317" i="82"/>
  <c r="AM317" i="82"/>
  <c r="AN317" i="82"/>
  <c r="AO317" i="82"/>
  <c r="AP317" i="82"/>
  <c r="AQ317" i="82"/>
  <c r="AR317" i="82"/>
  <c r="AS317" i="82"/>
  <c r="AT317" i="82"/>
  <c r="AU317" i="82"/>
  <c r="AV317" i="82"/>
  <c r="AW317" i="82"/>
  <c r="AX317" i="82"/>
  <c r="AY317" i="82"/>
  <c r="AZ317" i="82"/>
  <c r="BA317" i="82"/>
  <c r="BB317" i="82"/>
  <c r="BC317" i="82"/>
  <c r="BD317" i="82"/>
  <c r="BE317" i="82"/>
  <c r="BF317" i="82"/>
  <c r="BG317" i="82"/>
  <c r="BH317" i="82"/>
  <c r="BI317" i="82"/>
  <c r="BJ317" i="82"/>
  <c r="BK317" i="82"/>
  <c r="BL317" i="82"/>
  <c r="BM317" i="82"/>
  <c r="BN317" i="82"/>
  <c r="BO317" i="82"/>
  <c r="BP317" i="82"/>
  <c r="BQ317" i="82"/>
  <c r="BR317" i="82"/>
  <c r="BS317" i="82"/>
  <c r="BT317" i="82"/>
  <c r="BU317" i="82"/>
  <c r="BV317" i="82"/>
  <c r="BW317" i="82"/>
  <c r="BX317" i="82"/>
  <c r="BY317" i="82"/>
  <c r="BZ317" i="82"/>
  <c r="CA317" i="82"/>
  <c r="CB317" i="82"/>
  <c r="CC317" i="82"/>
  <c r="CD317" i="82"/>
  <c r="CE317" i="82"/>
  <c r="CF317" i="82"/>
  <c r="CG317" i="82"/>
  <c r="CH317" i="82"/>
  <c r="CI317" i="82"/>
  <c r="CJ317" i="82"/>
  <c r="CK317" i="82"/>
  <c r="CL317" i="82"/>
  <c r="CM317" i="82"/>
  <c r="CN317" i="82"/>
  <c r="CO317" i="82"/>
  <c r="CP317" i="82"/>
  <c r="CQ317" i="82"/>
  <c r="CR317" i="82"/>
  <c r="CS317" i="82"/>
  <c r="CT317" i="82"/>
  <c r="CU317" i="82"/>
  <c r="CV317" i="82"/>
  <c r="CW317" i="82"/>
  <c r="CX317" i="82"/>
  <c r="CY317" i="82"/>
  <c r="CZ317" i="82"/>
  <c r="E319" i="82"/>
  <c r="F319" i="82"/>
  <c r="G319" i="82"/>
  <c r="H319" i="82"/>
  <c r="I319" i="82"/>
  <c r="J319" i="82"/>
  <c r="K319" i="82"/>
  <c r="L319" i="82"/>
  <c r="M319" i="82"/>
  <c r="N319" i="82"/>
  <c r="O319" i="82"/>
  <c r="P319" i="82"/>
  <c r="Q319" i="82"/>
  <c r="R319" i="82"/>
  <c r="S319" i="82"/>
  <c r="T319" i="82"/>
  <c r="U319" i="82"/>
  <c r="V319" i="82"/>
  <c r="W319" i="82"/>
  <c r="X319" i="82"/>
  <c r="Y319" i="82"/>
  <c r="Z319" i="82"/>
  <c r="AA319" i="82"/>
  <c r="AB319" i="82"/>
  <c r="AC319" i="82"/>
  <c r="AD319" i="82"/>
  <c r="AE319" i="82"/>
  <c r="AF319" i="82"/>
  <c r="AG319" i="82"/>
  <c r="AH319" i="82"/>
  <c r="AI319" i="82"/>
  <c r="AJ319" i="82"/>
  <c r="AK319" i="82"/>
  <c r="AL319" i="82"/>
  <c r="AM319" i="82"/>
  <c r="AN319" i="82"/>
  <c r="AO319" i="82"/>
  <c r="AP319" i="82"/>
  <c r="AQ319" i="82"/>
  <c r="AR319" i="82"/>
  <c r="AS319" i="82"/>
  <c r="AT319" i="82"/>
  <c r="AU319" i="82"/>
  <c r="AV319" i="82"/>
  <c r="AW319" i="82"/>
  <c r="AX319" i="82"/>
  <c r="AY319" i="82"/>
  <c r="AZ319" i="82"/>
  <c r="BA319" i="82"/>
  <c r="BB319" i="82"/>
  <c r="BC319" i="82"/>
  <c r="BD319" i="82"/>
  <c r="BE319" i="82"/>
  <c r="BF319" i="82"/>
  <c r="BG319" i="82"/>
  <c r="BH319" i="82"/>
  <c r="BI319" i="82"/>
  <c r="BJ319" i="82"/>
  <c r="BK319" i="82"/>
  <c r="BL319" i="82"/>
  <c r="BM319" i="82"/>
  <c r="BN319" i="82"/>
  <c r="BO319" i="82"/>
  <c r="BP319" i="82"/>
  <c r="BQ319" i="82"/>
  <c r="BR319" i="82"/>
  <c r="BS319" i="82"/>
  <c r="BT319" i="82"/>
  <c r="BU319" i="82"/>
  <c r="BV319" i="82"/>
  <c r="BW319" i="82"/>
  <c r="BX319" i="82"/>
  <c r="BY319" i="82"/>
  <c r="BZ319" i="82"/>
  <c r="CA319" i="82"/>
  <c r="CB319" i="82"/>
  <c r="CC319" i="82"/>
  <c r="CD319" i="82"/>
  <c r="CE319" i="82"/>
  <c r="CF319" i="82"/>
  <c r="CG319" i="82"/>
  <c r="CH319" i="82"/>
  <c r="CI319" i="82"/>
  <c r="CJ319" i="82"/>
  <c r="CK319" i="82"/>
  <c r="CL319" i="82"/>
  <c r="CM319" i="82"/>
  <c r="CN319" i="82"/>
  <c r="CO319" i="82"/>
  <c r="CP319" i="82"/>
  <c r="CQ319" i="82"/>
  <c r="CR319" i="82"/>
  <c r="CS319" i="82"/>
  <c r="CT319" i="82"/>
  <c r="CU319" i="82"/>
  <c r="CV319" i="82"/>
  <c r="CW319" i="82"/>
  <c r="CX319" i="82"/>
  <c r="CY319" i="82"/>
  <c r="CZ319" i="82"/>
  <c r="D309" i="82"/>
  <c r="D319" i="82"/>
  <c r="D317" i="82"/>
  <c r="D316" i="82"/>
  <c r="D315" i="82"/>
  <c r="L327" i="82" l="1"/>
  <c r="CZ327" i="82"/>
  <c r="CR327" i="82"/>
  <c r="CR329" i="82" s="1"/>
  <c r="CR335" i="82" s="1"/>
  <c r="CJ327" i="82"/>
  <c r="CB327" i="82"/>
  <c r="BT327" i="82"/>
  <c r="BT329" i="82" s="1"/>
  <c r="BT335" i="82" s="1"/>
  <c r="BL327" i="82"/>
  <c r="BL329" i="82" s="1"/>
  <c r="BL335" i="82" s="1"/>
  <c r="BD327" i="82"/>
  <c r="BD329" i="82" s="1"/>
  <c r="BD335" i="82" s="1"/>
  <c r="AV327" i="82"/>
  <c r="AV329" i="82" s="1"/>
  <c r="AV335" i="82" s="1"/>
  <c r="AN327" i="82"/>
  <c r="AF327" i="82"/>
  <c r="AF329" i="82" s="1"/>
  <c r="AF335" i="82" s="1"/>
  <c r="X327" i="82"/>
  <c r="P327" i="82"/>
  <c r="H327" i="82"/>
  <c r="H329" i="82" s="1"/>
  <c r="H335" i="82" s="1"/>
  <c r="AM327" i="82"/>
  <c r="AM329" i="82" s="1"/>
  <c r="AM335" i="82" s="1"/>
  <c r="G327" i="82"/>
  <c r="G329" i="82" s="1"/>
  <c r="G335" i="82" s="1"/>
  <c r="CX327" i="82"/>
  <c r="CX329" i="82" s="1"/>
  <c r="CX335" i="82" s="1"/>
  <c r="BZ327" i="82"/>
  <c r="BZ329" i="82" s="1"/>
  <c r="BZ335" i="82" s="1"/>
  <c r="N327" i="82"/>
  <c r="N329" i="82" s="1"/>
  <c r="N335" i="82" s="1"/>
  <c r="CW327" i="82"/>
  <c r="CO327" i="82"/>
  <c r="CO329" i="82" s="1"/>
  <c r="CO335" i="82" s="1"/>
  <c r="CG327" i="82"/>
  <c r="CG329" i="82" s="1"/>
  <c r="CG335" i="82" s="1"/>
  <c r="BY327" i="82"/>
  <c r="BY329" i="82" s="1"/>
  <c r="BY335" i="82" s="1"/>
  <c r="BQ327" i="82"/>
  <c r="BQ329" i="82" s="1"/>
  <c r="BQ335" i="82" s="1"/>
  <c r="BI327" i="82"/>
  <c r="BA327" i="82"/>
  <c r="AS327" i="82"/>
  <c r="AK327" i="82"/>
  <c r="AC327" i="82"/>
  <c r="AC329" i="82" s="1"/>
  <c r="AC335" i="82" s="1"/>
  <c r="U327" i="82"/>
  <c r="U329" i="82" s="1"/>
  <c r="U335" i="82" s="1"/>
  <c r="M327" i="82"/>
  <c r="M329" i="82" s="1"/>
  <c r="M335" i="82" s="1"/>
  <c r="CQ327" i="82"/>
  <c r="AU327" i="82"/>
  <c r="CH327" i="82"/>
  <c r="CH329" i="82" s="1"/>
  <c r="CH335" i="82" s="1"/>
  <c r="BJ327" i="82"/>
  <c r="BJ329" i="82" s="1"/>
  <c r="BJ335" i="82" s="1"/>
  <c r="AT327" i="82"/>
  <c r="AL327" i="82"/>
  <c r="AL329" i="82" s="1"/>
  <c r="AL335" i="82" s="1"/>
  <c r="AD327" i="82"/>
  <c r="AD329" i="82" s="1"/>
  <c r="AD335" i="82" s="1"/>
  <c r="F327" i="82"/>
  <c r="F329" i="82" s="1"/>
  <c r="F335" i="82" s="1"/>
  <c r="D327" i="82"/>
  <c r="BR327" i="82"/>
  <c r="BR329" i="82" s="1"/>
  <c r="BR335" i="82" s="1"/>
  <c r="CT327" i="82"/>
  <c r="CT329" i="82" s="1"/>
  <c r="CT335" i="82" s="1"/>
  <c r="CL327" i="82"/>
  <c r="CL329" i="82" s="1"/>
  <c r="CL335" i="82" s="1"/>
  <c r="BK327" i="82"/>
  <c r="CP327" i="82"/>
  <c r="CP329" i="82" s="1"/>
  <c r="BB327" i="82"/>
  <c r="BB329" i="82" s="1"/>
  <c r="BB335" i="82" s="1"/>
  <c r="V327" i="82"/>
  <c r="V329" i="82" s="1"/>
  <c r="V335" i="82" s="1"/>
  <c r="CS327" i="82"/>
  <c r="CK327" i="82"/>
  <c r="CK329" i="82" s="1"/>
  <c r="CK335" i="82" s="1"/>
  <c r="CC327" i="82"/>
  <c r="CC329" i="82" s="1"/>
  <c r="CC335" i="82" s="1"/>
  <c r="BU327" i="82"/>
  <c r="BU329" i="82" s="1"/>
  <c r="BU335" i="82" s="1"/>
  <c r="BM327" i="82"/>
  <c r="BE327" i="82"/>
  <c r="BE329" i="82" s="1"/>
  <c r="BE335" i="82" s="1"/>
  <c r="AW327" i="82"/>
  <c r="AW329" i="82" s="1"/>
  <c r="AW335" i="82" s="1"/>
  <c r="AO327" i="82"/>
  <c r="AO329" i="82" s="1"/>
  <c r="AO335" i="82" s="1"/>
  <c r="AG327" i="82"/>
  <c r="AG329" i="82" s="1"/>
  <c r="AG335" i="82" s="1"/>
  <c r="Y327" i="82"/>
  <c r="Y329" i="82" s="1"/>
  <c r="Y335" i="82" s="1"/>
  <c r="Q327" i="82"/>
  <c r="Q329" i="82" s="1"/>
  <c r="Q335" i="82" s="1"/>
  <c r="I327" i="82"/>
  <c r="I329" i="82" s="1"/>
  <c r="I335" i="82" s="1"/>
  <c r="CD327" i="82"/>
  <c r="CD329" i="82" s="1"/>
  <c r="CD335" i="82" s="1"/>
  <c r="BV327" i="82"/>
  <c r="BV329" i="82" s="1"/>
  <c r="BV335" i="82" s="1"/>
  <c r="BN327" i="82"/>
  <c r="BN329" i="82" s="1"/>
  <c r="BN335" i="82" s="1"/>
  <c r="BF327" i="82"/>
  <c r="BF329" i="82" s="1"/>
  <c r="BF335" i="82" s="1"/>
  <c r="AX327" i="82"/>
  <c r="AX329" i="82" s="1"/>
  <c r="AX335" i="82" s="1"/>
  <c r="AP327" i="82"/>
  <c r="AP329" i="82" s="1"/>
  <c r="AP335" i="82" s="1"/>
  <c r="AH327" i="82"/>
  <c r="AH329" i="82" s="1"/>
  <c r="AH335" i="82" s="1"/>
  <c r="Z327" i="82"/>
  <c r="Z329" i="82" s="1"/>
  <c r="Z335" i="82" s="1"/>
  <c r="R327" i="82"/>
  <c r="R329" i="82" s="1"/>
  <c r="R335" i="82" s="1"/>
  <c r="J327" i="82"/>
  <c r="J329" i="82" s="1"/>
  <c r="J335" i="82" s="1"/>
  <c r="K327" i="82"/>
  <c r="K329" i="82" s="1"/>
  <c r="K335" i="82" s="1"/>
  <c r="CV327" i="82"/>
  <c r="CV329" i="82" s="1"/>
  <c r="CV335" i="82" s="1"/>
  <c r="CN327" i="82"/>
  <c r="CN329" i="82" s="1"/>
  <c r="CN335" i="82" s="1"/>
  <c r="CF327" i="82"/>
  <c r="CF329" i="82" s="1"/>
  <c r="CF335" i="82" s="1"/>
  <c r="BX327" i="82"/>
  <c r="BX329" i="82" s="1"/>
  <c r="BX335" i="82" s="1"/>
  <c r="BP327" i="82"/>
  <c r="BP329" i="82" s="1"/>
  <c r="BP335" i="82" s="1"/>
  <c r="BH327" i="82"/>
  <c r="BH329" i="82" s="1"/>
  <c r="BH335" i="82" s="1"/>
  <c r="AZ327" i="82"/>
  <c r="AZ329" i="82" s="1"/>
  <c r="AZ335" i="82" s="1"/>
  <c r="AR327" i="82"/>
  <c r="AR329" i="82" s="1"/>
  <c r="AR335" i="82" s="1"/>
  <c r="AJ327" i="82"/>
  <c r="AJ329" i="82" s="1"/>
  <c r="AJ335" i="82" s="1"/>
  <c r="AB327" i="82"/>
  <c r="AB329" i="82" s="1"/>
  <c r="AB335" i="82" s="1"/>
  <c r="T327" i="82"/>
  <c r="T329" i="82" s="1"/>
  <c r="T335" i="82" s="1"/>
  <c r="CU327" i="82"/>
  <c r="CU329" i="82" s="1"/>
  <c r="CU335" i="82" s="1"/>
  <c r="CE327" i="82"/>
  <c r="CE329" i="82" s="1"/>
  <c r="CE335" i="82" s="1"/>
  <c r="BO327" i="82"/>
  <c r="BO329" i="82" s="1"/>
  <c r="BO335" i="82" s="1"/>
  <c r="AY327" i="82"/>
  <c r="AY329" i="82" s="1"/>
  <c r="AY335" i="82" s="1"/>
  <c r="AI327" i="82"/>
  <c r="AI329" i="82" s="1"/>
  <c r="AI335" i="82" s="1"/>
  <c r="AA327" i="82"/>
  <c r="AA329" i="82" s="1"/>
  <c r="AA335" i="82" s="1"/>
  <c r="S327" i="82"/>
  <c r="S329" i="82" s="1"/>
  <c r="S335" i="82" s="1"/>
  <c r="CP335" i="82"/>
  <c r="BK329" i="82"/>
  <c r="BK335" i="82" s="1"/>
  <c r="AT329" i="82"/>
  <c r="AT335" i="82" s="1"/>
  <c r="BW327" i="82"/>
  <c r="BW329" i="82" s="1"/>
  <c r="BW335" i="82" s="1"/>
  <c r="BI329" i="82"/>
  <c r="BI335" i="82" s="1"/>
  <c r="CY327" i="82"/>
  <c r="CY329" i="82" s="1"/>
  <c r="CY335" i="82" s="1"/>
  <c r="CI327" i="82"/>
  <c r="CI329" i="82" s="1"/>
  <c r="CI335" i="82" s="1"/>
  <c r="CA327" i="82"/>
  <c r="CA329" i="82" s="1"/>
  <c r="CA335" i="82" s="1"/>
  <c r="BS327" i="82"/>
  <c r="BS329" i="82" s="1"/>
  <c r="BS335" i="82" s="1"/>
  <c r="BC327" i="82"/>
  <c r="BC329" i="82" s="1"/>
  <c r="BC335" i="82" s="1"/>
  <c r="AE327" i="82"/>
  <c r="AE329" i="82" s="1"/>
  <c r="AE335" i="82" s="1"/>
  <c r="W327" i="82"/>
  <c r="W329" i="82" s="1"/>
  <c r="W335" i="82" s="1"/>
  <c r="O327" i="82"/>
  <c r="O329" i="82" s="1"/>
  <c r="O335" i="82" s="1"/>
  <c r="BM329" i="82"/>
  <c r="BM335" i="82" s="1"/>
  <c r="AU329" i="82"/>
  <c r="AU335" i="82" s="1"/>
  <c r="BG327" i="82"/>
  <c r="BG329" i="82" s="1"/>
  <c r="BG335" i="82" s="1"/>
  <c r="CQ329" i="82"/>
  <c r="CQ335" i="82" s="1"/>
  <c r="CM327" i="82"/>
  <c r="CM329" i="82" s="1"/>
  <c r="CM335" i="82" s="1"/>
  <c r="AQ327" i="82"/>
  <c r="AQ329" i="82" s="1"/>
  <c r="AQ335" i="82" s="1"/>
  <c r="BA329" i="82"/>
  <c r="BA335" i="82" s="1"/>
  <c r="CW329" i="82"/>
  <c r="CW335" i="82" s="1"/>
  <c r="AS329" i="82"/>
  <c r="AS335" i="82" s="1"/>
  <c r="AK329" i="82"/>
  <c r="AK335" i="82" s="1"/>
  <c r="CS329" i="82"/>
  <c r="CS335" i="82" s="1"/>
  <c r="E327" i="82"/>
  <c r="E329" i="82" s="1"/>
  <c r="E335" i="82" s="1"/>
  <c r="L329" i="82"/>
  <c r="L335" i="82" s="1"/>
  <c r="CB329" i="82"/>
  <c r="CB335" i="82" s="1"/>
  <c r="P329" i="82"/>
  <c r="P335" i="82" s="1"/>
  <c r="CZ329" i="82"/>
  <c r="CZ335" i="82" s="1"/>
  <c r="CJ329" i="82"/>
  <c r="CJ335" i="82" s="1"/>
  <c r="AN329" i="82"/>
  <c r="AN335" i="82" s="1"/>
  <c r="X329" i="82"/>
  <c r="X335" i="82" s="1"/>
  <c r="C191" i="28" l="1"/>
  <c r="E189" i="28"/>
  <c r="L189" i="28" s="1"/>
  <c r="E190" i="28"/>
  <c r="L190" i="28" s="1"/>
  <c r="E191" i="28"/>
  <c r="L191" i="28" s="1"/>
  <c r="C190" i="28"/>
  <c r="C189" i="28"/>
  <c r="A190" i="28"/>
  <c r="A191" i="28"/>
  <c r="A189" i="28"/>
  <c r="B190" i="28"/>
  <c r="B191" i="28"/>
  <c r="B189" i="28"/>
  <c r="E232" i="28"/>
  <c r="C232" i="28"/>
  <c r="C231" i="28"/>
  <c r="C230" i="28"/>
  <c r="C229" i="28"/>
  <c r="H40" i="1" l="1"/>
  <c r="I40" i="1" s="1"/>
  <c r="L231" i="28"/>
  <c r="D36" i="91"/>
  <c r="D37" i="91"/>
  <c r="D38" i="91"/>
  <c r="L230" i="28"/>
  <c r="L232" i="28"/>
  <c r="L229" i="28"/>
  <c r="E228" i="28"/>
  <c r="G40" i="1" l="1"/>
  <c r="E220" i="28" l="1"/>
  <c r="L220" i="28" s="1"/>
  <c r="E40" i="88" l="1"/>
  <c r="G40" i="88" s="1"/>
  <c r="E225" i="28"/>
  <c r="E258" i="28"/>
  <c r="E4" i="99" l="1"/>
  <c r="C4" i="99"/>
  <c r="B4" i="99"/>
  <c r="B44" i="91" l="1"/>
  <c r="B42" i="91"/>
  <c r="B40" i="91"/>
  <c r="B3" i="93" l="1"/>
  <c r="G71" i="28" l="1"/>
  <c r="G245" i="1"/>
  <c r="G244" i="1"/>
  <c r="G126" i="1"/>
  <c r="G100" i="1"/>
  <c r="G69" i="1" l="1"/>
  <c r="E257" i="28" l="1"/>
  <c r="C257" i="28"/>
  <c r="C228" i="28"/>
  <c r="A228" i="28"/>
  <c r="E227" i="28"/>
  <c r="C227" i="28"/>
  <c r="A227" i="28"/>
  <c r="E226" i="28"/>
  <c r="C226" i="28"/>
  <c r="A226" i="28"/>
  <c r="C225" i="28"/>
  <c r="A225" i="28"/>
  <c r="E224" i="28"/>
  <c r="C224" i="28"/>
  <c r="A224" i="28"/>
  <c r="E223" i="28"/>
  <c r="C223" i="28"/>
  <c r="A223" i="28"/>
  <c r="E222" i="28"/>
  <c r="C222" i="28"/>
  <c r="A222" i="28"/>
  <c r="C218" i="28"/>
  <c r="A218" i="28"/>
  <c r="E217" i="28"/>
  <c r="C217" i="28"/>
  <c r="A217" i="28"/>
  <c r="E216" i="28"/>
  <c r="C216" i="28"/>
  <c r="A216" i="28"/>
  <c r="E215" i="28"/>
  <c r="C215" i="28"/>
  <c r="A215" i="28"/>
  <c r="E214" i="28"/>
  <c r="C214" i="28"/>
  <c r="A214" i="28"/>
  <c r="E221" i="28"/>
  <c r="C221" i="28"/>
  <c r="A221" i="28"/>
  <c r="E213" i="28"/>
  <c r="C213" i="28"/>
  <c r="A213" i="28"/>
  <c r="E212" i="28"/>
  <c r="C212" i="28"/>
  <c r="A212" i="28"/>
  <c r="L238" i="28" l="1"/>
  <c r="L13" i="88" l="1"/>
  <c r="L258" i="28" l="1"/>
  <c r="D32" i="91" l="1"/>
  <c r="D21" i="91"/>
  <c r="D20" i="91"/>
  <c r="D12" i="91"/>
  <c r="D11" i="91"/>
  <c r="E178" i="28" l="1"/>
  <c r="E145" i="28"/>
  <c r="L145" i="28" s="1"/>
  <c r="L146" i="28"/>
  <c r="L147" i="28"/>
  <c r="E144" i="28"/>
  <c r="L218" i="28"/>
  <c r="E39" i="88" s="1"/>
  <c r="L217" i="28"/>
  <c r="L216" i="28"/>
  <c r="E36" i="88" s="1"/>
  <c r="AA216" i="28"/>
  <c r="AA217" i="28"/>
  <c r="AA218" i="28"/>
  <c r="L227" i="28"/>
  <c r="E42" i="88" s="1"/>
  <c r="L215" i="28"/>
  <c r="L214" i="28"/>
  <c r="AA214" i="28"/>
  <c r="AA215" i="28"/>
  <c r="E133" i="28"/>
  <c r="L133" i="28" s="1"/>
  <c r="A133" i="28"/>
  <c r="AA133" i="28" s="1"/>
  <c r="B133" i="28"/>
  <c r="C133" i="28"/>
  <c r="L144" i="28"/>
  <c r="A147" i="28"/>
  <c r="B147" i="28"/>
  <c r="C147" i="28"/>
  <c r="A144" i="28"/>
  <c r="B144" i="28"/>
  <c r="C144" i="28"/>
  <c r="A145" i="28"/>
  <c r="B145" i="28"/>
  <c r="C145" i="28"/>
  <c r="A146" i="28"/>
  <c r="B146" i="28"/>
  <c r="C146" i="28"/>
  <c r="E116" i="28"/>
  <c r="L116" i="28" s="1"/>
  <c r="A116" i="28"/>
  <c r="AA116" i="28" s="1"/>
  <c r="B116" i="28"/>
  <c r="C116" i="28"/>
  <c r="E53" i="28"/>
  <c r="L53" i="28" s="1"/>
  <c r="B53" i="28"/>
  <c r="C53" i="28"/>
  <c r="A53" i="28"/>
  <c r="AA53" i="28" s="1"/>
  <c r="E60" i="28"/>
  <c r="L60" i="28" s="1"/>
  <c r="D25" i="93" s="1"/>
  <c r="A60" i="28"/>
  <c r="AA60" i="28" s="1"/>
  <c r="B60" i="28"/>
  <c r="C60" i="28"/>
  <c r="E195" i="28"/>
  <c r="L195" i="28" s="1"/>
  <c r="F8" i="89" s="1"/>
  <c r="C195" i="28"/>
  <c r="B195" i="28"/>
  <c r="A195" i="28"/>
  <c r="G39" i="88" l="1"/>
  <c r="B1" i="89"/>
  <c r="B11" i="89" l="1"/>
  <c r="B7" i="89"/>
  <c r="A3" i="89"/>
  <c r="B10" i="89"/>
  <c r="B6" i="89"/>
  <c r="B12" i="89" l="1"/>
  <c r="B8" i="89"/>
  <c r="B16" i="89"/>
  <c r="C4" i="88"/>
  <c r="G36" i="88"/>
  <c r="G42" i="88"/>
  <c r="F22" i="89" l="1"/>
  <c r="E254" i="28"/>
  <c r="E255" i="28"/>
  <c r="AA80" i="28"/>
  <c r="AA81" i="28"/>
  <c r="AA82" i="28"/>
  <c r="AA83" i="28"/>
  <c r="AA84" i="28"/>
  <c r="AA85" i="28"/>
  <c r="AA183" i="28"/>
  <c r="AA233" i="28"/>
  <c r="AA234" i="28"/>
  <c r="AA235" i="28"/>
  <c r="AA236" i="28"/>
  <c r="AA237" i="28"/>
  <c r="AA238" i="28"/>
  <c r="AA239" i="28"/>
  <c r="AA240" i="28"/>
  <c r="AA241" i="28"/>
  <c r="AB241" i="28"/>
  <c r="AA242" i="28"/>
  <c r="AB242" i="28"/>
  <c r="AA243" i="28"/>
  <c r="AB243" i="28"/>
  <c r="AA244" i="28"/>
  <c r="AB244" i="28"/>
  <c r="AA245" i="28"/>
  <c r="AB245" i="28"/>
  <c r="AA246" i="28"/>
  <c r="AB246" i="28"/>
  <c r="AA260" i="28"/>
  <c r="AB238" i="28"/>
  <c r="AB240" i="28" l="1"/>
  <c r="N15" i="88"/>
  <c r="AB239" i="28"/>
  <c r="N24" i="88"/>
  <c r="CT341" i="82"/>
  <c r="CU341" i="82"/>
  <c r="CV341" i="82"/>
  <c r="CW341" i="82"/>
  <c r="CX341" i="82"/>
  <c r="CY341" i="82"/>
  <c r="CZ341" i="82"/>
  <c r="E341" i="82"/>
  <c r="F341" i="82"/>
  <c r="G341" i="82"/>
  <c r="H341" i="82"/>
  <c r="I341" i="82"/>
  <c r="J341" i="82"/>
  <c r="K341" i="82"/>
  <c r="L341" i="82"/>
  <c r="M341" i="82"/>
  <c r="N341" i="82"/>
  <c r="O341" i="82"/>
  <c r="P341" i="82"/>
  <c r="Q341" i="82"/>
  <c r="R341" i="82"/>
  <c r="S341" i="82"/>
  <c r="T341" i="82"/>
  <c r="U341" i="82"/>
  <c r="V341" i="82"/>
  <c r="W341" i="82"/>
  <c r="X341" i="82"/>
  <c r="Y341" i="82"/>
  <c r="Z341" i="82"/>
  <c r="AA341" i="82"/>
  <c r="AB341" i="82"/>
  <c r="AC341" i="82"/>
  <c r="AD341" i="82"/>
  <c r="AE341" i="82"/>
  <c r="AF341" i="82"/>
  <c r="AG341" i="82"/>
  <c r="AH341" i="82"/>
  <c r="AI341" i="82"/>
  <c r="AJ341" i="82"/>
  <c r="AK341" i="82"/>
  <c r="AL341" i="82"/>
  <c r="AM341" i="82"/>
  <c r="AN341" i="82"/>
  <c r="AO341" i="82"/>
  <c r="AP341" i="82"/>
  <c r="AQ341" i="82"/>
  <c r="AR341" i="82"/>
  <c r="AS341" i="82"/>
  <c r="AT341" i="82"/>
  <c r="AU341" i="82"/>
  <c r="AV341" i="82"/>
  <c r="AW341" i="82"/>
  <c r="AX341" i="82"/>
  <c r="AY341" i="82"/>
  <c r="AZ341" i="82"/>
  <c r="BA341" i="82"/>
  <c r="BB341" i="82"/>
  <c r="BC341" i="82"/>
  <c r="BD341" i="82"/>
  <c r="BE341" i="82"/>
  <c r="BF341" i="82"/>
  <c r="BG341" i="82"/>
  <c r="BH341" i="82"/>
  <c r="BI341" i="82"/>
  <c r="BJ341" i="82"/>
  <c r="BK341" i="82"/>
  <c r="BL341" i="82"/>
  <c r="BM341" i="82"/>
  <c r="BN341" i="82"/>
  <c r="BO341" i="82"/>
  <c r="BP341" i="82"/>
  <c r="BQ341" i="82"/>
  <c r="BR341" i="82"/>
  <c r="BS341" i="82"/>
  <c r="BT341" i="82"/>
  <c r="BU341" i="82"/>
  <c r="BV341" i="82"/>
  <c r="BW341" i="82"/>
  <c r="BX341" i="82"/>
  <c r="BY341" i="82"/>
  <c r="BZ341" i="82"/>
  <c r="CA341" i="82"/>
  <c r="CB341" i="82"/>
  <c r="CC341" i="82"/>
  <c r="CD341" i="82"/>
  <c r="CE341" i="82"/>
  <c r="CF341" i="82"/>
  <c r="CG341" i="82"/>
  <c r="CH341" i="82"/>
  <c r="CI341" i="82"/>
  <c r="CJ341" i="82"/>
  <c r="CK341" i="82"/>
  <c r="CL341" i="82"/>
  <c r="CM341" i="82"/>
  <c r="CN341" i="82"/>
  <c r="CO341" i="82"/>
  <c r="CP341" i="82"/>
  <c r="CQ341" i="82"/>
  <c r="CR341" i="82"/>
  <c r="CS341" i="82"/>
  <c r="D341" i="82"/>
  <c r="D329" i="82" l="1"/>
  <c r="D335" i="82" s="1"/>
  <c r="E204" i="1"/>
  <c r="E295" i="1" s="1"/>
  <c r="E191" i="1"/>
  <c r="E198" i="1"/>
  <c r="E294" i="1" s="1"/>
  <c r="E210" i="1"/>
  <c r="Y269" i="28"/>
  <c r="X267" i="28"/>
  <c r="X266" i="28"/>
  <c r="X269" i="28" s="1"/>
  <c r="Z269" i="28" s="1"/>
  <c r="E296" i="1" l="1"/>
  <c r="E293" i="1"/>
  <c r="E292" i="1"/>
  <c r="E211" i="1"/>
  <c r="E297" i="1" s="1"/>
  <c r="E299" i="1" l="1"/>
  <c r="I337" i="82" s="1"/>
  <c r="I339" i="82" s="1"/>
  <c r="A290" i="1"/>
  <c r="T337" i="82" l="1"/>
  <c r="T339" i="82" s="1"/>
  <c r="BL337" i="82"/>
  <c r="BL339" i="82" s="1"/>
  <c r="BM337" i="82"/>
  <c r="BM339" i="82" s="1"/>
  <c r="BH337" i="82"/>
  <c r="BH339" i="82" s="1"/>
  <c r="CN337" i="82"/>
  <c r="CN339" i="82" s="1"/>
  <c r="CR337" i="82"/>
  <c r="CR339" i="82" s="1"/>
  <c r="BY337" i="82"/>
  <c r="BY339" i="82" s="1"/>
  <c r="CV337" i="82"/>
  <c r="CV339" i="82" s="1"/>
  <c r="BD337" i="82"/>
  <c r="BD339" i="82" s="1"/>
  <c r="CT337" i="82"/>
  <c r="CT339" i="82" s="1"/>
  <c r="AM337" i="82"/>
  <c r="AM339" i="82" s="1"/>
  <c r="AH337" i="82"/>
  <c r="AH339" i="82" s="1"/>
  <c r="V337" i="82"/>
  <c r="V339" i="82" s="1"/>
  <c r="M337" i="82"/>
  <c r="M339" i="82" s="1"/>
  <c r="BS337" i="82"/>
  <c r="BS339" i="82" s="1"/>
  <c r="BZ337" i="82"/>
  <c r="BZ339" i="82" s="1"/>
  <c r="AA337" i="82"/>
  <c r="AA339" i="82" s="1"/>
  <c r="CI337" i="82"/>
  <c r="CI339" i="82" s="1"/>
  <c r="CZ337" i="82"/>
  <c r="CZ339" i="82" s="1"/>
  <c r="BF337" i="82"/>
  <c r="BF339" i="82" s="1"/>
  <c r="CA337" i="82"/>
  <c r="CA339" i="82" s="1"/>
  <c r="CM337" i="82"/>
  <c r="CM339" i="82" s="1"/>
  <c r="CH337" i="82"/>
  <c r="CH339" i="82" s="1"/>
  <c r="AE337" i="82"/>
  <c r="AE339" i="82" s="1"/>
  <c r="BO337" i="82"/>
  <c r="BO339" i="82" s="1"/>
  <c r="BJ337" i="82"/>
  <c r="BJ339" i="82" s="1"/>
  <c r="BA337" i="82"/>
  <c r="BA339" i="82" s="1"/>
  <c r="D337" i="82"/>
  <c r="D339" i="82" s="1"/>
  <c r="N337" i="82"/>
  <c r="N339" i="82" s="1"/>
  <c r="CJ337" i="82"/>
  <c r="CJ339" i="82" s="1"/>
  <c r="BK337" i="82"/>
  <c r="BK339" i="82" s="1"/>
  <c r="BQ337" i="82"/>
  <c r="BQ339" i="82" s="1"/>
  <c r="E337" i="82"/>
  <c r="E339" i="82" s="1"/>
  <c r="AX337" i="82"/>
  <c r="AX339" i="82" s="1"/>
  <c r="CE337" i="82"/>
  <c r="CE339" i="82" s="1"/>
  <c r="S337" i="82"/>
  <c r="S339" i="82" s="1"/>
  <c r="BE337" i="82"/>
  <c r="BE339" i="82" s="1"/>
  <c r="BT337" i="82"/>
  <c r="BT339" i="82" s="1"/>
  <c r="BC337" i="82"/>
  <c r="BC339" i="82" s="1"/>
  <c r="BR337" i="82"/>
  <c r="BR339" i="82" s="1"/>
  <c r="F337" i="82"/>
  <c r="F339" i="82" s="1"/>
  <c r="CB337" i="82"/>
  <c r="CB339" i="82" s="1"/>
  <c r="AU337" i="82"/>
  <c r="AU339" i="82" s="1"/>
  <c r="BI337" i="82"/>
  <c r="BI339" i="82" s="1"/>
  <c r="AB337" i="82"/>
  <c r="AB339" i="82" s="1"/>
  <c r="AP337" i="82"/>
  <c r="AP339" i="82" s="1"/>
  <c r="BW337" i="82"/>
  <c r="BW339" i="82" s="1"/>
  <c r="K337" i="82"/>
  <c r="K339" i="82" s="1"/>
  <c r="AW337" i="82"/>
  <c r="AW339" i="82" s="1"/>
  <c r="AO337" i="82"/>
  <c r="AO339" i="82" s="1"/>
  <c r="AG337" i="82"/>
  <c r="AG339" i="82" s="1"/>
  <c r="CF337" i="82"/>
  <c r="CF339" i="82" s="1"/>
  <c r="AN337" i="82"/>
  <c r="AN339" i="82" s="1"/>
  <c r="W337" i="82"/>
  <c r="W339" i="82" s="1"/>
  <c r="BB337" i="82"/>
  <c r="BB339" i="82" s="1"/>
  <c r="BX337" i="82"/>
  <c r="BX339" i="82" s="1"/>
  <c r="AV337" i="82"/>
  <c r="AV339" i="82" s="1"/>
  <c r="O337" i="82"/>
  <c r="O339" i="82" s="1"/>
  <c r="AS337" i="82"/>
  <c r="AS339" i="82" s="1"/>
  <c r="CL337" i="82"/>
  <c r="CL339" i="82" s="1"/>
  <c r="Z337" i="82"/>
  <c r="Z339" i="82" s="1"/>
  <c r="BG337" i="82"/>
  <c r="BG339" i="82" s="1"/>
  <c r="CS337" i="82"/>
  <c r="CS339" i="82" s="1"/>
  <c r="BP337" i="82"/>
  <c r="BP339" i="82" s="1"/>
  <c r="X337" i="82"/>
  <c r="X339" i="82" s="1"/>
  <c r="G337" i="82"/>
  <c r="G339" i="82" s="1"/>
  <c r="AT337" i="82"/>
  <c r="AT339" i="82" s="1"/>
  <c r="AZ337" i="82"/>
  <c r="AZ339" i="82" s="1"/>
  <c r="AF337" i="82"/>
  <c r="AF339" i="82" s="1"/>
  <c r="CW337" i="82"/>
  <c r="CW339" i="82" s="1"/>
  <c r="AK337" i="82"/>
  <c r="AK339" i="82" s="1"/>
  <c r="CD337" i="82"/>
  <c r="CD339" i="82" s="1"/>
  <c r="R337" i="82"/>
  <c r="R339" i="82" s="1"/>
  <c r="AY337" i="82"/>
  <c r="AY339" i="82" s="1"/>
  <c r="CK337" i="82"/>
  <c r="CK339" i="82" s="1"/>
  <c r="Y337" i="82"/>
  <c r="Y339" i="82" s="1"/>
  <c r="AQ337" i="82"/>
  <c r="AQ339" i="82" s="1"/>
  <c r="H337" i="82"/>
  <c r="H339" i="82" s="1"/>
  <c r="CX337" i="82"/>
  <c r="CX339" i="82" s="1"/>
  <c r="AL337" i="82"/>
  <c r="AL339" i="82" s="1"/>
  <c r="AJ337" i="82"/>
  <c r="AJ339" i="82" s="1"/>
  <c r="P337" i="82"/>
  <c r="P339" i="82" s="1"/>
  <c r="CO337" i="82"/>
  <c r="CO339" i="82" s="1"/>
  <c r="AC337" i="82"/>
  <c r="AC339" i="82" s="1"/>
  <c r="BV337" i="82"/>
  <c r="BV339" i="82" s="1"/>
  <c r="J337" i="82"/>
  <c r="J339" i="82" s="1"/>
  <c r="CC337" i="82"/>
  <c r="CC339" i="82" s="1"/>
  <c r="Q337" i="82"/>
  <c r="Q339" i="82" s="1"/>
  <c r="AR337" i="82"/>
  <c r="AR339" i="82" s="1"/>
  <c r="CY337" i="82"/>
  <c r="CY339" i="82" s="1"/>
  <c r="CP337" i="82"/>
  <c r="CP339" i="82" s="1"/>
  <c r="AD337" i="82"/>
  <c r="AD339" i="82" s="1"/>
  <c r="L337" i="82"/>
  <c r="L339" i="82" s="1"/>
  <c r="CQ337" i="82"/>
  <c r="CQ339" i="82" s="1"/>
  <c r="CG337" i="82"/>
  <c r="CG339" i="82" s="1"/>
  <c r="U337" i="82"/>
  <c r="U339" i="82" s="1"/>
  <c r="BN337" i="82"/>
  <c r="BN339" i="82" s="1"/>
  <c r="CU337" i="82"/>
  <c r="CU339" i="82" s="1"/>
  <c r="AI337" i="82"/>
  <c r="AI339" i="82" s="1"/>
  <c r="BU337" i="82"/>
  <c r="BU339" i="82" s="1"/>
  <c r="G114" i="1"/>
  <c r="G94" i="1"/>
  <c r="F286" i="1"/>
  <c r="E286" i="1"/>
  <c r="F284" i="1"/>
  <c r="E284" i="1"/>
  <c r="F283" i="1"/>
  <c r="E283" i="1"/>
  <c r="F282" i="1"/>
  <c r="E282" i="1"/>
  <c r="F281" i="1"/>
  <c r="E281" i="1"/>
  <c r="G11" i="1"/>
  <c r="G78" i="1" l="1"/>
  <c r="C251" i="28" l="1"/>
  <c r="E210" i="28" l="1"/>
  <c r="L226" i="28"/>
  <c r="AA226" i="28"/>
  <c r="AB226" i="28" l="1"/>
  <c r="G234" i="1"/>
  <c r="E248" i="28" l="1"/>
  <c r="E251" i="28" l="1"/>
  <c r="L257" i="28" l="1"/>
  <c r="AA257" i="28"/>
  <c r="AB257" i="28" l="1"/>
  <c r="G155" i="1"/>
  <c r="G138" i="1"/>
  <c r="G135" i="1" l="1"/>
  <c r="E209" i="28" l="1"/>
  <c r="C209" i="28"/>
  <c r="A209" i="28"/>
  <c r="AA209" i="28" s="1"/>
  <c r="L209" i="28" l="1"/>
  <c r="B17" i="89" l="1"/>
  <c r="B18" i="89" s="1"/>
  <c r="G16" i="89" s="1"/>
  <c r="AB209" i="28"/>
  <c r="G183" i="1"/>
  <c r="L210" i="28" l="1"/>
  <c r="E34" i="88" s="1"/>
  <c r="H210" i="28"/>
  <c r="A210" i="28"/>
  <c r="AA210" i="28" s="1"/>
  <c r="C210" i="28"/>
  <c r="A194" i="28"/>
  <c r="AA194" i="28" s="1"/>
  <c r="B194" i="28"/>
  <c r="C194" i="28"/>
  <c r="E194" i="28"/>
  <c r="E153" i="28"/>
  <c r="E154" i="28"/>
  <c r="E155" i="28"/>
  <c r="B153" i="28"/>
  <c r="C153" i="28"/>
  <c r="B154" i="28"/>
  <c r="C154" i="28"/>
  <c r="B155" i="28"/>
  <c r="C155" i="28"/>
  <c r="A153" i="28"/>
  <c r="AA153" i="28" s="1"/>
  <c r="A154" i="28"/>
  <c r="AA154" i="28" s="1"/>
  <c r="A155" i="28"/>
  <c r="AA155" i="28" s="1"/>
  <c r="E118" i="28"/>
  <c r="A118" i="28"/>
  <c r="AA118" i="28" s="1"/>
  <c r="B118" i="28"/>
  <c r="C118" i="28"/>
  <c r="E55" i="28"/>
  <c r="E54" i="28"/>
  <c r="C55" i="28"/>
  <c r="C54" i="28"/>
  <c r="B55" i="28"/>
  <c r="B54" i="28"/>
  <c r="A55" i="28"/>
  <c r="AA55" i="28" s="1"/>
  <c r="A54" i="28"/>
  <c r="AA54" i="28" s="1"/>
  <c r="L213" i="28"/>
  <c r="L212" i="28"/>
  <c r="AA228" i="28"/>
  <c r="AA225" i="28"/>
  <c r="AA224" i="28"/>
  <c r="AA223" i="28"/>
  <c r="AA222" i="28"/>
  <c r="AA213" i="28"/>
  <c r="AA212" i="28"/>
  <c r="G34" i="88" l="1"/>
  <c r="AB212" i="28"/>
  <c r="AB210" i="28"/>
  <c r="AB213" i="28"/>
  <c r="L194" i="28"/>
  <c r="F16" i="89" s="1"/>
  <c r="L155" i="28"/>
  <c r="L154" i="28"/>
  <c r="AB154" i="28" s="1"/>
  <c r="L153" i="28"/>
  <c r="L118" i="28"/>
  <c r="AB118" i="28" s="1"/>
  <c r="L54" i="28"/>
  <c r="L55" i="28"/>
  <c r="AB55" i="28" s="1"/>
  <c r="L225" i="28"/>
  <c r="E46" i="88" s="1"/>
  <c r="G46" i="88" s="1"/>
  <c r="L228" i="28"/>
  <c r="L221" i="28"/>
  <c r="L222" i="28"/>
  <c r="L223" i="28"/>
  <c r="L224" i="28"/>
  <c r="E32" i="88" l="1"/>
  <c r="E38" i="88"/>
  <c r="G38" i="88" s="1"/>
  <c r="AB153" i="28"/>
  <c r="AB228" i="28"/>
  <c r="AB224" i="28"/>
  <c r="AB223" i="28"/>
  <c r="F27" i="89"/>
  <c r="F28" i="89" s="1"/>
  <c r="AB222" i="28"/>
  <c r="AB225" i="28"/>
  <c r="AB54" i="28"/>
  <c r="AB194" i="28"/>
  <c r="AB155" i="28"/>
  <c r="E253" i="28" l="1"/>
  <c r="L254" i="28"/>
  <c r="AB254" i="28" s="1"/>
  <c r="L255" i="28"/>
  <c r="AB255" i="28" s="1"/>
  <c r="E256" i="28"/>
  <c r="E252" i="28"/>
  <c r="A253" i="28"/>
  <c r="AA253" i="28" s="1"/>
  <c r="A254" i="28"/>
  <c r="AA254" i="28" s="1"/>
  <c r="A255" i="28"/>
  <c r="AA255" i="28" s="1"/>
  <c r="A256" i="28"/>
  <c r="AA256" i="28" s="1"/>
  <c r="A252" i="28"/>
  <c r="AA252" i="28" s="1"/>
  <c r="F251" i="28"/>
  <c r="G270" i="1"/>
  <c r="F248" i="28" s="1"/>
  <c r="G271" i="1"/>
  <c r="F249" i="28" s="1"/>
  <c r="G272" i="1"/>
  <c r="F250" i="28" s="1"/>
  <c r="G269" i="1"/>
  <c r="F247" i="28" s="1"/>
  <c r="L256" i="28" l="1"/>
  <c r="AB256" i="28" s="1"/>
  <c r="L253" i="28"/>
  <c r="AB253" i="28" s="1"/>
  <c r="L252" i="28"/>
  <c r="AB252" i="28" s="1"/>
  <c r="C253" i="28"/>
  <c r="C254" i="28"/>
  <c r="C256" i="28"/>
  <c r="C252" i="28"/>
  <c r="G224" i="1" l="1"/>
  <c r="G111" i="1"/>
  <c r="G21" i="1"/>
  <c r="F256" i="28"/>
  <c r="F255" i="28"/>
  <c r="F254" i="28"/>
  <c r="F253" i="28"/>
  <c r="F252" i="28"/>
  <c r="G101" i="1" l="1"/>
  <c r="G120" i="1" l="1"/>
  <c r="G119" i="1"/>
  <c r="G118" i="1"/>
  <c r="G117" i="1"/>
  <c r="G116" i="1"/>
  <c r="G115" i="1"/>
  <c r="G109" i="1"/>
  <c r="G99" i="1"/>
  <c r="G98" i="1"/>
  <c r="G97" i="1"/>
  <c r="G96" i="1"/>
  <c r="G95" i="1"/>
  <c r="D3" i="1" l="1"/>
  <c r="B2" i="89" l="1"/>
  <c r="C5" i="88"/>
  <c r="L4" i="28"/>
  <c r="L25" i="88" l="1"/>
  <c r="L18" i="88"/>
  <c r="M28" i="88"/>
  <c r="M24" i="88"/>
  <c r="L28" i="88"/>
  <c r="L24" i="88"/>
  <c r="M27" i="88"/>
  <c r="M21" i="88"/>
  <c r="D21" i="88" s="1"/>
  <c r="L27" i="88"/>
  <c r="L21" i="88"/>
  <c r="C21" i="88" s="1"/>
  <c r="L19" i="88"/>
  <c r="Q25" i="88"/>
  <c r="M19" i="88"/>
  <c r="P25" i="88"/>
  <c r="M25" i="88"/>
  <c r="M18" i="88"/>
  <c r="P16" i="88"/>
  <c r="M16" i="88"/>
  <c r="L16" i="88"/>
  <c r="L11" i="88"/>
  <c r="M15" i="88"/>
  <c r="Q16" i="88"/>
  <c r="L15" i="88"/>
  <c r="M11" i="88"/>
  <c r="D18" i="88" l="1"/>
  <c r="D28" i="88"/>
  <c r="D27" i="88"/>
  <c r="C28" i="88"/>
  <c r="C18" i="88"/>
  <c r="C19" i="88"/>
  <c r="C27" i="88"/>
  <c r="D19" i="88"/>
  <c r="N202" i="28"/>
  <c r="E198" i="28"/>
  <c r="L198" i="28" l="1"/>
  <c r="AB198" i="28" s="1"/>
  <c r="C258" i="28"/>
  <c r="B258" i="28"/>
  <c r="A258" i="28"/>
  <c r="A251" i="28"/>
  <c r="AA251" i="28" s="1"/>
  <c r="E250" i="28"/>
  <c r="C250" i="28"/>
  <c r="A250" i="28"/>
  <c r="AA250" i="28" s="1"/>
  <c r="E249" i="28"/>
  <c r="C249" i="28"/>
  <c r="A249" i="28"/>
  <c r="AA249" i="28" s="1"/>
  <c r="C248" i="28"/>
  <c r="A248" i="28"/>
  <c r="AA248" i="28" s="1"/>
  <c r="E247" i="28"/>
  <c r="C247" i="28"/>
  <c r="A247" i="28"/>
  <c r="AA247" i="28" s="1"/>
  <c r="H211" i="28"/>
  <c r="E211" i="28"/>
  <c r="C211" i="28"/>
  <c r="A211" i="28"/>
  <c r="AA211" i="28" s="1"/>
  <c r="E208" i="28"/>
  <c r="C208" i="28"/>
  <c r="A208" i="28"/>
  <c r="AA208" i="28" s="1"/>
  <c r="H207" i="28"/>
  <c r="E207" i="28"/>
  <c r="C207" i="28"/>
  <c r="B207" i="28"/>
  <c r="A207" i="28"/>
  <c r="AA207" i="28" s="1"/>
  <c r="H206" i="28"/>
  <c r="E206" i="28"/>
  <c r="C206" i="28"/>
  <c r="B206" i="28"/>
  <c r="A206" i="28"/>
  <c r="AA206" i="28" s="1"/>
  <c r="E205" i="28"/>
  <c r="C205" i="28"/>
  <c r="B205" i="28"/>
  <c r="A205" i="28"/>
  <c r="AA205" i="28" s="1"/>
  <c r="E204" i="28"/>
  <c r="C204" i="28"/>
  <c r="B204" i="28"/>
  <c r="A204" i="28"/>
  <c r="AA204" i="28" s="1"/>
  <c r="E203" i="28"/>
  <c r="C203" i="28"/>
  <c r="B203" i="28"/>
  <c r="A203" i="28"/>
  <c r="AA203" i="28" s="1"/>
  <c r="E202" i="28"/>
  <c r="C202" i="28"/>
  <c r="B202" i="28"/>
  <c r="A202" i="28"/>
  <c r="AA202" i="28" s="1"/>
  <c r="E201" i="28"/>
  <c r="C201" i="28"/>
  <c r="B201" i="28"/>
  <c r="A201" i="28"/>
  <c r="AA201" i="28" s="1"/>
  <c r="E200" i="28"/>
  <c r="C200" i="28"/>
  <c r="B200" i="28"/>
  <c r="A200" i="28"/>
  <c r="AA200" i="28" s="1"/>
  <c r="E199" i="28"/>
  <c r="C199" i="28"/>
  <c r="B199" i="28"/>
  <c r="A199" i="28"/>
  <c r="AA199" i="28" s="1"/>
  <c r="C198" i="28"/>
  <c r="B198" i="28"/>
  <c r="A198" i="28"/>
  <c r="AA198" i="28" s="1"/>
  <c r="E197" i="28"/>
  <c r="C197" i="28"/>
  <c r="B197" i="28"/>
  <c r="A197" i="28"/>
  <c r="AA197" i="28" s="1"/>
  <c r="E196" i="28"/>
  <c r="C196" i="28"/>
  <c r="B196" i="28"/>
  <c r="A196" i="28"/>
  <c r="AA196" i="28" s="1"/>
  <c r="E193" i="28"/>
  <c r="C193" i="28"/>
  <c r="B193" i="28"/>
  <c r="A193" i="28"/>
  <c r="AA193" i="28" s="1"/>
  <c r="E192" i="28"/>
  <c r="C192" i="28"/>
  <c r="B192" i="28"/>
  <c r="A192" i="28"/>
  <c r="AA192" i="28" s="1"/>
  <c r="E188" i="28"/>
  <c r="C188" i="28"/>
  <c r="B188" i="28"/>
  <c r="A188" i="28"/>
  <c r="AA188" i="28" s="1"/>
  <c r="E187" i="28"/>
  <c r="C187" i="28"/>
  <c r="B187" i="28"/>
  <c r="A187" i="28"/>
  <c r="AA187" i="28" s="1"/>
  <c r="E186" i="28"/>
  <c r="C186" i="28"/>
  <c r="B186" i="28"/>
  <c r="A186" i="28"/>
  <c r="AA186" i="28" s="1"/>
  <c r="E185" i="28"/>
  <c r="C185" i="28"/>
  <c r="B185" i="28"/>
  <c r="A185" i="28"/>
  <c r="AA185" i="28" s="1"/>
  <c r="E184" i="28"/>
  <c r="C184" i="28"/>
  <c r="B184" i="28"/>
  <c r="A184" i="28"/>
  <c r="AA184" i="28" s="1"/>
  <c r="E183" i="28"/>
  <c r="C183" i="28"/>
  <c r="E182" i="28"/>
  <c r="C182" i="28"/>
  <c r="B182" i="28"/>
  <c r="A182" i="28"/>
  <c r="AA182" i="28" s="1"/>
  <c r="E181" i="28"/>
  <c r="C181" i="28"/>
  <c r="B181" i="28"/>
  <c r="A181" i="28"/>
  <c r="AA181" i="28" s="1"/>
  <c r="E180" i="28"/>
  <c r="C180" i="28"/>
  <c r="B180" i="28"/>
  <c r="A180" i="28"/>
  <c r="AA180" i="28" s="1"/>
  <c r="E179" i="28"/>
  <c r="C179" i="28"/>
  <c r="B179" i="28"/>
  <c r="A179" i="28"/>
  <c r="AA179" i="28" s="1"/>
  <c r="C178" i="28"/>
  <c r="B178" i="28"/>
  <c r="A178" i="28"/>
  <c r="AA178" i="28" s="1"/>
  <c r="E177" i="28"/>
  <c r="C177" i="28"/>
  <c r="B177" i="28"/>
  <c r="A177" i="28"/>
  <c r="AA177" i="28" s="1"/>
  <c r="E176" i="28"/>
  <c r="C176" i="28"/>
  <c r="B176" i="28"/>
  <c r="A176" i="28"/>
  <c r="AA176" i="28" s="1"/>
  <c r="E175" i="28"/>
  <c r="C175" i="28"/>
  <c r="B175" i="28"/>
  <c r="A175" i="28"/>
  <c r="AA175" i="28" s="1"/>
  <c r="E174" i="28"/>
  <c r="C174" i="28"/>
  <c r="B174" i="28"/>
  <c r="A174" i="28"/>
  <c r="AA174" i="28" s="1"/>
  <c r="E173" i="28"/>
  <c r="C173" i="28"/>
  <c r="B173" i="28"/>
  <c r="A173" i="28"/>
  <c r="AA173" i="28" s="1"/>
  <c r="E172" i="28"/>
  <c r="C172" i="28"/>
  <c r="B172" i="28"/>
  <c r="A172" i="28"/>
  <c r="AA172" i="28" s="1"/>
  <c r="E171" i="28"/>
  <c r="C171" i="28"/>
  <c r="B171" i="28"/>
  <c r="A171" i="28"/>
  <c r="AA171" i="28" s="1"/>
  <c r="E170" i="28"/>
  <c r="C170" i="28"/>
  <c r="B170" i="28"/>
  <c r="A170" i="28"/>
  <c r="AA170" i="28" s="1"/>
  <c r="E169" i="28"/>
  <c r="C169" i="28"/>
  <c r="B169" i="28"/>
  <c r="A169" i="28"/>
  <c r="AA169" i="28" s="1"/>
  <c r="E168" i="28"/>
  <c r="C168" i="28"/>
  <c r="B168" i="28"/>
  <c r="A168" i="28"/>
  <c r="AA168" i="28" s="1"/>
  <c r="E167" i="28"/>
  <c r="C167" i="28"/>
  <c r="B167" i="28"/>
  <c r="A167" i="28"/>
  <c r="AA167" i="28" s="1"/>
  <c r="E166" i="28"/>
  <c r="C166" i="28"/>
  <c r="B166" i="28"/>
  <c r="A166" i="28"/>
  <c r="AA166" i="28" s="1"/>
  <c r="E165" i="28"/>
  <c r="C165" i="28"/>
  <c r="B165" i="28"/>
  <c r="A165" i="28"/>
  <c r="AA165" i="28" s="1"/>
  <c r="E164" i="28"/>
  <c r="C164" i="28"/>
  <c r="B164" i="28"/>
  <c r="A164" i="28"/>
  <c r="AA164" i="28" s="1"/>
  <c r="E163" i="28"/>
  <c r="C163" i="28"/>
  <c r="B163" i="28"/>
  <c r="A163" i="28"/>
  <c r="AA163" i="28" s="1"/>
  <c r="E162" i="28"/>
  <c r="C162" i="28"/>
  <c r="B162" i="28"/>
  <c r="A162" i="28"/>
  <c r="AA162" i="28" s="1"/>
  <c r="E161" i="28"/>
  <c r="C161" i="28"/>
  <c r="B161" i="28"/>
  <c r="A161" i="28"/>
  <c r="AA161" i="28" s="1"/>
  <c r="E160" i="28"/>
  <c r="C160" i="28"/>
  <c r="B160" i="28"/>
  <c r="A160" i="28"/>
  <c r="AA160" i="28" s="1"/>
  <c r="E159" i="28"/>
  <c r="C159" i="28"/>
  <c r="B159" i="28"/>
  <c r="A159" i="28"/>
  <c r="AA159" i="28" s="1"/>
  <c r="E158" i="28"/>
  <c r="C158" i="28"/>
  <c r="B158" i="28"/>
  <c r="A158" i="28"/>
  <c r="AA158" i="28" s="1"/>
  <c r="C157" i="28"/>
  <c r="B157" i="28"/>
  <c r="A157" i="28"/>
  <c r="AA157" i="28" s="1"/>
  <c r="C156" i="28"/>
  <c r="B156" i="28"/>
  <c r="A156" i="28"/>
  <c r="AA156" i="28" s="1"/>
  <c r="E152" i="28"/>
  <c r="C152" i="28"/>
  <c r="B152" i="28"/>
  <c r="A152" i="28"/>
  <c r="AA152" i="28" s="1"/>
  <c r="E151" i="28"/>
  <c r="C151" i="28"/>
  <c r="B151" i="28"/>
  <c r="A151" i="28"/>
  <c r="AA151" i="28" s="1"/>
  <c r="E150" i="28"/>
  <c r="C150" i="28"/>
  <c r="B150" i="28"/>
  <c r="A150" i="28"/>
  <c r="AA150" i="28" s="1"/>
  <c r="E149" i="28"/>
  <c r="C149" i="28"/>
  <c r="B149" i="28"/>
  <c r="A149" i="28"/>
  <c r="AA149" i="28" s="1"/>
  <c r="E148" i="28"/>
  <c r="C148" i="28"/>
  <c r="B148" i="28"/>
  <c r="A148" i="28"/>
  <c r="AA148" i="28" s="1"/>
  <c r="E143" i="28"/>
  <c r="C143" i="28"/>
  <c r="B143" i="28"/>
  <c r="A143" i="28"/>
  <c r="AA143" i="28" s="1"/>
  <c r="E142" i="28"/>
  <c r="C142" i="28"/>
  <c r="B142" i="28"/>
  <c r="A142" i="28"/>
  <c r="AA142" i="28" s="1"/>
  <c r="E141" i="28"/>
  <c r="C141" i="28"/>
  <c r="B141" i="28"/>
  <c r="A141" i="28"/>
  <c r="AA141" i="28" s="1"/>
  <c r="E140" i="28"/>
  <c r="C140" i="28"/>
  <c r="B140" i="28"/>
  <c r="A140" i="28"/>
  <c r="AA140" i="28" s="1"/>
  <c r="E139" i="28"/>
  <c r="C139" i="28"/>
  <c r="B139" i="28"/>
  <c r="A139" i="28"/>
  <c r="AA139" i="28" s="1"/>
  <c r="E138" i="28"/>
  <c r="C138" i="28"/>
  <c r="B138" i="28"/>
  <c r="A138" i="28"/>
  <c r="AA138" i="28" s="1"/>
  <c r="E137" i="28"/>
  <c r="C137" i="28"/>
  <c r="B137" i="28"/>
  <c r="A137" i="28"/>
  <c r="AA137" i="28" s="1"/>
  <c r="E136" i="28"/>
  <c r="C136" i="28"/>
  <c r="B136" i="28"/>
  <c r="A136" i="28"/>
  <c r="AA136" i="28" s="1"/>
  <c r="E135" i="28"/>
  <c r="C135" i="28"/>
  <c r="B135" i="28"/>
  <c r="A135" i="28"/>
  <c r="AA135" i="28" s="1"/>
  <c r="E134" i="28"/>
  <c r="C134" i="28"/>
  <c r="B134" i="28"/>
  <c r="A134" i="28"/>
  <c r="AA134" i="28" s="1"/>
  <c r="E132" i="28"/>
  <c r="C132" i="28"/>
  <c r="B132" i="28"/>
  <c r="A132" i="28"/>
  <c r="AA132" i="28" s="1"/>
  <c r="E131" i="28"/>
  <c r="C131" i="28"/>
  <c r="B131" i="28"/>
  <c r="A131" i="28"/>
  <c r="AA131" i="28" s="1"/>
  <c r="E130" i="28"/>
  <c r="C130" i="28"/>
  <c r="B130" i="28"/>
  <c r="A130" i="28"/>
  <c r="AA130" i="28" s="1"/>
  <c r="E129" i="28"/>
  <c r="C129" i="28"/>
  <c r="B129" i="28"/>
  <c r="A129" i="28"/>
  <c r="AA129" i="28" s="1"/>
  <c r="E128" i="28"/>
  <c r="C128" i="28"/>
  <c r="B128" i="28"/>
  <c r="A128" i="28"/>
  <c r="AA128" i="28" s="1"/>
  <c r="E127" i="28"/>
  <c r="C127" i="28"/>
  <c r="B127" i="28"/>
  <c r="A127" i="28"/>
  <c r="AA127" i="28" s="1"/>
  <c r="E126" i="28"/>
  <c r="C126" i="28"/>
  <c r="B126" i="28"/>
  <c r="A126" i="28"/>
  <c r="AA126" i="28" s="1"/>
  <c r="E125" i="28"/>
  <c r="C125" i="28"/>
  <c r="B125" i="28"/>
  <c r="A125" i="28"/>
  <c r="AA125" i="28" s="1"/>
  <c r="E124" i="28"/>
  <c r="C124" i="28"/>
  <c r="B124" i="28"/>
  <c r="A124" i="28"/>
  <c r="AA124" i="28" s="1"/>
  <c r="E123" i="28"/>
  <c r="L123" i="28" s="1"/>
  <c r="C123" i="28"/>
  <c r="B123" i="28"/>
  <c r="A123" i="28"/>
  <c r="AA123" i="28" s="1"/>
  <c r="E122" i="28"/>
  <c r="L122" i="28" s="1"/>
  <c r="C122" i="28"/>
  <c r="B122" i="28"/>
  <c r="A122" i="28"/>
  <c r="AA122" i="28" s="1"/>
  <c r="E121" i="28"/>
  <c r="C121" i="28"/>
  <c r="B121" i="28"/>
  <c r="A121" i="28"/>
  <c r="AA121" i="28" s="1"/>
  <c r="E120" i="28"/>
  <c r="C120" i="28"/>
  <c r="B120" i="28"/>
  <c r="A120" i="28"/>
  <c r="AA120" i="28" s="1"/>
  <c r="E119" i="28"/>
  <c r="C119" i="28"/>
  <c r="B119" i="28"/>
  <c r="A119" i="28"/>
  <c r="AA119" i="28" s="1"/>
  <c r="E117" i="28"/>
  <c r="C117" i="28"/>
  <c r="B117" i="28"/>
  <c r="A117" i="28"/>
  <c r="AA117" i="28" s="1"/>
  <c r="E115" i="28"/>
  <c r="C115" i="28"/>
  <c r="B115" i="28"/>
  <c r="A115" i="28"/>
  <c r="AA115" i="28" s="1"/>
  <c r="E114" i="28"/>
  <c r="C114" i="28"/>
  <c r="B114" i="28"/>
  <c r="A114" i="28"/>
  <c r="AA114" i="28" s="1"/>
  <c r="E113" i="28"/>
  <c r="C113" i="28"/>
  <c r="B113" i="28"/>
  <c r="A113" i="28"/>
  <c r="AA113" i="28" s="1"/>
  <c r="E112" i="28"/>
  <c r="C112" i="28"/>
  <c r="B112" i="28"/>
  <c r="A112" i="28"/>
  <c r="AA112" i="28" s="1"/>
  <c r="E111" i="28"/>
  <c r="C111" i="28"/>
  <c r="B111" i="28"/>
  <c r="A111" i="28"/>
  <c r="AA111" i="28" s="1"/>
  <c r="E110" i="28"/>
  <c r="C110" i="28"/>
  <c r="B110" i="28"/>
  <c r="A110" i="28"/>
  <c r="AA110" i="28" s="1"/>
  <c r="E109" i="28"/>
  <c r="C109" i="28"/>
  <c r="B109" i="28"/>
  <c r="A109" i="28"/>
  <c r="AA109" i="28" s="1"/>
  <c r="E108" i="28"/>
  <c r="C108" i="28"/>
  <c r="B108" i="28"/>
  <c r="A108" i="28"/>
  <c r="AA108" i="28" s="1"/>
  <c r="E107" i="28"/>
  <c r="C107" i="28"/>
  <c r="B107" i="28"/>
  <c r="A107" i="28"/>
  <c r="AA107" i="28" s="1"/>
  <c r="E106" i="28"/>
  <c r="C106" i="28"/>
  <c r="B106" i="28"/>
  <c r="A106" i="28"/>
  <c r="AA106" i="28" s="1"/>
  <c r="E105" i="28"/>
  <c r="C105" i="28"/>
  <c r="B105" i="28"/>
  <c r="A105" i="28"/>
  <c r="AA105" i="28" s="1"/>
  <c r="E104" i="28"/>
  <c r="C104" i="28"/>
  <c r="B104" i="28"/>
  <c r="A104" i="28"/>
  <c r="AA104" i="28" s="1"/>
  <c r="E103" i="28"/>
  <c r="C103" i="28"/>
  <c r="B103" i="28"/>
  <c r="A103" i="28"/>
  <c r="AA103" i="28" s="1"/>
  <c r="E102" i="28"/>
  <c r="C102" i="28"/>
  <c r="B102" i="28"/>
  <c r="A102" i="28"/>
  <c r="AA102" i="28" s="1"/>
  <c r="E101" i="28"/>
  <c r="C101" i="28"/>
  <c r="B101" i="28"/>
  <c r="A101" i="28"/>
  <c r="AA101" i="28" s="1"/>
  <c r="E100" i="28"/>
  <c r="C100" i="28"/>
  <c r="B100" i="28"/>
  <c r="A100" i="28"/>
  <c r="AA100" i="28" s="1"/>
  <c r="C99" i="28"/>
  <c r="B99" i="28"/>
  <c r="A99" i="28"/>
  <c r="AA99" i="28" s="1"/>
  <c r="E98" i="28"/>
  <c r="C98" i="28"/>
  <c r="B98" i="28"/>
  <c r="A98" i="28"/>
  <c r="AA98" i="28" s="1"/>
  <c r="E97" i="28"/>
  <c r="C97" i="28"/>
  <c r="B97" i="28"/>
  <c r="A97" i="28"/>
  <c r="AA97" i="28" s="1"/>
  <c r="E96" i="28"/>
  <c r="C96" i="28"/>
  <c r="B96" i="28"/>
  <c r="A96" i="28"/>
  <c r="AA96" i="28" s="1"/>
  <c r="E95" i="28"/>
  <c r="C95" i="28"/>
  <c r="B95" i="28"/>
  <c r="A95" i="28"/>
  <c r="AA95" i="28" s="1"/>
  <c r="E94" i="28"/>
  <c r="C94" i="28"/>
  <c r="B94" i="28"/>
  <c r="A94" i="28"/>
  <c r="AA94" i="28" s="1"/>
  <c r="E93" i="28"/>
  <c r="C93" i="28"/>
  <c r="B93" i="28"/>
  <c r="A93" i="28"/>
  <c r="AA93" i="28" s="1"/>
  <c r="E92" i="28"/>
  <c r="C92" i="28"/>
  <c r="B92" i="28"/>
  <c r="A92" i="28"/>
  <c r="AA92" i="28" s="1"/>
  <c r="E91" i="28"/>
  <c r="C91" i="28"/>
  <c r="B91" i="28"/>
  <c r="A91" i="28"/>
  <c r="AA91" i="28" s="1"/>
  <c r="E90" i="28"/>
  <c r="C90" i="28"/>
  <c r="B90" i="28"/>
  <c r="A90" i="28"/>
  <c r="AA90" i="28" s="1"/>
  <c r="E89" i="28"/>
  <c r="C89" i="28"/>
  <c r="B89" i="28"/>
  <c r="A89" i="28"/>
  <c r="AA89" i="28" s="1"/>
  <c r="E88" i="28"/>
  <c r="C88" i="28"/>
  <c r="B88" i="28"/>
  <c r="A88" i="28"/>
  <c r="AA88" i="28" s="1"/>
  <c r="E87" i="28"/>
  <c r="C87" i="28"/>
  <c r="B87" i="28"/>
  <c r="A87" i="28"/>
  <c r="AA87" i="28" s="1"/>
  <c r="E86" i="28"/>
  <c r="C86" i="28"/>
  <c r="B86" i="28"/>
  <c r="A86" i="28"/>
  <c r="AA86" i="28" s="1"/>
  <c r="E85" i="28"/>
  <c r="C85" i="28"/>
  <c r="B85" i="28"/>
  <c r="E84" i="28"/>
  <c r="C84" i="28"/>
  <c r="B84" i="28"/>
  <c r="E83" i="28"/>
  <c r="C83" i="28"/>
  <c r="B83" i="28"/>
  <c r="E82" i="28"/>
  <c r="C82" i="28"/>
  <c r="B82" i="28"/>
  <c r="E81" i="28"/>
  <c r="C81" i="28"/>
  <c r="B81" i="28"/>
  <c r="C80" i="28"/>
  <c r="B80" i="28"/>
  <c r="E79" i="28"/>
  <c r="C79" i="28"/>
  <c r="B79" i="28"/>
  <c r="A79" i="28"/>
  <c r="AA79" i="28" s="1"/>
  <c r="E78" i="28"/>
  <c r="C78" i="28"/>
  <c r="B78" i="28"/>
  <c r="A78" i="28"/>
  <c r="AA78" i="28" s="1"/>
  <c r="E77" i="28"/>
  <c r="C77" i="28"/>
  <c r="B77" i="28"/>
  <c r="A77" i="28"/>
  <c r="AA77" i="28" s="1"/>
  <c r="E76" i="28"/>
  <c r="C76" i="28"/>
  <c r="B76" i="28"/>
  <c r="A76" i="28"/>
  <c r="AA76" i="28" s="1"/>
  <c r="E75" i="28"/>
  <c r="C75" i="28"/>
  <c r="B75" i="28"/>
  <c r="A75" i="28"/>
  <c r="AA75" i="28" s="1"/>
  <c r="E74" i="28"/>
  <c r="C74" i="28"/>
  <c r="B74" i="28"/>
  <c r="A74" i="28"/>
  <c r="AA74" i="28" s="1"/>
  <c r="E73" i="28"/>
  <c r="C73" i="28"/>
  <c r="B73" i="28"/>
  <c r="A73" i="28"/>
  <c r="AA73" i="28" s="1"/>
  <c r="E72" i="28"/>
  <c r="C72" i="28"/>
  <c r="B72" i="28"/>
  <c r="A72" i="28"/>
  <c r="AA72" i="28" s="1"/>
  <c r="E71" i="28"/>
  <c r="C71" i="28"/>
  <c r="A71" i="28"/>
  <c r="AA71" i="28" s="1"/>
  <c r="C70" i="28"/>
  <c r="B70" i="28"/>
  <c r="A70" i="28"/>
  <c r="AA70" i="28" s="1"/>
  <c r="E69" i="28"/>
  <c r="C69" i="28"/>
  <c r="B69" i="28"/>
  <c r="A69" i="28"/>
  <c r="AA69" i="28" s="1"/>
  <c r="E68" i="28"/>
  <c r="C68" i="28"/>
  <c r="B68" i="28"/>
  <c r="A68" i="28"/>
  <c r="AA68" i="28" s="1"/>
  <c r="E67" i="28"/>
  <c r="C67" i="28"/>
  <c r="B67" i="28"/>
  <c r="A67" i="28"/>
  <c r="AA67" i="28" s="1"/>
  <c r="E66" i="28"/>
  <c r="C66" i="28"/>
  <c r="B66" i="28"/>
  <c r="A66" i="28"/>
  <c r="AA66" i="28" s="1"/>
  <c r="E65" i="28"/>
  <c r="L65" i="28" s="1"/>
  <c r="C29" i="99" s="1"/>
  <c r="C65" i="28"/>
  <c r="B65" i="28"/>
  <c r="A65" i="28"/>
  <c r="AA65" i="28" s="1"/>
  <c r="E64" i="28"/>
  <c r="C64" i="28"/>
  <c r="B64" i="28"/>
  <c r="A64" i="28"/>
  <c r="AA64" i="28" s="1"/>
  <c r="E63" i="28"/>
  <c r="C63" i="28"/>
  <c r="B63" i="28"/>
  <c r="A63" i="28"/>
  <c r="AA63" i="28" s="1"/>
  <c r="E62" i="28"/>
  <c r="C62" i="28"/>
  <c r="B62" i="28"/>
  <c r="A62" i="28"/>
  <c r="AA62" i="28" s="1"/>
  <c r="E61" i="28"/>
  <c r="C61" i="28"/>
  <c r="B61" i="28"/>
  <c r="A61" i="28"/>
  <c r="AA61" i="28" s="1"/>
  <c r="E59" i="28"/>
  <c r="C59" i="28"/>
  <c r="B59" i="28"/>
  <c r="A59" i="28"/>
  <c r="AA59" i="28" s="1"/>
  <c r="E58" i="28"/>
  <c r="C58" i="28"/>
  <c r="B58" i="28"/>
  <c r="A58" i="28"/>
  <c r="AA58" i="28" s="1"/>
  <c r="E57" i="28"/>
  <c r="C57" i="28"/>
  <c r="B57" i="28"/>
  <c r="A57" i="28"/>
  <c r="AA57" i="28" s="1"/>
  <c r="E56" i="28"/>
  <c r="C56" i="28"/>
  <c r="B56" i="28"/>
  <c r="A56" i="28"/>
  <c r="AA56" i="28" s="1"/>
  <c r="E52" i="28"/>
  <c r="C52" i="28"/>
  <c r="B52" i="28"/>
  <c r="A52" i="28"/>
  <c r="AA52" i="28" s="1"/>
  <c r="E51" i="28"/>
  <c r="C51" i="28"/>
  <c r="B51" i="28"/>
  <c r="A51" i="28"/>
  <c r="AA51" i="28" s="1"/>
  <c r="E50" i="28"/>
  <c r="C50" i="28"/>
  <c r="B50" i="28"/>
  <c r="A50" i="28"/>
  <c r="AA50" i="28" s="1"/>
  <c r="E49" i="28"/>
  <c r="C49" i="28"/>
  <c r="B49" i="28"/>
  <c r="A49" i="28"/>
  <c r="AA49" i="28" s="1"/>
  <c r="E48" i="28"/>
  <c r="C48" i="28"/>
  <c r="B48" i="28"/>
  <c r="A48" i="28"/>
  <c r="AA48" i="28" s="1"/>
  <c r="E47" i="28"/>
  <c r="C47" i="28"/>
  <c r="B47" i="28"/>
  <c r="A47" i="28"/>
  <c r="AA47" i="28" s="1"/>
  <c r="E46" i="28"/>
  <c r="C46" i="28"/>
  <c r="B46" i="28"/>
  <c r="A46" i="28"/>
  <c r="AA46" i="28" s="1"/>
  <c r="E45" i="28"/>
  <c r="C45" i="28"/>
  <c r="B45" i="28"/>
  <c r="A45" i="28"/>
  <c r="AA45" i="28" s="1"/>
  <c r="E44" i="28"/>
  <c r="C44" i="28"/>
  <c r="B44" i="28"/>
  <c r="A44" i="28"/>
  <c r="AA44" i="28" s="1"/>
  <c r="E43" i="28"/>
  <c r="C43" i="28"/>
  <c r="B43" i="28"/>
  <c r="A43" i="28"/>
  <c r="AA43" i="28" s="1"/>
  <c r="E42" i="28"/>
  <c r="C42" i="28"/>
  <c r="B42" i="28"/>
  <c r="A42" i="28"/>
  <c r="AA42" i="28" s="1"/>
  <c r="E41" i="28"/>
  <c r="C41" i="28"/>
  <c r="B41" i="28"/>
  <c r="A41" i="28"/>
  <c r="AA41" i="28" s="1"/>
  <c r="E40" i="28"/>
  <c r="C40" i="28"/>
  <c r="B40" i="28"/>
  <c r="A40" i="28"/>
  <c r="AA40" i="28" s="1"/>
  <c r="E39" i="28"/>
  <c r="C39" i="28"/>
  <c r="B39" i="28"/>
  <c r="A39" i="28"/>
  <c r="AA39" i="28" s="1"/>
  <c r="E38" i="28"/>
  <c r="C38" i="28"/>
  <c r="B38" i="28"/>
  <c r="A38" i="28"/>
  <c r="AA38" i="28" s="1"/>
  <c r="E37" i="28"/>
  <c r="C37" i="28"/>
  <c r="B37" i="28"/>
  <c r="A37" i="28"/>
  <c r="AA37" i="28" s="1"/>
  <c r="E36" i="28"/>
  <c r="C36" i="28"/>
  <c r="B36" i="28"/>
  <c r="A36" i="28"/>
  <c r="AA36" i="28" s="1"/>
  <c r="E35" i="28"/>
  <c r="C35" i="28"/>
  <c r="B35" i="28"/>
  <c r="A35" i="28"/>
  <c r="AA35" i="28" s="1"/>
  <c r="H34" i="28"/>
  <c r="E34" i="28"/>
  <c r="C34" i="28"/>
  <c r="B34" i="28"/>
  <c r="A34" i="28"/>
  <c r="AA34" i="28" s="1"/>
  <c r="E33" i="28"/>
  <c r="C33" i="28"/>
  <c r="B33" i="28"/>
  <c r="A33" i="28"/>
  <c r="AA33" i="28" s="1"/>
  <c r="E32" i="28"/>
  <c r="C32" i="28"/>
  <c r="B32" i="28"/>
  <c r="A32" i="28"/>
  <c r="AA32" i="28" s="1"/>
  <c r="E31" i="28"/>
  <c r="C31" i="28"/>
  <c r="B31" i="28"/>
  <c r="A31" i="28"/>
  <c r="AA31" i="28" s="1"/>
  <c r="E30" i="28"/>
  <c r="C30" i="28"/>
  <c r="B30" i="28"/>
  <c r="A30" i="28"/>
  <c r="AA30" i="28" s="1"/>
  <c r="E29" i="28"/>
  <c r="C29" i="28"/>
  <c r="B29" i="28"/>
  <c r="A29" i="28"/>
  <c r="AA29" i="28" s="1"/>
  <c r="E28" i="28"/>
  <c r="C28" i="28"/>
  <c r="B28" i="28"/>
  <c r="A28" i="28"/>
  <c r="AA28" i="28" s="1"/>
  <c r="E27" i="28"/>
  <c r="C27" i="28"/>
  <c r="B27" i="28"/>
  <c r="A27" i="28"/>
  <c r="AA27" i="28" s="1"/>
  <c r="E26" i="28"/>
  <c r="C26" i="28"/>
  <c r="B26" i="28"/>
  <c r="A26" i="28"/>
  <c r="AA26" i="28" s="1"/>
  <c r="E25" i="28"/>
  <c r="C25" i="28"/>
  <c r="B25" i="28"/>
  <c r="A25" i="28"/>
  <c r="AA25" i="28" s="1"/>
  <c r="E24" i="28"/>
  <c r="C24" i="28"/>
  <c r="B24" i="28"/>
  <c r="A24" i="28"/>
  <c r="AA24" i="28" s="1"/>
  <c r="E23" i="28"/>
  <c r="C23" i="28"/>
  <c r="B23" i="28"/>
  <c r="A23" i="28"/>
  <c r="AA23" i="28" s="1"/>
  <c r="E22" i="28"/>
  <c r="C22" i="28"/>
  <c r="B22" i="28"/>
  <c r="A22" i="28"/>
  <c r="AA22" i="28" s="1"/>
  <c r="E21" i="28"/>
  <c r="C21" i="28"/>
  <c r="B21" i="28"/>
  <c r="A21" i="28"/>
  <c r="AA21" i="28" s="1"/>
  <c r="E20" i="28"/>
  <c r="C20" i="28"/>
  <c r="B20" i="28"/>
  <c r="A20" i="28"/>
  <c r="AA20" i="28" s="1"/>
  <c r="E19" i="28"/>
  <c r="C19" i="28"/>
  <c r="B19" i="28"/>
  <c r="A19" i="28"/>
  <c r="AA19" i="28" s="1"/>
  <c r="E18" i="28"/>
  <c r="C18" i="28"/>
  <c r="B18" i="28"/>
  <c r="A18" i="28"/>
  <c r="AA18" i="28" s="1"/>
  <c r="E17" i="28"/>
  <c r="C17" i="28"/>
  <c r="B17" i="28"/>
  <c r="A17" i="28"/>
  <c r="AA17" i="28" s="1"/>
  <c r="E16" i="28"/>
  <c r="C16" i="28"/>
  <c r="B16" i="28"/>
  <c r="A16" i="28"/>
  <c r="AA16" i="28" s="1"/>
  <c r="E15" i="28"/>
  <c r="C15" i="28"/>
  <c r="B15" i="28"/>
  <c r="A15" i="28"/>
  <c r="AA15" i="28" s="1"/>
  <c r="E14" i="28"/>
  <c r="C14" i="28"/>
  <c r="B14" i="28"/>
  <c r="A14" i="28"/>
  <c r="AA14" i="28" s="1"/>
  <c r="E13" i="28"/>
  <c r="C13" i="28"/>
  <c r="B13" i="28"/>
  <c r="A13" i="28"/>
  <c r="AA13" i="28" s="1"/>
  <c r="E12" i="28"/>
  <c r="C12" i="28"/>
  <c r="B12" i="28"/>
  <c r="A12" i="28"/>
  <c r="AA12" i="28" s="1"/>
  <c r="E11" i="28"/>
  <c r="C11" i="28"/>
  <c r="B11" i="28"/>
  <c r="A11" i="28"/>
  <c r="AA11" i="28" s="1"/>
  <c r="C10" i="28"/>
  <c r="B10" i="28"/>
  <c r="A10" i="28"/>
  <c r="AA10" i="28" s="1"/>
  <c r="E9" i="28"/>
  <c r="C9" i="28"/>
  <c r="B9" i="28"/>
  <c r="A9" i="28"/>
  <c r="AA9" i="28" s="1"/>
  <c r="E8" i="28"/>
  <c r="C8" i="28"/>
  <c r="B8" i="28"/>
  <c r="A8" i="28"/>
  <c r="AA8" i="28" s="1"/>
  <c r="G7" i="28"/>
  <c r="E7" i="28"/>
  <c r="C7" i="28"/>
  <c r="B7" i="28"/>
  <c r="A7" i="28"/>
  <c r="AA7" i="28" s="1"/>
  <c r="E6" i="28"/>
  <c r="C6" i="28"/>
  <c r="B6" i="28"/>
  <c r="A6" i="28"/>
  <c r="AA6" i="28" s="1"/>
  <c r="E5" i="28"/>
  <c r="C5" i="28"/>
  <c r="B5" i="28"/>
  <c r="A5" i="28"/>
  <c r="AA5" i="28" s="1"/>
  <c r="C2" i="28"/>
  <c r="G267" i="1"/>
  <c r="G263" i="1"/>
  <c r="H260" i="1"/>
  <c r="G260" i="1" s="1"/>
  <c r="H259" i="1"/>
  <c r="G259" i="1" s="1"/>
  <c r="H258" i="1"/>
  <c r="G258" i="1" s="1"/>
  <c r="G257" i="1"/>
  <c r="G256" i="1"/>
  <c r="G255" i="1"/>
  <c r="G254" i="1"/>
  <c r="G247" i="1"/>
  <c r="G243" i="1"/>
  <c r="G242" i="1"/>
  <c r="G238" i="1"/>
  <c r="H235" i="1"/>
  <c r="G235" i="1" s="1"/>
  <c r="H234" i="1"/>
  <c r="H233" i="1"/>
  <c r="G232" i="1"/>
  <c r="H229" i="1"/>
  <c r="G229" i="1" s="1"/>
  <c r="H228" i="1"/>
  <c r="G228" i="1"/>
  <c r="H227" i="1"/>
  <c r="G227" i="1"/>
  <c r="G226" i="1"/>
  <c r="G221" i="1"/>
  <c r="G220" i="1"/>
  <c r="G219" i="1"/>
  <c r="G218" i="1"/>
  <c r="G216" i="1"/>
  <c r="F210" i="1"/>
  <c r="G209" i="1"/>
  <c r="G208" i="1"/>
  <c r="G207" i="1"/>
  <c r="G206" i="1"/>
  <c r="F204" i="1"/>
  <c r="G203" i="1"/>
  <c r="G202" i="1"/>
  <c r="G201" i="1"/>
  <c r="G200" i="1"/>
  <c r="F198" i="1"/>
  <c r="E157" i="28"/>
  <c r="E156" i="28"/>
  <c r="G182" i="1"/>
  <c r="G177" i="1"/>
  <c r="G173" i="1"/>
  <c r="G166" i="1"/>
  <c r="G165" i="1"/>
  <c r="G162" i="1"/>
  <c r="G161" i="1"/>
  <c r="H154" i="1"/>
  <c r="G154" i="1" s="1"/>
  <c r="G153" i="1"/>
  <c r="G152" i="1"/>
  <c r="G150" i="1"/>
  <c r="G149" i="1"/>
  <c r="G148" i="1"/>
  <c r="G147" i="1"/>
  <c r="G146" i="1"/>
  <c r="G145" i="1"/>
  <c r="G144" i="1"/>
  <c r="G143" i="1"/>
  <c r="H137" i="1"/>
  <c r="G137" i="1" s="1"/>
  <c r="G136" i="1"/>
  <c r="G134" i="1"/>
  <c r="G132" i="1"/>
  <c r="G131" i="1"/>
  <c r="G129" i="1"/>
  <c r="G128" i="1"/>
  <c r="G127" i="1"/>
  <c r="H122" i="1"/>
  <c r="G122" i="1" s="1"/>
  <c r="G108" i="1"/>
  <c r="G106" i="1"/>
  <c r="G105" i="1"/>
  <c r="H103" i="1"/>
  <c r="G103" i="1"/>
  <c r="H138" i="1"/>
  <c r="E80" i="28"/>
  <c r="G92" i="1"/>
  <c r="G90" i="1"/>
  <c r="G72" i="28"/>
  <c r="G81" i="1"/>
  <c r="G79" i="1"/>
  <c r="H76" i="1"/>
  <c r="G76" i="1" s="1"/>
  <c r="G74" i="1"/>
  <c r="G71" i="1"/>
  <c r="G68" i="1"/>
  <c r="G67" i="1"/>
  <c r="H59" i="1"/>
  <c r="G59" i="1"/>
  <c r="H78" i="1"/>
  <c r="I78" i="1" s="1"/>
  <c r="G58" i="1"/>
  <c r="G57" i="1"/>
  <c r="G56" i="1"/>
  <c r="G55" i="1"/>
  <c r="G54" i="1"/>
  <c r="G53" i="1"/>
  <c r="G52" i="1"/>
  <c r="G51" i="1"/>
  <c r="G50" i="1"/>
  <c r="G49" i="1"/>
  <c r="G48" i="1"/>
  <c r="G47" i="1"/>
  <c r="G46" i="1"/>
  <c r="G44" i="1"/>
  <c r="G41" i="1"/>
  <c r="O34" i="28"/>
  <c r="H39" i="1"/>
  <c r="G39" i="1" s="1"/>
  <c r="O33" i="28"/>
  <c r="G37" i="1"/>
  <c r="G36" i="1"/>
  <c r="G35" i="1"/>
  <c r="G34" i="1"/>
  <c r="G33" i="1"/>
  <c r="G32" i="1"/>
  <c r="G31" i="1"/>
  <c r="G30" i="1"/>
  <c r="G28" i="1"/>
  <c r="G27" i="1"/>
  <c r="H25" i="1"/>
  <c r="G25" i="1" s="1"/>
  <c r="O21" i="28"/>
  <c r="O20" i="28"/>
  <c r="G22" i="1"/>
  <c r="G20" i="1"/>
  <c r="G13" i="1"/>
  <c r="G12" i="1"/>
  <c r="G10" i="1"/>
  <c r="G9" i="1"/>
  <c r="L260" i="28"/>
  <c r="AB260" i="28" s="1"/>
  <c r="I138" i="1" l="1"/>
  <c r="H121" i="28" s="1"/>
  <c r="H68" i="28"/>
  <c r="L247" i="28"/>
  <c r="AB247" i="28" s="1"/>
  <c r="L211" i="28"/>
  <c r="AB211" i="28" s="1"/>
  <c r="L207" i="28"/>
  <c r="AB207" i="28" s="1"/>
  <c r="L208" i="28"/>
  <c r="AB208" i="28" s="1"/>
  <c r="L203" i="28"/>
  <c r="L205" i="28"/>
  <c r="L202" i="28"/>
  <c r="AB202" i="28" s="1"/>
  <c r="L204" i="28"/>
  <c r="AB204" i="28" s="1"/>
  <c r="L206" i="28"/>
  <c r="AB206" i="28" s="1"/>
  <c r="L199" i="28"/>
  <c r="AB199" i="28" s="1"/>
  <c r="L201" i="28"/>
  <c r="AB201" i="28" s="1"/>
  <c r="L200" i="28"/>
  <c r="AB200" i="28" s="1"/>
  <c r="L196" i="28"/>
  <c r="L192" i="28"/>
  <c r="AB192" i="28" s="1"/>
  <c r="L188" i="28"/>
  <c r="AB188" i="28" s="1"/>
  <c r="L193" i="28"/>
  <c r="AB193" i="28" s="1"/>
  <c r="L187" i="28"/>
  <c r="AB187" i="28" s="1"/>
  <c r="L186" i="28"/>
  <c r="L185" i="28"/>
  <c r="L184" i="28"/>
  <c r="AB184" i="28" s="1"/>
  <c r="L183" i="28"/>
  <c r="AB183" i="28" s="1"/>
  <c r="L182" i="28"/>
  <c r="AB182" i="28" s="1"/>
  <c r="L180" i="28"/>
  <c r="AB180" i="28" s="1"/>
  <c r="L179" i="28"/>
  <c r="AB179" i="28" s="1"/>
  <c r="L181" i="28"/>
  <c r="AB181" i="28" s="1"/>
  <c r="L178" i="28"/>
  <c r="L177" i="28"/>
  <c r="AB177" i="28" s="1"/>
  <c r="L173" i="28"/>
  <c r="AB173" i="28" s="1"/>
  <c r="L175" i="28"/>
  <c r="AB175" i="28" s="1"/>
  <c r="L174" i="28"/>
  <c r="AB174" i="28" s="1"/>
  <c r="L176" i="28"/>
  <c r="AB176" i="28" s="1"/>
  <c r="L170" i="28"/>
  <c r="AB170" i="28" s="1"/>
  <c r="L172" i="28"/>
  <c r="AB172" i="28" s="1"/>
  <c r="L171" i="28"/>
  <c r="AB171" i="28" s="1"/>
  <c r="L167" i="28"/>
  <c r="AB167" i="28" s="1"/>
  <c r="L169" i="28"/>
  <c r="AB169" i="28" s="1"/>
  <c r="L166" i="28"/>
  <c r="L168" i="28"/>
  <c r="AB168" i="28" s="1"/>
  <c r="L162" i="28"/>
  <c r="AB162" i="28" s="1"/>
  <c r="L164" i="28"/>
  <c r="AB164" i="28" s="1"/>
  <c r="L163" i="28"/>
  <c r="AB163" i="28" s="1"/>
  <c r="L165" i="28"/>
  <c r="AB165" i="28" s="1"/>
  <c r="L159" i="28"/>
  <c r="AB159" i="28" s="1"/>
  <c r="L160" i="28"/>
  <c r="AB160" i="28" s="1"/>
  <c r="L158" i="28"/>
  <c r="AB158" i="28" s="1"/>
  <c r="L161" i="28"/>
  <c r="AB161" i="28" s="1"/>
  <c r="L157" i="28"/>
  <c r="L156" i="28"/>
  <c r="AB156" i="28" s="1"/>
  <c r="L152" i="28"/>
  <c r="AB152" i="28" s="1"/>
  <c r="L151" i="28"/>
  <c r="AB151" i="28" s="1"/>
  <c r="L150" i="28"/>
  <c r="AB150" i="28" s="1"/>
  <c r="L149" i="28"/>
  <c r="AB149" i="28" s="1"/>
  <c r="L148" i="28"/>
  <c r="AB148" i="28" s="1"/>
  <c r="L143" i="28"/>
  <c r="AB143" i="28" s="1"/>
  <c r="L142" i="28"/>
  <c r="L141" i="28"/>
  <c r="AB141" i="28" s="1"/>
  <c r="L139" i="28"/>
  <c r="AB139" i="28" s="1"/>
  <c r="L140" i="28"/>
  <c r="AB140" i="28" s="1"/>
  <c r="L138" i="28"/>
  <c r="L137" i="28"/>
  <c r="AB137" i="28" s="1"/>
  <c r="L136" i="28"/>
  <c r="AB136" i="28" s="1"/>
  <c r="L135" i="28"/>
  <c r="F7" i="89" s="1"/>
  <c r="F11" i="89" s="1"/>
  <c r="F18" i="89" s="1"/>
  <c r="L134" i="28"/>
  <c r="AB134" i="28" s="1"/>
  <c r="L132" i="28"/>
  <c r="AB132" i="28" s="1"/>
  <c r="L131" i="28"/>
  <c r="AB131" i="28" s="1"/>
  <c r="L130" i="28"/>
  <c r="AB130" i="28" s="1"/>
  <c r="L129" i="28"/>
  <c r="AB129" i="28" s="1"/>
  <c r="L128" i="28"/>
  <c r="AB128" i="28" s="1"/>
  <c r="L127" i="28"/>
  <c r="AB127" i="28" s="1"/>
  <c r="L126" i="28"/>
  <c r="AB126" i="28" s="1"/>
  <c r="L125" i="28"/>
  <c r="L124" i="28"/>
  <c r="AB124" i="28" s="1"/>
  <c r="AB122" i="28"/>
  <c r="L121" i="28"/>
  <c r="AB121" i="28" s="1"/>
  <c r="L120" i="28"/>
  <c r="AB120" i="28" s="1"/>
  <c r="L119" i="28"/>
  <c r="AB119" i="28" s="1"/>
  <c r="L117" i="28"/>
  <c r="AB117" i="28" s="1"/>
  <c r="L113" i="28"/>
  <c r="AB113" i="28" s="1"/>
  <c r="L115" i="28"/>
  <c r="AB115" i="28" s="1"/>
  <c r="L112" i="28"/>
  <c r="AB112" i="28" s="1"/>
  <c r="L114" i="28"/>
  <c r="L107" i="28"/>
  <c r="AB107" i="28" s="1"/>
  <c r="L111" i="28"/>
  <c r="L108" i="28"/>
  <c r="AB108" i="28" s="1"/>
  <c r="L110" i="28"/>
  <c r="AB110" i="28" s="1"/>
  <c r="L109" i="28"/>
  <c r="L103" i="28"/>
  <c r="AB103" i="28" s="1"/>
  <c r="L105" i="28"/>
  <c r="AB105" i="28" s="1"/>
  <c r="L104" i="28"/>
  <c r="AB104" i="28" s="1"/>
  <c r="L106" i="28"/>
  <c r="AB106" i="28" s="1"/>
  <c r="L102" i="28"/>
  <c r="AB102" i="28" s="1"/>
  <c r="L100" i="28"/>
  <c r="AB100" i="28" s="1"/>
  <c r="L101" i="28"/>
  <c r="AB101" i="28" s="1"/>
  <c r="L98" i="28"/>
  <c r="AB98" i="28" s="1"/>
  <c r="L95" i="28"/>
  <c r="AB95" i="28" s="1"/>
  <c r="L97" i="28"/>
  <c r="AB97" i="28" s="1"/>
  <c r="L94" i="28"/>
  <c r="L96" i="28"/>
  <c r="L90" i="28"/>
  <c r="L92" i="28"/>
  <c r="AB92" i="28" s="1"/>
  <c r="L93" i="28"/>
  <c r="AB93" i="28" s="1"/>
  <c r="L91" i="28"/>
  <c r="AB91" i="28" s="1"/>
  <c r="L88" i="28"/>
  <c r="AB88" i="28" s="1"/>
  <c r="L87" i="28"/>
  <c r="AB87" i="28" s="1"/>
  <c r="L89" i="28"/>
  <c r="AB89" i="28" s="1"/>
  <c r="L86" i="28"/>
  <c r="AB86" i="28" s="1"/>
  <c r="L84" i="28"/>
  <c r="AB84" i="28" s="1"/>
  <c r="L85" i="28"/>
  <c r="AB85" i="28" s="1"/>
  <c r="L83" i="28"/>
  <c r="AB83" i="28" s="1"/>
  <c r="L82" i="28"/>
  <c r="L81" i="28"/>
  <c r="AB81" i="28" s="1"/>
  <c r="L79" i="28"/>
  <c r="AB79" i="28" s="1"/>
  <c r="L78" i="28"/>
  <c r="AB78" i="28" s="1"/>
  <c r="L80" i="28"/>
  <c r="L77" i="28"/>
  <c r="AB77" i="28" s="1"/>
  <c r="L76" i="28"/>
  <c r="L75" i="28"/>
  <c r="AB75" i="28" s="1"/>
  <c r="L72" i="28"/>
  <c r="L74" i="28"/>
  <c r="L71" i="28"/>
  <c r="AB71" i="28" s="1"/>
  <c r="L73" i="28"/>
  <c r="AB73" i="28" s="1"/>
  <c r="L69" i="28"/>
  <c r="D8" i="93" s="1"/>
  <c r="L68" i="28"/>
  <c r="AB68" i="28" s="1"/>
  <c r="L67" i="28"/>
  <c r="L66" i="28"/>
  <c r="AB66" i="28" s="1"/>
  <c r="L62" i="28"/>
  <c r="L64" i="28"/>
  <c r="C31" i="99" s="1"/>
  <c r="E31" i="99" s="1"/>
  <c r="L61" i="28"/>
  <c r="AB61" i="28" s="1"/>
  <c r="L63" i="28"/>
  <c r="C30" i="99" s="1"/>
  <c r="E30" i="99" s="1"/>
  <c r="L58" i="28"/>
  <c r="L57" i="28"/>
  <c r="AB57" i="28" s="1"/>
  <c r="L59" i="28"/>
  <c r="C26" i="99" s="1"/>
  <c r="L56" i="28"/>
  <c r="AB56" i="28" s="1"/>
  <c r="L50" i="28"/>
  <c r="AB50" i="28" s="1"/>
  <c r="L52" i="28"/>
  <c r="AB52" i="28" s="1"/>
  <c r="L51" i="28"/>
  <c r="C14" i="99" s="1"/>
  <c r="L47" i="28"/>
  <c r="C17" i="99" s="1"/>
  <c r="L49" i="28"/>
  <c r="AB49" i="28" s="1"/>
  <c r="L48" i="28"/>
  <c r="D9" i="93" s="1"/>
  <c r="L46" i="28"/>
  <c r="C20" i="99" s="1"/>
  <c r="L44" i="28"/>
  <c r="C11" i="99" s="1"/>
  <c r="E11" i="99" s="1"/>
  <c r="L43" i="28"/>
  <c r="C9" i="99" s="1"/>
  <c r="E9" i="99" s="1"/>
  <c r="L45" i="28"/>
  <c r="AB45" i="28" s="1"/>
  <c r="L42" i="28"/>
  <c r="AB42" i="28" s="1"/>
  <c r="L39" i="28"/>
  <c r="C8" i="99" s="1"/>
  <c r="L41" i="28"/>
  <c r="AB41" i="28" s="1"/>
  <c r="L38" i="28"/>
  <c r="C7" i="99" s="1"/>
  <c r="E7" i="99" s="1"/>
  <c r="L40" i="28"/>
  <c r="AB40" i="28" s="1"/>
  <c r="L37" i="28"/>
  <c r="AB37" i="28" s="1"/>
  <c r="L36" i="28"/>
  <c r="AB36" i="28" s="1"/>
  <c r="L29" i="28"/>
  <c r="AB29" i="28" s="1"/>
  <c r="L26" i="28"/>
  <c r="AB26" i="28" s="1"/>
  <c r="L34" i="28"/>
  <c r="AB34" i="28" s="1"/>
  <c r="L31" i="28"/>
  <c r="AB31" i="28" s="1"/>
  <c r="L28" i="28"/>
  <c r="AB28" i="28" s="1"/>
  <c r="L25" i="28"/>
  <c r="AB25" i="28" s="1"/>
  <c r="L33" i="28"/>
  <c r="AB33" i="28" s="1"/>
  <c r="L30" i="28"/>
  <c r="AB30" i="28" s="1"/>
  <c r="L27" i="28"/>
  <c r="AB27" i="28" s="1"/>
  <c r="L35" i="28"/>
  <c r="AB35" i="28" s="1"/>
  <c r="L24" i="28"/>
  <c r="AB24" i="28" s="1"/>
  <c r="L32" i="28"/>
  <c r="AB32" i="28" s="1"/>
  <c r="L23" i="28"/>
  <c r="AB23" i="28" s="1"/>
  <c r="L22" i="28"/>
  <c r="AB22" i="28" s="1"/>
  <c r="L21" i="28"/>
  <c r="AB21" i="28" s="1"/>
  <c r="L20" i="28"/>
  <c r="AB20" i="28" s="1"/>
  <c r="L19" i="28"/>
  <c r="AB19" i="28" s="1"/>
  <c r="L18" i="28"/>
  <c r="AB18" i="28" s="1"/>
  <c r="L16" i="28"/>
  <c r="AB16" i="28" s="1"/>
  <c r="L15" i="28"/>
  <c r="AB15" i="28" s="1"/>
  <c r="L14" i="28"/>
  <c r="AB14" i="28" s="1"/>
  <c r="L13" i="28"/>
  <c r="AB13" i="28" s="1"/>
  <c r="L12" i="28"/>
  <c r="AB12" i="28" s="1"/>
  <c r="L11" i="28"/>
  <c r="AB11" i="28" s="1"/>
  <c r="L9" i="28"/>
  <c r="AB9" i="28" s="1"/>
  <c r="L8" i="28"/>
  <c r="AB8" i="28" s="1"/>
  <c r="L6" i="28"/>
  <c r="AB6" i="28" s="1"/>
  <c r="L5" i="28"/>
  <c r="L197" i="28"/>
  <c r="AB197" i="28" s="1"/>
  <c r="L7" i="28"/>
  <c r="AB7" i="28" s="1"/>
  <c r="L17" i="28"/>
  <c r="O107" i="28"/>
  <c r="L249" i="28"/>
  <c r="AB249" i="28" s="1"/>
  <c r="L250" i="28"/>
  <c r="AB250" i="28" s="1"/>
  <c r="L248" i="28"/>
  <c r="AB248" i="28" s="1"/>
  <c r="L251" i="28"/>
  <c r="AB251" i="28" s="1"/>
  <c r="E99" i="28"/>
  <c r="E10" i="28"/>
  <c r="L10" i="28" s="1"/>
  <c r="G14" i="1"/>
  <c r="G15" i="1"/>
  <c r="G16" i="1"/>
  <c r="G17" i="1"/>
  <c r="G18" i="1"/>
  <c r="G19" i="1"/>
  <c r="E70" i="28"/>
  <c r="O89" i="28"/>
  <c r="O51" i="28"/>
  <c r="O19" i="28"/>
  <c r="F9" i="28"/>
  <c r="H137" i="28"/>
  <c r="F191" i="1"/>
  <c r="F211" i="1" s="1"/>
  <c r="N21" i="88" l="1"/>
  <c r="E21" i="88" s="1"/>
  <c r="G21" i="88" s="1"/>
  <c r="AB166" i="28"/>
  <c r="N19" i="88"/>
  <c r="E19" i="88" s="1"/>
  <c r="G19" i="88" s="1"/>
  <c r="N28" i="88"/>
  <c r="E28" i="88" s="1"/>
  <c r="G28" i="88" s="1"/>
  <c r="C10" i="99"/>
  <c r="E10" i="99" s="1"/>
  <c r="E12" i="99" s="1"/>
  <c r="D12" i="93"/>
  <c r="L9" i="88"/>
  <c r="E29" i="99"/>
  <c r="C28" i="99"/>
  <c r="E28" i="99" s="1"/>
  <c r="E26" i="99"/>
  <c r="AB157" i="28"/>
  <c r="N11" i="88"/>
  <c r="D11" i="93"/>
  <c r="AB64" i="28"/>
  <c r="D24" i="93"/>
  <c r="AB46" i="28"/>
  <c r="D18" i="93"/>
  <c r="D13" i="93"/>
  <c r="D21" i="93"/>
  <c r="D6" i="93"/>
  <c r="AB39" i="28"/>
  <c r="D7" i="93"/>
  <c r="AB47" i="28"/>
  <c r="AB65" i="28"/>
  <c r="D22" i="93"/>
  <c r="G14" i="88"/>
  <c r="D23" i="93"/>
  <c r="AB72" i="28"/>
  <c r="AB82" i="28"/>
  <c r="AB109" i="28"/>
  <c r="N18" i="88"/>
  <c r="E18" i="88" s="1"/>
  <c r="G18" i="88" s="1"/>
  <c r="AB125" i="28"/>
  <c r="N27" i="88"/>
  <c r="E27" i="88" s="1"/>
  <c r="G27" i="88" s="1"/>
  <c r="AB76" i="28"/>
  <c r="N16" i="88"/>
  <c r="G16" i="88" s="1"/>
  <c r="AB5" i="28"/>
  <c r="AB90" i="28"/>
  <c r="AB114" i="28"/>
  <c r="M20" i="88"/>
  <c r="N20" i="88" s="1"/>
  <c r="E20" i="88" s="1"/>
  <c r="G20" i="88" s="1"/>
  <c r="AB62" i="28"/>
  <c r="AB196" i="28"/>
  <c r="AB63" i="28"/>
  <c r="AB44" i="28"/>
  <c r="AB48" i="28"/>
  <c r="AB17" i="28"/>
  <c r="AB178" i="28"/>
  <c r="F24" i="89"/>
  <c r="L236" i="28"/>
  <c r="AB236" i="28" s="1"/>
  <c r="L70" i="28"/>
  <c r="AB70" i="28" s="1"/>
  <c r="AB111" i="28"/>
  <c r="AB185" i="28"/>
  <c r="AB205" i="28"/>
  <c r="AB74" i="28"/>
  <c r="AB186" i="28"/>
  <c r="AB203" i="28"/>
  <c r="AB142" i="28"/>
  <c r="AB58" i="28"/>
  <c r="AB67" i="28"/>
  <c r="AB69" i="28"/>
  <c r="AB96" i="28"/>
  <c r="AB123" i="28"/>
  <c r="AB138" i="28"/>
  <c r="F199" i="28"/>
  <c r="AB135" i="28"/>
  <c r="AB94" i="28"/>
  <c r="L99" i="28"/>
  <c r="L235" i="28"/>
  <c r="AB80" i="28"/>
  <c r="L234" i="28"/>
  <c r="AB234" i="28" s="1"/>
  <c r="AB59" i="28"/>
  <c r="AB51" i="28"/>
  <c r="AB43" i="28"/>
  <c r="AB38" i="28"/>
  <c r="L233" i="28"/>
  <c r="AB233" i="28" s="1"/>
  <c r="AB10" i="28"/>
  <c r="F34" i="28"/>
  <c r="G136" i="28"/>
  <c r="F68" i="28"/>
  <c r="G109" i="28"/>
  <c r="F121" i="28"/>
  <c r="F87" i="28"/>
  <c r="G125" i="28"/>
  <c r="F119" i="28"/>
  <c r="F104" i="28"/>
  <c r="F176" i="28"/>
  <c r="F18" i="28"/>
  <c r="F98" i="28"/>
  <c r="F175" i="28"/>
  <c r="F64" i="28"/>
  <c r="F25" i="28"/>
  <c r="F193" i="28"/>
  <c r="F96" i="28"/>
  <c r="F94" i="28"/>
  <c r="F49" i="28"/>
  <c r="F93" i="28"/>
  <c r="F201" i="28"/>
  <c r="F126" i="28"/>
  <c r="F192" i="28"/>
  <c r="F142" i="28"/>
  <c r="F91" i="28"/>
  <c r="F86" i="28"/>
  <c r="F186" i="28"/>
  <c r="F185" i="28"/>
  <c r="F135" i="28"/>
  <c r="F180" i="28"/>
  <c r="F174" i="28"/>
  <c r="F65" i="28"/>
  <c r="F188" i="28"/>
  <c r="F131" i="28"/>
  <c r="F100" i="28"/>
  <c r="F72" i="28"/>
  <c r="F173" i="28"/>
  <c r="F8" i="28"/>
  <c r="F48" i="28"/>
  <c r="F102" i="28"/>
  <c r="F105" i="28"/>
  <c r="F132" i="28"/>
  <c r="F50" i="28"/>
  <c r="F101" i="28"/>
  <c r="F35" i="28"/>
  <c r="F183" i="28"/>
  <c r="F140" i="28"/>
  <c r="F31" i="28"/>
  <c r="F58" i="28"/>
  <c r="F6" i="28"/>
  <c r="F148" i="28"/>
  <c r="F45" i="28"/>
  <c r="F139" i="28"/>
  <c r="F27" i="28"/>
  <c r="F30" i="28"/>
  <c r="F97" i="28"/>
  <c r="F95" i="28"/>
  <c r="F42" i="28"/>
  <c r="F29" i="28"/>
  <c r="F179" i="28"/>
  <c r="F129" i="28"/>
  <c r="F28" i="28"/>
  <c r="F23" i="28"/>
  <c r="F115" i="28"/>
  <c r="F22" i="28"/>
  <c r="F110" i="28"/>
  <c r="F90" i="28"/>
  <c r="F103" i="28"/>
  <c r="F37" i="28"/>
  <c r="F78" i="28"/>
  <c r="F47" i="28"/>
  <c r="F128" i="28"/>
  <c r="F46" i="28"/>
  <c r="F26" i="28"/>
  <c r="F24" i="28"/>
  <c r="F38" i="28"/>
  <c r="F61" i="28"/>
  <c r="F76" i="28"/>
  <c r="F39" i="28"/>
  <c r="F43" i="28"/>
  <c r="D1" i="28"/>
  <c r="G107" i="28"/>
  <c r="H205" i="28"/>
  <c r="G121" i="28"/>
  <c r="F127" i="28"/>
  <c r="F200" i="28"/>
  <c r="F107" i="28"/>
  <c r="H187" i="28"/>
  <c r="F44" i="28"/>
  <c r="F17" i="28"/>
  <c r="F5" i="28"/>
  <c r="F137" i="28"/>
  <c r="F41" i="28"/>
  <c r="G34" i="28"/>
  <c r="G51" i="28"/>
  <c r="F52" i="28"/>
  <c r="F51" i="28"/>
  <c r="F21" i="28"/>
  <c r="H204" i="28"/>
  <c r="G21" i="28"/>
  <c r="G137" i="28"/>
  <c r="F143" i="28"/>
  <c r="F150" i="28"/>
  <c r="F89" i="28"/>
  <c r="G89" i="28"/>
  <c r="F109" i="28"/>
  <c r="F73" i="28"/>
  <c r="F125" i="28"/>
  <c r="F124" i="28"/>
  <c r="F63" i="28"/>
  <c r="F62" i="28"/>
  <c r="F33" i="28"/>
  <c r="F7" i="28"/>
  <c r="G120" i="28"/>
  <c r="F120" i="28"/>
  <c r="F67" i="28"/>
  <c r="G67" i="28"/>
  <c r="G68" i="28"/>
  <c r="G33" i="28"/>
  <c r="F59" i="28"/>
  <c r="F136" i="28"/>
  <c r="H182" i="28"/>
  <c r="F181" i="28"/>
  <c r="H203" i="28"/>
  <c r="F196" i="28"/>
  <c r="F184" i="28"/>
  <c r="E44" i="88" l="1"/>
  <c r="D26" i="93"/>
  <c r="E32" i="99"/>
  <c r="E34" i="99" s="1"/>
  <c r="C32" i="99"/>
  <c r="C12" i="99"/>
  <c r="C15" i="99" s="1"/>
  <c r="C18" i="99" s="1"/>
  <c r="D14" i="93"/>
  <c r="AB235" i="28"/>
  <c r="L8" i="88"/>
  <c r="O11" i="88" s="1"/>
  <c r="F11" i="88"/>
  <c r="G11" i="88"/>
  <c r="N25" i="88"/>
  <c r="G25" i="88" s="1"/>
  <c r="G32" i="88"/>
  <c r="L237" i="28"/>
  <c r="AB237" i="28" s="1"/>
  <c r="AB99" i="28"/>
  <c r="G205" i="28"/>
  <c r="G203" i="28"/>
  <c r="F70" i="28"/>
  <c r="G204" i="28"/>
  <c r="F205" i="28"/>
  <c r="F187" i="28"/>
  <c r="F204" i="28"/>
  <c r="F182" i="28"/>
  <c r="F203" i="28"/>
  <c r="C34" i="99" l="1"/>
  <c r="D28" i="93"/>
  <c r="B21" i="99"/>
  <c r="B22" i="99"/>
  <c r="C21" i="99"/>
  <c r="L263" i="28"/>
  <c r="L265" i="28" s="1"/>
  <c r="G44" i="88" l="1"/>
  <c r="F25" i="89" l="1"/>
</calcChain>
</file>

<file path=xl/sharedStrings.xml><?xml version="1.0" encoding="utf-8"?>
<sst xmlns="http://schemas.openxmlformats.org/spreadsheetml/2006/main" count="6863" uniqueCount="2750">
  <si>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</si>
  <si>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</si>
  <si>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</si>
  <si>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</si>
  <si>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</si>
  <si>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</si>
  <si>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</si>
  <si>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t>Construction in progress</t>
  </si>
  <si>
    <t>Capital Assets for Electric Fund</t>
  </si>
  <si>
    <t>Gross value:</t>
  </si>
  <si>
    <t>Notes to the Financial Statements -Summary Changes in Long-Term Liability</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</si>
  <si>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</si>
  <si>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</si>
  <si>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</si>
  <si>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</si>
  <si>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</si>
  <si>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</si>
  <si>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</si>
  <si>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</si>
  <si>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</si>
  <si>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</si>
  <si>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</si>
  <si>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</si>
  <si>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</si>
  <si>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</si>
  <si>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</si>
  <si>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</si>
  <si>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</si>
  <si>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</si>
  <si>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</si>
  <si>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t>Upload Amounts</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</si>
  <si>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</si>
  <si>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</si>
  <si>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</si>
  <si>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</si>
  <si>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</si>
  <si>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</si>
  <si>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</si>
  <si>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</si>
  <si>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</si>
  <si>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</si>
  <si>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Description</t>
  </si>
  <si>
    <t>Account #</t>
  </si>
  <si>
    <t>Fiscal Year Reviewer Corrections</t>
  </si>
  <si>
    <t>Fiscal Year Unit Input</t>
  </si>
  <si>
    <t xml:space="preserve">                    FINISHED</t>
  </si>
  <si>
    <t>IMPORT</t>
  </si>
  <si>
    <t>Annual depreciation expense:</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</si>
  <si>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</si>
  <si>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</si>
  <si>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</si>
  <si>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</si>
  <si>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</si>
  <si>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</si>
  <si>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</si>
  <si>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</si>
  <si>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</si>
  <si>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</si>
  <si>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</si>
  <si>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</si>
  <si>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</si>
  <si>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</si>
  <si>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</si>
  <si>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</si>
  <si>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</si>
  <si>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</si>
  <si>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</si>
  <si>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</si>
  <si>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</si>
  <si>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</si>
  <si>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</si>
  <si>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Calculation</t>
  </si>
  <si>
    <t>Total</t>
  </si>
  <si>
    <t>Without Including Restricted Cash</t>
  </si>
  <si>
    <t>Fund Balance Available for Appropriation - G.S. §159-8(a)</t>
  </si>
  <si>
    <t>Encumbrances at June 30 (listed in the notes)……………………………...…………………………</t>
  </si>
  <si>
    <t>Unavailable or Unearned Revenues Arising from Cash Receipts ……………………………</t>
  </si>
  <si>
    <t>Fund Balance Available for Appropriation ……………………………………………………….</t>
  </si>
  <si>
    <t>Total Restricted by State Statue………………………………………….…………………………………………..</t>
  </si>
  <si>
    <t>Restricted by State Statute Presented on Financial Statements</t>
  </si>
  <si>
    <t>Less</t>
  </si>
  <si>
    <t>Restricted - Stabilization by State Statute (LGC calculation)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</si>
  <si>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</si>
  <si>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</si>
  <si>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</si>
  <si>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</si>
  <si>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</si>
  <si>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</si>
  <si>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</si>
  <si>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</si>
  <si>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 xml:space="preserve">    Fund Balance Available  as % of Expenditures …………………………..........</t>
  </si>
  <si>
    <t xml:space="preserve"> Restricted Cash</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</si>
  <si>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</si>
  <si>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</si>
  <si>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</si>
  <si>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</si>
  <si>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</si>
  <si>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</si>
  <si>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</si>
  <si>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</si>
  <si>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</si>
  <si>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</si>
  <si>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</si>
  <si>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</si>
  <si>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Statutory Calculation of Fund Balance Available for Appropriation At June 30 for the General Fund
Restricted - Stabilization by State Statute</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</si>
  <si>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</si>
  <si>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</si>
  <si>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</si>
  <si>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</si>
  <si>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</si>
  <si>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</si>
  <si>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</si>
  <si>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</si>
  <si>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</si>
  <si>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</si>
  <si>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Select Current Liabilities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</si>
  <si>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</si>
  <si>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</si>
  <si>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</si>
  <si>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</si>
  <si>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</si>
  <si>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</si>
  <si>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</si>
  <si>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</si>
  <si>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</si>
  <si>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</si>
  <si>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</si>
  <si>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</si>
  <si>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</si>
  <si>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</si>
  <si>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</si>
  <si>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</si>
  <si>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</si>
  <si>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</si>
  <si>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</si>
  <si>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out</t>
  </si>
  <si>
    <t>Statement of Activities - Governmental</t>
  </si>
  <si>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</si>
  <si>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</si>
  <si>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</si>
  <si>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</si>
  <si>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</si>
  <si>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</si>
  <si>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t xml:space="preserve">    General Fund Only - Statement of Revenue, Expenditures and Changes in Fund Balance </t>
  </si>
  <si>
    <t>General Fund-Rev, Exp. Change in Fund Balance</t>
  </si>
  <si>
    <t>Total Liabilities and deferred inflows</t>
  </si>
  <si>
    <t>Total Net position</t>
  </si>
  <si>
    <t xml:space="preserve">Statement of Net Position - Electric Fund </t>
  </si>
  <si>
    <t>Amount of inventories and prepaids</t>
  </si>
  <si>
    <t>Total liabilities and total deferred inflows</t>
  </si>
  <si>
    <t>Total net position</t>
  </si>
  <si>
    <t>Total Operating revenues</t>
  </si>
  <si>
    <t>Depreciation and amortization expense</t>
  </si>
  <si>
    <t>Total Operating expenses</t>
  </si>
  <si>
    <t>Interest expense</t>
  </si>
  <si>
    <t>Charges for services</t>
  </si>
  <si>
    <t>Electrical power purchases</t>
  </si>
  <si>
    <t>Fiduciary Statements</t>
  </si>
  <si>
    <t>Cash and Investment Note</t>
  </si>
  <si>
    <t>OPEB Note</t>
  </si>
  <si>
    <t>Transfer Note</t>
  </si>
  <si>
    <t>Fund Balance Note</t>
  </si>
  <si>
    <t>Amount of the Water Sewer Fund Balance appropriated in next year's budget?</t>
  </si>
  <si>
    <t>Analysis of Current Tax Levy Schedule</t>
  </si>
  <si>
    <t>Accumulated depreciation</t>
  </si>
  <si>
    <t>Gov.-Capital Assets Schedule in the Notes</t>
  </si>
  <si>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</si>
  <si>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</si>
  <si>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</si>
  <si>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</si>
  <si>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</si>
  <si>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</si>
  <si>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</si>
  <si>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t>Liabilities……………………………………………………………….………………………….</t>
  </si>
  <si>
    <t>Statement of Revenues, Expenses, and Changes in Fund Net Position</t>
  </si>
  <si>
    <t>Gov - Restricted Cash &amp; Investments</t>
  </si>
  <si>
    <t>GA-Total Unrestricted Cash &amp; Investments</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</si>
  <si>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</si>
  <si>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</si>
  <si>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</si>
  <si>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</si>
  <si>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</si>
  <si>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</si>
  <si>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</si>
  <si>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</si>
  <si>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</si>
  <si>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</si>
  <si>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</si>
  <si>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</si>
  <si>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</si>
  <si>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</si>
  <si>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</si>
  <si>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</si>
  <si>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</si>
  <si>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Powell Bill in FB</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</si>
  <si>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</si>
  <si>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</si>
  <si>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</si>
  <si>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</si>
  <si>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</si>
  <si>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</si>
  <si>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</si>
  <si>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</si>
  <si>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</si>
  <si>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</si>
  <si>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</si>
  <si>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</si>
  <si>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</si>
  <si>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</si>
  <si>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</si>
  <si>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</si>
  <si>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</si>
  <si>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</si>
  <si>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</si>
  <si>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</si>
  <si>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</si>
  <si>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</si>
  <si>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</si>
  <si>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</si>
  <si>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</si>
  <si>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</si>
  <si>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</si>
  <si>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</si>
  <si>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</si>
  <si>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</si>
  <si>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</si>
  <si>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</si>
  <si>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</si>
  <si>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</si>
  <si>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</si>
  <si>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</si>
  <si>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</si>
  <si>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</si>
  <si>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</si>
  <si>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</si>
  <si>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</si>
  <si>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</si>
  <si>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</si>
  <si>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</si>
  <si>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</si>
  <si>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</si>
  <si>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</si>
  <si>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</si>
  <si>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</si>
  <si>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</si>
  <si>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</si>
  <si>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</si>
  <si>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</si>
  <si>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</si>
  <si>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</si>
  <si>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</si>
  <si>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</si>
  <si>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</si>
  <si>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</si>
  <si>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</si>
  <si>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</si>
  <si>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</si>
  <si>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</si>
  <si>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</si>
  <si>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</si>
  <si>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</si>
  <si>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</si>
  <si>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</si>
  <si>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</si>
  <si>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</si>
  <si>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</si>
  <si>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</si>
  <si>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</si>
  <si>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</si>
  <si>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</si>
  <si>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</si>
  <si>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</si>
  <si>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</si>
  <si>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</si>
  <si>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</si>
  <si>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</si>
  <si>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</si>
  <si>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</si>
  <si>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</si>
  <si>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</si>
  <si>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</si>
  <si>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</si>
  <si>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Combined Totals of all Proprietary Funds - Cash Flow from Operating</t>
  </si>
  <si>
    <t>Combined Totals of all Proprietary Funds - Capital Contributions</t>
  </si>
  <si>
    <t>Select Your Unit's Name from the drop down box in cell D2</t>
  </si>
  <si>
    <t>Water Sewer Memo,
Water Sewer Dashboard</t>
  </si>
  <si>
    <t>Notes to the Financial Statements - Law Enforcement Officers' Special Separation Allowance Note</t>
  </si>
  <si>
    <t>LEO Note</t>
  </si>
  <si>
    <t>Notes to the Financial Statements -Cash and Investments - Bond/Debt Proceeds</t>
  </si>
  <si>
    <t>Amount of Inventories and Prepaid expenses in current assets</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</si>
  <si>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</si>
  <si>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</si>
  <si>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</si>
  <si>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</si>
  <si>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Fund Statements - all Governmental Funds</t>
  </si>
  <si>
    <t>Information</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</si>
  <si>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</si>
  <si>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</si>
  <si>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</si>
  <si>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</si>
  <si>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</si>
  <si>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If unit does not answer you do not have to pursue</t>
  </si>
  <si>
    <t>GW-positive internal balance</t>
  </si>
  <si>
    <t>GW-negative internal balance</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</si>
  <si>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</si>
  <si>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</si>
  <si>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</si>
  <si>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</si>
  <si>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</si>
  <si>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</si>
  <si>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</si>
  <si>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If unit did not answer you do not need to pursue.</t>
  </si>
  <si>
    <t>Error Amounts</t>
  </si>
  <si>
    <t>Error Count</t>
  </si>
  <si>
    <t>Advance To: Interfund loan receivable-portion of repayment plan longer than 12 months</t>
  </si>
  <si>
    <t>GF-Advance To - Asset</t>
  </si>
  <si>
    <t>WS -  Advance To - Asset</t>
  </si>
  <si>
    <t>WS - Advance From - Liability</t>
  </si>
  <si>
    <t>EF - Advance To - Asset</t>
  </si>
  <si>
    <t>EF - Advance from - Liability</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</si>
  <si>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</si>
  <si>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</si>
  <si>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</si>
  <si>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</si>
  <si>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</si>
  <si>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</si>
  <si>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</si>
  <si>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</si>
  <si>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</si>
  <si>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</si>
  <si>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</si>
  <si>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</si>
  <si>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50 - Became Operational</t>
  </si>
  <si>
    <t>51 - Ceased Operations</t>
  </si>
  <si>
    <t>52 - No Change</t>
  </si>
  <si>
    <t>Status of Water Sewer</t>
  </si>
  <si>
    <t>Statement of Activities                               (all governmental and business funds)</t>
  </si>
  <si>
    <t>https://www.nctreasurer.com/slg/lfm/financial-analysis/Pages/Analysis-by-Population.aspx</t>
  </si>
  <si>
    <t>Interest income from statement of activities</t>
  </si>
  <si>
    <t>Long-Term Liability Note - Governmental Activities</t>
  </si>
  <si>
    <t>Amount the unit paid out in benefits under LEO special separation allowance to retired law enforcement officers this fiscal year if you report under GASB 68 or GASB 73.</t>
  </si>
  <si>
    <t>The total LEO pension liability if you report under GASB 68 or GASB 73.</t>
  </si>
  <si>
    <t>Total LEO pension liability under GASB 68 or 73</t>
  </si>
  <si>
    <t>Unit paid to Officers under LEO under 68 or 73</t>
  </si>
  <si>
    <t>LEO Plan fiduciary net position</t>
  </si>
  <si>
    <t>If you have LEO pension assets and are reporting under GASB 68 please enter "Plan Fiduciary Net Position" which can be found on your RSI schedules and the Notes.</t>
  </si>
  <si>
    <t>OPEB
 Note or RSI</t>
  </si>
  <si>
    <t>Notes or formulas</t>
  </si>
  <si>
    <t>OPEB
RSI</t>
  </si>
  <si>
    <t>LEO
RSI</t>
  </si>
  <si>
    <t>Debt Issued within next 12 months</t>
  </si>
  <si>
    <t/>
  </si>
  <si>
    <t>LEOSSA – What is the plan’s fiduciary net position as a percentage of the total pension liability?  Please enter as percentage value; for example, 83.5% should be entered as 83.5.  If assets have not been set aside in a trust, please enter 0.0</t>
  </si>
  <si>
    <t>FS., OPEB  note or RSI</t>
  </si>
  <si>
    <t>FS., Pension note or RSI</t>
  </si>
  <si>
    <t>Notes to the Financial Statements - Pension Note</t>
  </si>
  <si>
    <t>FS., OPEB note or RSI</t>
  </si>
  <si>
    <t>Does the County collect real estate property taxes on your behalf? Select "1" for "yes and "2" for "No"</t>
  </si>
  <si>
    <t>County collects real estate property on your behalf</t>
  </si>
  <si>
    <t>Net Pension Liability</t>
  </si>
  <si>
    <t>Determination of Fiscal Health</t>
  </si>
  <si>
    <t>Fund Balance, Unassigned</t>
  </si>
  <si>
    <t>Debt Service Fund</t>
  </si>
  <si>
    <t>Water Sewer Net Position Statement</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</si>
  <si>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</si>
  <si>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</si>
  <si>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</si>
  <si>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</si>
  <si>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</si>
  <si>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</si>
  <si>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</si>
  <si>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</si>
  <si>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</si>
  <si>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</si>
  <si>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</si>
  <si>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</si>
  <si>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</si>
  <si>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</si>
  <si>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</si>
  <si>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</si>
  <si>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</si>
  <si>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</si>
  <si>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</si>
  <si>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</si>
  <si>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</si>
  <si>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Acct #</t>
  </si>
  <si>
    <t>Fund balance, Assigned (total of all assigned components)</t>
  </si>
  <si>
    <t>Amount of the General Fund Balance appropriated in next year's budget. As reported on the General Fund Balance Sheet.</t>
  </si>
  <si>
    <t>Unit Data From Audit Worksheet</t>
  </si>
  <si>
    <t>Durham</t>
  </si>
  <si>
    <t>Gaston</t>
  </si>
  <si>
    <t>Henderson</t>
  </si>
  <si>
    <t>Macon</t>
  </si>
  <si>
    <t>Rockingham</t>
  </si>
  <si>
    <t>Chapel Hill</t>
  </si>
  <si>
    <t>Charlotte</t>
  </si>
  <si>
    <t>Greensboro</t>
  </si>
  <si>
    <t>Greenville</t>
  </si>
  <si>
    <t>High Point</t>
  </si>
  <si>
    <t>Wake Forest</t>
  </si>
  <si>
    <t>Wilmington</t>
  </si>
  <si>
    <t>Winston-Salem</t>
  </si>
  <si>
    <t>Unit #</t>
  </si>
  <si>
    <t>MANDATORY</t>
  </si>
  <si>
    <t>All Fields Must Be Completed</t>
  </si>
  <si>
    <t>Title of Official</t>
  </si>
  <si>
    <t>Date                        (Enter as "MM/DD/YYYY")</t>
  </si>
  <si>
    <t>Telephone number</t>
  </si>
  <si>
    <t>E-mail address</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</si>
  <si>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</si>
  <si>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</si>
  <si>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</si>
  <si>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</si>
  <si>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</si>
  <si>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</si>
  <si>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</si>
  <si>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t>WS-Total Current Assets as presented on the Statement of Net Position</t>
  </si>
  <si>
    <t>Units that have a Tourism Development Authority reported in their audit report</t>
  </si>
  <si>
    <t>Total OPEB benefits - total OPEB liability
If you do not provide benefit, please enter 0</t>
  </si>
  <si>
    <t>Total OPEB benefits- OPEB plan fiduciary net position
If no fiduciary net position, enter 0</t>
  </si>
  <si>
    <t xml:space="preserve">Total Current assets as listed on the Electric Net Position Statement.  
</t>
  </si>
  <si>
    <t>OPEB-Plan's fiduciary net position as a % of total OPEB liability</t>
  </si>
  <si>
    <t>Do you use prepared food/occupancy tax revenue stream to support debt.  Yes =1 No=2</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</si>
  <si>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</si>
  <si>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</si>
  <si>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</si>
  <si>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Please enter any current liabilities that are payable from restricted assets and included in account 626 above</t>
  </si>
  <si>
    <t xml:space="preserve"> Statement of Cash Flows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</si>
  <si>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</si>
  <si>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</si>
  <si>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</si>
  <si>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</si>
  <si>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</si>
  <si>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</si>
  <si>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</si>
  <si>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</si>
  <si>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Indian Beach</t>
  </si>
  <si>
    <t>Jackson</t>
  </si>
  <si>
    <t>Kingstown</t>
  </si>
  <si>
    <t>Love Valley</t>
  </si>
  <si>
    <t>Lucama</t>
  </si>
  <si>
    <t>Lumberton</t>
  </si>
  <si>
    <t>Macclesfield</t>
  </si>
  <si>
    <t>Magnolia</t>
  </si>
  <si>
    <t>Maysville</t>
  </si>
  <si>
    <t>Dashboard; Determination of Fiscal Health</t>
  </si>
  <si>
    <t>WS-Any current assets that are restricted (Cash, Accounts Rec., etc..) and included in account 654 above</t>
  </si>
  <si>
    <t>Electric-Any current assets that are restricted (Cash, Accounts Rec., etc..) and included in account 657 above</t>
  </si>
  <si>
    <t>WS-Any current assets that are restricted (Cash, Accounts Rec., etc..)</t>
  </si>
  <si>
    <t>LEO - plan's fiduciary net position as a % of total pension liability</t>
  </si>
  <si>
    <t>Single Audit Only - Type of compliance report(s) issued:  #1- all unmodified; #2- at least one other (qualified, adverse)</t>
  </si>
  <si>
    <t>Single Audit Only - Coronavirus Relief Fund expenditures (21.019)</t>
  </si>
  <si>
    <t>The below information must be completed 
in order to process your audit report.</t>
  </si>
  <si>
    <t>Net OPEB Liability RHBF</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</si>
  <si>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</si>
  <si>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</si>
  <si>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</si>
  <si>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</si>
  <si>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</si>
  <si>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</si>
  <si>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</si>
  <si>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</si>
  <si>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</si>
  <si>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</si>
  <si>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N/A</t>
  </si>
  <si>
    <t>Unit Type</t>
  </si>
  <si>
    <t>Is the Independent Auditor's Report Opinion Unmodified?</t>
  </si>
  <si>
    <t xml:space="preserve">Was a  Management Letter issued? </t>
  </si>
  <si>
    <t>Form completed by:</t>
  </si>
  <si>
    <t>Title:</t>
  </si>
  <si>
    <t>Version:</t>
  </si>
  <si>
    <t>Date:</t>
  </si>
  <si>
    <t>Is the Independent Auditor's Report Opinion Unmodified</t>
  </si>
  <si>
    <t>Is there a finding for lack of segregation of duties at this unit</t>
  </si>
  <si>
    <t>Is there a finding for lack of technical skills, knowledge and experience (SKE) at this unit</t>
  </si>
  <si>
    <t>Unit Name</t>
  </si>
  <si>
    <t>Aberdeen</t>
  </si>
  <si>
    <t>Andrews</t>
  </si>
  <si>
    <t>Anson County</t>
  </si>
  <si>
    <t>Askewville</t>
  </si>
  <si>
    <t>Badin</t>
  </si>
  <si>
    <t>Bath</t>
  </si>
  <si>
    <t>Belhaven</t>
  </si>
  <si>
    <t>Belville</t>
  </si>
  <si>
    <t>Bertie County</t>
  </si>
  <si>
    <t>Bethel</t>
  </si>
  <si>
    <t>Black Creek</t>
  </si>
  <si>
    <t>Boardman</t>
  </si>
  <si>
    <t>Bolton</t>
  </si>
  <si>
    <t>Brevard</t>
  </si>
  <si>
    <t>Castalia</t>
  </si>
  <si>
    <t>Cerro Gordo</t>
  </si>
  <si>
    <t>Chimney Rock</t>
  </si>
  <si>
    <t>Cliffside Sanitary District</t>
  </si>
  <si>
    <t>Colerain</t>
  </si>
  <si>
    <t>Columbia</t>
  </si>
  <si>
    <t>Dobbins Heights</t>
  </si>
  <si>
    <t>Dover</t>
  </si>
  <si>
    <t>Earl</t>
  </si>
  <si>
    <t>East Laurinburg</t>
  </si>
  <si>
    <t>East Spencer</t>
  </si>
  <si>
    <t>Edgecombe County</t>
  </si>
  <si>
    <t>Ellerbe</t>
  </si>
  <si>
    <t>Elm City</t>
  </si>
  <si>
    <t>Enfield</t>
  </si>
  <si>
    <t>Engelhard Sanitary District</t>
  </si>
  <si>
    <t>Everetts</t>
  </si>
  <si>
    <t>Fair Bluff</t>
  </si>
  <si>
    <t>Fairmont</t>
  </si>
  <si>
    <t>Fontana Dam</t>
  </si>
  <si>
    <t>Four Oaks</t>
  </si>
  <si>
    <t>Franklinville</t>
  </si>
  <si>
    <t>Fremont</t>
  </si>
  <si>
    <t>Glen Alpine</t>
  </si>
  <si>
    <t>Goldsboro</t>
  </si>
  <si>
    <t>Greenevers</t>
  </si>
  <si>
    <t>Grover</t>
  </si>
  <si>
    <t>Halifax</t>
  </si>
  <si>
    <t>Hamilton</t>
  </si>
  <si>
    <t>Hamlet</t>
  </si>
  <si>
    <t>Hoffman</t>
  </si>
  <si>
    <t>Holly Ridge</t>
  </si>
  <si>
    <t>Hookerton</t>
  </si>
  <si>
    <t>Hyde County</t>
  </si>
  <si>
    <t>Milton</t>
  </si>
  <si>
    <t>Montreat</t>
  </si>
  <si>
    <t>Mount Olive</t>
  </si>
  <si>
    <t>Navassa</t>
  </si>
  <si>
    <t>Newport</t>
  </si>
  <si>
    <t>Newton Grove</t>
  </si>
  <si>
    <t>Norlina</t>
  </si>
  <si>
    <t>Norman</t>
  </si>
  <si>
    <t>Northampton County</t>
  </si>
  <si>
    <t>Norwood</t>
  </si>
  <si>
    <t>Oak City</t>
  </si>
  <si>
    <t>Pender County</t>
  </si>
  <si>
    <t>Pikeville</t>
  </si>
  <si>
    <t>Pilot Mountain</t>
  </si>
  <si>
    <t>Polkville</t>
  </si>
  <si>
    <t>Pollocksville</t>
  </si>
  <si>
    <t>Princeville</t>
  </si>
  <si>
    <t>Proctorville</t>
  </si>
  <si>
    <t>Ramseur</t>
  </si>
  <si>
    <t>Ranlo</t>
  </si>
  <si>
    <t>Red Springs</t>
  </si>
  <si>
    <t>Rich Square</t>
  </si>
  <si>
    <t>Robbins</t>
  </si>
  <si>
    <t>Robersonville</t>
  </si>
  <si>
    <t>Ronda</t>
  </si>
  <si>
    <t>Scotland County</t>
  </si>
  <si>
    <t>Scotland Neck</t>
  </si>
  <si>
    <t>Sedalia</t>
  </si>
  <si>
    <t>Sharpsburg</t>
  </si>
  <si>
    <t>Snow Hill</t>
  </si>
  <si>
    <t>Spring Lake</t>
  </si>
  <si>
    <t>Taylorsville</t>
  </si>
  <si>
    <t>Taylortown</t>
  </si>
  <si>
    <t>Tryon</t>
  </si>
  <si>
    <t>Tyrrell County</t>
  </si>
  <si>
    <t>Vanceboro</t>
  </si>
  <si>
    <t>Vass</t>
  </si>
  <si>
    <t>Whitakers</t>
  </si>
  <si>
    <t>Wilkesboro</t>
  </si>
  <si>
    <t>No Revaluation with next two years</t>
  </si>
  <si>
    <t>Unsure</t>
  </si>
  <si>
    <t>Statutory Calculation</t>
  </si>
  <si>
    <t>Actual Financial Reporting (per Audit Report)</t>
  </si>
  <si>
    <t>3% of Gross Capital Assets for the Prior Yr.</t>
  </si>
  <si>
    <t>Gross Capital Assets-Prior Year</t>
  </si>
  <si>
    <t>Results</t>
  </si>
  <si>
    <t>5% of Gross Annual Revenue of the Prior Yr.</t>
  </si>
  <si>
    <t xml:space="preserve">Amount Transferred per Audit </t>
  </si>
  <si>
    <t>Payment in Lieu of Taxes</t>
  </si>
  <si>
    <t>Actual Pilot per Audit</t>
  </si>
  <si>
    <t xml:space="preserve">Calculated Pilot </t>
  </si>
  <si>
    <t xml:space="preserve">PILOT </t>
  </si>
  <si>
    <t>Current property tax rate</t>
  </si>
  <si>
    <t>Compliance</t>
  </si>
  <si>
    <t>Allowable Transfer per statute</t>
  </si>
  <si>
    <t>Is Unit following G.S. 159B-39?</t>
  </si>
  <si>
    <t>Payment in Lieu of Taxes Error:</t>
  </si>
  <si>
    <t>Notes:</t>
  </si>
  <si>
    <t xml:space="preserve">Comments: </t>
  </si>
  <si>
    <t>Amount of transfer out to the General Fund that is for Payment in Lieu of Taxes (PILOT)</t>
  </si>
  <si>
    <t>Increase</t>
  </si>
  <si>
    <t>Decrease</t>
  </si>
  <si>
    <t>No Change</t>
  </si>
  <si>
    <t>Performance Indicator</t>
  </si>
  <si>
    <t>Unit Number:</t>
  </si>
  <si>
    <t>Equal or greater than 1</t>
  </si>
  <si>
    <t>Less than 3%</t>
  </si>
  <si>
    <t>Unit Data from Audit Worksheet tab : (654-655-579-510)/(633-634-635-636-637-638-578)</t>
  </si>
  <si>
    <t>Date the Auditor presented or plans to present the Audit to the Governing Board</t>
  </si>
  <si>
    <t>Did the audit disclose any statutory violations in the notes that were not covered by findings?  Select Yes or No</t>
  </si>
  <si>
    <t>Of the transfers-in above in acct # 352, list amount of transfers-in that were used to support Water Sewer operations  (exclude capital transfers)</t>
  </si>
  <si>
    <t>Unit Data from Audit worksheet tab : (984-985)/985</t>
  </si>
  <si>
    <t>Unit Data from Audit worksheet tab :  CCH acct # 991</t>
  </si>
  <si>
    <t>No over-expenditures</t>
  </si>
  <si>
    <t>hidden data</t>
  </si>
  <si>
    <t>Unit Data from Audit worksheet tab : (657-658-511-581)/(639-640-641-642-643-644-580)</t>
  </si>
  <si>
    <t>TD Auditor</t>
  </si>
  <si>
    <t>Ad valorem tax collected (including motor vehicle and prior years) reported on budget actual statement</t>
  </si>
  <si>
    <t>Ad valorem tax budgeted (including motor vehicle and prior years) reported on budget actual statement</t>
  </si>
  <si>
    <t>Does Unit expect to issue debt next fiscal year</t>
  </si>
  <si>
    <t>Number of significant deficiency findings (other than in Questions 15-18 )</t>
  </si>
  <si>
    <t>Number of material weaknesses findings (other than in Questions 15-18)</t>
  </si>
  <si>
    <t>Auditor indicated that there was at least one Performance indicator of Concern on the PI tab</t>
  </si>
  <si>
    <t>Result for Performance Indicator Tab</t>
  </si>
  <si>
    <t>Tax rate for year audited</t>
  </si>
  <si>
    <t>Unit Name:</t>
  </si>
  <si>
    <t>D</t>
  </si>
  <si>
    <t>E</t>
  </si>
  <si>
    <t>F</t>
  </si>
  <si>
    <t>G</t>
  </si>
  <si>
    <t>H</t>
  </si>
  <si>
    <t>PROPERTY TAX RATES AND REVALUATION SCHEDULES FOR NORTH CAROLINA COUNTIES</t>
  </si>
  <si>
    <t>(All rates per $100 valuation*)</t>
  </si>
  <si>
    <t>Year</t>
  </si>
  <si>
    <t>Next</t>
  </si>
  <si>
    <t>Tax</t>
  </si>
  <si>
    <t>of latest</t>
  </si>
  <si>
    <t>scheduled</t>
  </si>
  <si>
    <t>Counties</t>
  </si>
  <si>
    <t>Rate</t>
  </si>
  <si>
    <t>revaluation</t>
  </si>
  <si>
    <t>This tab need to have the most up-to-date UAL list on it at the time it is finalized</t>
  </si>
  <si>
    <t># of other matters that auditor asked the unit to respond to.</t>
  </si>
  <si>
    <t>If the unit had PIs of concern, the issues were presented to the board and informed they needed to send Response Letter in 60 days</t>
  </si>
  <si>
    <t>accounts set-up in 2020 that are equivalent to account 44</t>
  </si>
  <si>
    <t>=654-655-579)</t>
  </si>
  <si>
    <t>accounts set-up in 2020 that are equivalent to account 45</t>
  </si>
  <si>
    <t>=(633-634-635-636-637-638-578)</t>
  </si>
  <si>
    <t>accounts set-up in 2020 that are equivalent to account 47</t>
  </si>
  <si>
    <t>accounts set-up in 2020 that are equivalent to account 48</t>
  </si>
  <si>
    <t>=(657-658-581)</t>
  </si>
  <si>
    <t>=(639-640-641-642-643-644-580)</t>
  </si>
  <si>
    <t>accounts set-up in 2020 that are equivalent to account 336</t>
  </si>
  <si>
    <t>=626-627-628-629-630-631-632</t>
  </si>
  <si>
    <t>Cell L219 contains formula to sum accounts listed in cell E219</t>
  </si>
  <si>
    <t>Cell L220 contains formula to sum accounts listed in cell E220</t>
  </si>
  <si>
    <t xml:space="preserve">Gov - Select Current Liabilities </t>
  </si>
  <si>
    <t xml:space="preserve">WS - Total Current Assets </t>
  </si>
  <si>
    <t xml:space="preserve">WS - Select Current Liabilities </t>
  </si>
  <si>
    <t xml:space="preserve">Electric - Total Current Assets </t>
  </si>
  <si>
    <t>Total Current assets.  
Include amounts of prepaids and inventory.  
Exclude any current assets identified as restricted.
Exclude "Advance To:-portion of interfund loans with repayment longer than 12 months</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</si>
  <si>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</si>
  <si>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Cell L224 contains link that has to be relinked to prior year  "YYYY Data(H)" tab</t>
  </si>
  <si>
    <t>Do you operate a landfill that will be closing  or have a significant portion closing within the next 5 years?  Select "1" for Yes and "2" for No</t>
  </si>
  <si>
    <t xml:space="preserve">Estimated cost not yet budgeted of any mandate placed on unit by DEQ, a court order or some similar requirement (that has no realistic appeal path). </t>
  </si>
  <si>
    <t>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t>
  </si>
  <si>
    <t>Cell L221 contains formula to sum accounts listed in cell E221</t>
  </si>
  <si>
    <t>Cell L222 contains formula to sum accounts listed in cell E222</t>
  </si>
  <si>
    <t>Cell L223 contains formula to sum accounts listed in cell E223</t>
  </si>
  <si>
    <t>Cell L225 contains link that has to be relinked to prior year  "YYYY Data(H)" tab</t>
  </si>
  <si>
    <t>Cell L226 contains link that has to be relinked to prior year "YYYY Data(H)" tab</t>
  </si>
  <si>
    <t>must be populated  in L column for database upload</t>
  </si>
  <si>
    <t xml:space="preserve"> formula in E column - use for handling date from TD Info Completed by Auditor tab uploading to database</t>
  </si>
  <si>
    <t>TD</t>
  </si>
  <si>
    <t>Did the Unit have debt service payments deferred or restructured in this fiscal year? (does not include refinancings designed to take advantage of lower interest rates)  Select Yes, No, or NA</t>
  </si>
  <si>
    <t>TD-Did unit have their debt service payments restructured in this fiscal year</t>
  </si>
  <si>
    <t>Total Transfers in - all funds (operating and capital)</t>
  </si>
  <si>
    <t>Did the Unit have any of the following occur:
1.  Bond covenants were not met
2.  Debt service payments made late?  Deferred payments authorized by LGC or other state
     agencies should not be counted as late for purposes of this question.</t>
  </si>
  <si>
    <t>TD Info Completed by Auditor : CCH acct # 974</t>
  </si>
  <si>
    <t>Muni</t>
  </si>
  <si>
    <t>Minimum Threshold</t>
  </si>
  <si>
    <r>
      <t>Gross Capital Assets-</t>
    </r>
    <r>
      <rPr>
        <b/>
        <sz val="11"/>
        <rFont val="Calibri"/>
        <family val="2"/>
        <scheme val="minor"/>
      </rPr>
      <t>Prior Year</t>
    </r>
  </si>
  <si>
    <r>
      <t>Gross Annual Revenue-</t>
    </r>
    <r>
      <rPr>
        <b/>
        <sz val="11"/>
        <rFont val="Calibri"/>
        <family val="2"/>
        <scheme val="minor"/>
      </rPr>
      <t>Prior Year</t>
    </r>
  </si>
  <si>
    <r>
      <rPr>
        <u/>
        <sz val="8"/>
        <color indexed="8"/>
        <rFont val="Calibri"/>
        <family val="2"/>
        <scheme val="minor"/>
      </rPr>
      <t>Current liabilities</t>
    </r>
    <r>
      <rPr>
        <sz val="8"/>
        <color indexed="8"/>
        <rFont val="Calibri"/>
        <family val="2"/>
        <scheme val="minor"/>
      </rPr>
      <t xml:space="preserve">
</t>
    </r>
    <r>
      <rPr>
        <b/>
        <sz val="8"/>
        <color indexed="8"/>
        <rFont val="Calibri"/>
        <family val="2"/>
        <scheme val="minor"/>
      </rPr>
      <t>Include:</t>
    </r>
    <r>
      <rPr>
        <sz val="8"/>
        <color indexed="8"/>
        <rFont val="Calibri"/>
        <family val="2"/>
        <scheme val="minor"/>
      </rPr>
      <t xml:space="preserve">   Current liabilities and current portion of long-term debt. 
</t>
    </r>
    <r>
      <rPr>
        <b/>
        <sz val="8"/>
        <color indexed="8"/>
        <rFont val="Calibri"/>
        <family val="2"/>
        <scheme val="minor"/>
      </rPr>
      <t>Exclude</t>
    </r>
    <r>
      <rPr>
        <sz val="8"/>
        <color indexed="8"/>
        <rFont val="Calibri"/>
        <family val="2"/>
        <scheme val="minor"/>
      </rPr>
      <t xml:space="preserve">:   Bond Anticipation Notes
                  Compensated  Absences
                  Pension liabilities
                  Liabilities payable from restricted assets
                  Other post employment liabilities (OPEB)
                  Deferred inflows.
</t>
    </r>
  </si>
  <si>
    <r>
      <rPr>
        <u/>
        <sz val="8"/>
        <color indexed="8"/>
        <rFont val="Calibri"/>
        <family val="2"/>
        <scheme val="minor"/>
      </rPr>
      <t>Total Current assets</t>
    </r>
    <r>
      <rPr>
        <sz val="8"/>
        <color indexed="8"/>
        <rFont val="Calibri"/>
        <family val="2"/>
        <scheme val="minor"/>
      </rPr>
      <t xml:space="preserve">.  
</t>
    </r>
    <r>
      <rPr>
        <b/>
        <sz val="8"/>
        <rFont val="Calibri"/>
        <family val="2"/>
        <scheme val="minor"/>
      </rPr>
      <t>Exclude</t>
    </r>
    <r>
      <rPr>
        <sz val="8"/>
        <rFont val="Calibri"/>
        <family val="2"/>
        <scheme val="minor"/>
      </rPr>
      <t xml:space="preserve"> any current assets identified as restricted.
</t>
    </r>
    <r>
      <rPr>
        <b/>
        <sz val="8"/>
        <color indexed="17"/>
        <rFont val="Calibri"/>
        <family val="2"/>
        <scheme val="minor"/>
      </rPr>
      <t>Exclude "Advance To": portion of interfund loan with repayment longer than 12 months.</t>
    </r>
  </si>
  <si>
    <r>
      <rPr>
        <u/>
        <sz val="8"/>
        <rFont val="Calibri"/>
        <family val="2"/>
        <scheme val="minor"/>
      </rPr>
      <t>Current liabilities</t>
    </r>
    <r>
      <rPr>
        <sz val="8"/>
        <rFont val="Calibri"/>
        <family val="2"/>
        <scheme val="minor"/>
      </rPr>
      <t xml:space="preserve">.  
</t>
    </r>
    <r>
      <rPr>
        <b/>
        <sz val="8"/>
        <rFont val="Calibri"/>
        <family val="2"/>
        <scheme val="minor"/>
      </rPr>
      <t xml:space="preserve">Include:  </t>
    </r>
    <r>
      <rPr>
        <sz val="8"/>
        <rFont val="Calibri"/>
        <family val="2"/>
        <scheme val="minor"/>
      </rPr>
      <t xml:space="preserve"> Current liabilities and current portions of long-term debt
</t>
    </r>
    <r>
      <rPr>
        <b/>
        <sz val="8"/>
        <rFont val="Calibri"/>
        <family val="2"/>
        <scheme val="minor"/>
      </rPr>
      <t xml:space="preserve">Exclude:  </t>
    </r>
    <r>
      <rPr>
        <b/>
        <sz val="8"/>
        <color indexed="17"/>
        <rFont val="Calibri"/>
        <family val="2"/>
        <scheme val="minor"/>
      </rPr>
      <t xml:space="preserve">"Advance From"-portion of interfund loans with repayment longer than 12 months,
                   Bond anticipation notes, </t>
    </r>
    <r>
      <rPr>
        <sz val="8"/>
        <rFont val="Calibri"/>
        <family val="2"/>
        <scheme val="minor"/>
      </rPr>
      <t xml:space="preserve">
                   Compensated absences, 
                   Pension liabilities, 
                   Other post-employment liabilities (OPEB), 
                   Closure/postclosure liabilities, 
                   Payables from restricted assets
                   Deferred inflows.</t>
    </r>
  </si>
  <si>
    <t>Mental Health Net Position - Net Investment in Capital Assets</t>
  </si>
  <si>
    <t>Mental Health Net Position - Restricted Net Position</t>
  </si>
  <si>
    <t>Please enter your tax rate for ad valorem in effect for fiscal year audited.  Example 60 cents per 100 would be entered as .60</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</si>
  <si>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</si>
  <si>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t xml:space="preserve">Unit's share of Retirement Health Benefit Fund </t>
    </r>
    <r>
      <rPr>
        <sz val="11"/>
        <color rgb="FFFF0000"/>
        <rFont val="Calibri"/>
        <family val="2"/>
        <scheme val="minor"/>
      </rPr>
      <t>Net</t>
    </r>
    <r>
      <rPr>
        <sz val="11"/>
        <color theme="1"/>
        <rFont val="Calibri"/>
        <family val="2"/>
        <scheme val="minor"/>
      </rPr>
      <t xml:space="preserve"> OPEB Liability ($s)
- unit of government is a participating employer in the </t>
    </r>
    <r>
      <rPr>
        <b/>
        <sz val="11"/>
        <color theme="1"/>
        <rFont val="Calibri"/>
        <family val="2"/>
        <scheme val="minor"/>
      </rPr>
      <t>State's RHBF</t>
    </r>
    <r>
      <rPr>
        <sz val="11"/>
        <color theme="1"/>
        <rFont val="Calibri"/>
        <family val="2"/>
        <scheme val="minor"/>
      </rPr>
      <t xml:space="preserve"> </t>
    </r>
  </si>
  <si>
    <r>
      <rPr>
        <sz val="11"/>
        <color rgb="FF0070C0"/>
        <rFont val="Calibri"/>
        <family val="2"/>
        <scheme val="minor"/>
      </rPr>
      <t xml:space="preserve">Please note - Account 621 - if applicable - </t>
    </r>
    <r>
      <rPr>
        <sz val="11"/>
        <rFont val="Calibri"/>
        <family val="2"/>
        <scheme val="minor"/>
      </rPr>
      <t xml:space="preserve">See RSI Schedule of PROPORTIONATE SHARE OF </t>
    </r>
    <r>
      <rPr>
        <b/>
        <sz val="11"/>
        <rFont val="Calibri"/>
        <family val="2"/>
        <scheme val="minor"/>
      </rPr>
      <t>NET</t>
    </r>
    <r>
      <rPr>
        <sz val="11"/>
        <rFont val="Calibri"/>
        <family val="2"/>
        <scheme val="minor"/>
      </rPr>
      <t xml:space="preserve"> OPEB LIABILITY - RETIREE HEALTH BENEFIT FUND REQUIRED SUPPLEMENTARY INFORMATION</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</si>
  <si>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</si>
  <si>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</si>
  <si>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</si>
  <si>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</si>
  <si>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</si>
  <si>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 xml:space="preserve"> 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cash held by a third party. </t>
    </r>
  </si>
  <si>
    <r>
      <t xml:space="preserve"> </t>
    </r>
    <r>
      <rPr>
        <u/>
        <sz val="11"/>
        <color indexed="8"/>
        <rFont val="Calibri"/>
        <family val="2"/>
        <scheme val="minor"/>
      </rPr>
      <t>All restricted Cash and investments</t>
    </r>
  </si>
  <si>
    <r>
      <t xml:space="preserve">Record any </t>
    </r>
    <r>
      <rPr>
        <b/>
        <u/>
        <sz val="11"/>
        <color indexed="8"/>
        <rFont val="Calibri"/>
        <family val="2"/>
        <scheme val="minor"/>
      </rPr>
      <t>positive</t>
    </r>
    <r>
      <rPr>
        <u/>
        <sz val="11"/>
        <color indexed="8"/>
        <rFont val="Calibri"/>
        <family val="2"/>
        <scheme val="minor"/>
      </rPr>
      <t xml:space="preserve"> Internal balances on the net position statements that appear in the Asset Section of the Net Position Statement</t>
    </r>
  </si>
  <si>
    <r>
      <t>Record any</t>
    </r>
    <r>
      <rPr>
        <b/>
        <u/>
        <sz val="11"/>
        <color indexed="8"/>
        <rFont val="Calibri"/>
        <family val="2"/>
        <scheme val="minor"/>
      </rPr>
      <t xml:space="preserve"> negative</t>
    </r>
    <r>
      <rPr>
        <u/>
        <sz val="11"/>
        <color indexed="8"/>
        <rFont val="Calibri"/>
        <family val="2"/>
        <scheme val="minor"/>
      </rPr>
      <t xml:space="preserve"> Internal balances on the net position statements that appear in the Asset Section of the Net Position Statement.
</t>
    </r>
    <r>
      <rPr>
        <b/>
        <sz val="11"/>
        <color indexed="60"/>
        <rFont val="Calibri"/>
        <family val="2"/>
        <scheme val="minor"/>
      </rPr>
      <t xml:space="preserve">
Enter as a positive</t>
    </r>
  </si>
  <si>
    <r>
      <rPr>
        <u/>
        <sz val="11"/>
        <color indexed="8"/>
        <rFont val="Calibri"/>
        <family val="2"/>
        <scheme val="minor"/>
      </rPr>
      <t xml:space="preserve">Total Current liabilities </t>
    </r>
    <r>
      <rPr>
        <u/>
        <sz val="11"/>
        <color rgb="FFFF0000"/>
        <rFont val="Calibri"/>
        <family val="2"/>
        <scheme val="minor"/>
      </rPr>
      <t>(as reported on Statement of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t>
    </r>
  </si>
  <si>
    <r>
      <t xml:space="preserve">Please enter any bond anticipation notes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</si>
  <si>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</si>
  <si>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</si>
  <si>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OPEB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</si>
  <si>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scheme val="minor"/>
      </rPr>
      <t>(amounts entered should agree to the current amount included in the changes to long-term debt note)</t>
    </r>
  </si>
  <si>
    <r>
      <rPr>
        <u/>
        <sz val="11"/>
        <color indexed="8"/>
        <rFont val="Calibri"/>
        <family val="2"/>
        <scheme val="minor"/>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scheme val="minor"/>
      </rPr>
      <t xml:space="preserve">Exclude - </t>
    </r>
    <r>
      <rPr>
        <sz val="11"/>
        <color theme="1"/>
        <rFont val="Calibri"/>
        <family val="2"/>
        <scheme val="minor"/>
      </rPr>
      <t>unearned revenues that are listed in deferred inflows.</t>
    </r>
  </si>
  <si>
    <r>
      <t>Total Net Position, Unrestricted -</t>
    </r>
    <r>
      <rPr>
        <u/>
        <sz val="11"/>
        <color indexed="60"/>
        <rFont val="Calibri"/>
        <family val="2"/>
        <scheme val="minor"/>
      </rPr>
      <t xml:space="preserve"> enter negative unrestricted net position as a negative)</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</si>
  <si>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</si>
  <si>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General revenues
</t>
    </r>
    <r>
      <rPr>
        <b/>
        <u/>
        <sz val="11"/>
        <color indexed="8"/>
        <rFont val="Calibri"/>
        <family val="2"/>
        <scheme val="minor"/>
      </rPr>
      <t>E</t>
    </r>
    <r>
      <rPr>
        <b/>
        <sz val="11"/>
        <color indexed="8"/>
        <rFont val="Calibri"/>
        <family val="2"/>
        <scheme val="minor"/>
      </rPr>
      <t>xclude:</t>
    </r>
    <r>
      <rPr>
        <sz val="11"/>
        <color indexed="8"/>
        <rFont val="Calibri"/>
        <family val="2"/>
        <scheme val="minor"/>
      </rPr>
      <t xml:space="preserve"> transfers-in or out,
                 special items,
                 extraordinary amounts</t>
    </r>
  </si>
  <si>
    <r>
      <t>Total Transfers in</t>
    </r>
    <r>
      <rPr>
        <sz val="11"/>
        <color theme="1"/>
        <rFont val="Calibri"/>
        <family val="2"/>
        <scheme val="minor"/>
      </rPr>
      <t xml:space="preserve">    </t>
    </r>
    <r>
      <rPr>
        <sz val="11"/>
        <color indexed="60"/>
        <rFont val="Calibri"/>
        <family val="2"/>
        <scheme val="minor"/>
      </rPr>
      <t>(Preference is that transfers-in  are not netted against transfers-out)</t>
    </r>
  </si>
  <si>
    <r>
      <t>Total Transfers out</t>
    </r>
    <r>
      <rPr>
        <sz val="11"/>
        <color theme="1"/>
        <rFont val="Calibri"/>
        <family val="2"/>
        <scheme val="minor"/>
      </rPr>
      <t xml:space="preserve">    </t>
    </r>
    <r>
      <rPr>
        <sz val="11"/>
        <color indexed="60"/>
        <rFont val="Calibri"/>
        <family val="2"/>
        <scheme val="minor"/>
      </rPr>
      <t>(Preference is that transfers-in  are not netted against transfers-out)</t>
    </r>
  </si>
  <si>
    <r>
      <rPr>
        <u/>
        <sz val="11"/>
        <color indexed="8"/>
        <rFont val="Calibri"/>
        <family val="2"/>
        <scheme val="minor"/>
      </rPr>
      <t>Total Special and Extraordinary items</t>
    </r>
    <r>
      <rPr>
        <sz val="11"/>
        <color theme="1"/>
        <rFont val="Calibri"/>
        <family val="2"/>
        <scheme val="minor"/>
      </rPr>
      <t xml:space="preserve">.   </t>
    </r>
    <r>
      <rPr>
        <sz val="11"/>
        <color indexed="60"/>
        <rFont val="Calibri"/>
        <family val="2"/>
        <scheme val="minor"/>
      </rPr>
      <t xml:space="preserve"> (Amounts that increase net position are recorded as positive and amounts that decrease net position are recorded as negative)</t>
    </r>
  </si>
  <si>
    <r>
      <rPr>
        <u/>
        <sz val="11"/>
        <color indexed="8"/>
        <rFont val="Calibri"/>
        <family val="2"/>
        <scheme val="minor"/>
      </rPr>
      <t>Total 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</si>
  <si>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Any adjustment to beginning net position including rounding, prior period adjustments and restatements</t>
    </r>
    <r>
      <rPr>
        <sz val="11"/>
        <color theme="1"/>
        <rFont val="Calibri"/>
        <family val="2"/>
        <scheme val="minor"/>
      </rPr>
      <t xml:space="preserve">.  </t>
    </r>
    <r>
      <rPr>
        <sz val="11"/>
        <color indexed="60"/>
        <rFont val="Calibri"/>
        <family val="2"/>
        <scheme val="minor"/>
      </rPr>
      <t xml:space="preserve"> (Increases to net position are positive; decreases to net position are negative)</t>
    </r>
  </si>
  <si>
    <r>
      <t xml:space="preserve">Amount of interest income and investment income recognized as revenue in your audit report for all governmental and proprietary funds.  </t>
    </r>
    <r>
      <rPr>
        <sz val="11"/>
        <color indexed="60"/>
        <rFont val="Calibri"/>
        <family val="2"/>
        <scheme val="minor"/>
      </rPr>
      <t xml:space="preserve">In the past we have asked you to adjust this number, but this year we would like the number as it appears on your Statement of Activities </t>
    </r>
    <r>
      <rPr>
        <u/>
        <sz val="11"/>
        <color indexed="60"/>
        <rFont val="Calibri"/>
        <family val="2"/>
        <scheme val="minor"/>
      </rPr>
      <t>without</t>
    </r>
    <r>
      <rPr>
        <sz val="11"/>
        <color indexed="60"/>
        <rFont val="Calibri"/>
        <family val="2"/>
        <scheme val="minor"/>
      </rPr>
      <t xml:space="preserve"> adjustment.</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</si>
  <si>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</si>
  <si>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t xml:space="preserve">All unrestricted cash and investments.  
</t>
    </r>
    <r>
      <rPr>
        <b/>
        <sz val="11"/>
        <color indexed="8"/>
        <rFont val="Calibri"/>
        <family val="2"/>
        <scheme val="minor"/>
      </rPr>
      <t>Exclude</t>
    </r>
    <r>
      <rPr>
        <sz val="11"/>
        <color indexed="8"/>
        <rFont val="Calibri"/>
        <family val="2"/>
        <scheme val="minor"/>
      </rPr>
      <t xml:space="preserve"> restricted cash and cash held by a third party. </t>
    </r>
  </si>
  <si>
    <r>
      <rPr>
        <u/>
        <sz val="11"/>
        <color indexed="8"/>
        <rFont val="Calibri"/>
        <family val="2"/>
        <scheme val="minor"/>
      </rPr>
      <t>Total Liabilities payable from restricted assets</t>
    </r>
    <r>
      <rPr>
        <sz val="11"/>
        <color theme="1"/>
        <rFont val="Calibri"/>
        <family val="2"/>
        <scheme val="minor"/>
      </rPr>
      <t xml:space="preserve"> </t>
    </r>
    <r>
      <rPr>
        <sz val="11"/>
        <color indexed="60"/>
        <rFont val="Calibri"/>
        <family val="2"/>
        <scheme val="minor"/>
      </rPr>
      <t>(only complete if this is listed in your financial statements for the general fund and the auditor has listed the cash to be used to pay the liabilities as restricted)</t>
    </r>
  </si>
  <si>
    <r>
      <rPr>
        <u/>
        <sz val="11"/>
        <color indexed="8"/>
        <rFont val="Calibri"/>
        <family val="2"/>
        <scheme val="minor"/>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scheme val="minor"/>
      </rPr>
      <t>Exclude</t>
    </r>
    <r>
      <rPr>
        <sz val="11"/>
        <color indexed="60"/>
        <rFont val="Calibri"/>
        <family val="2"/>
        <scheme val="minor"/>
      </rPr>
      <t xml:space="preserve"> </t>
    </r>
    <r>
      <rPr>
        <sz val="11"/>
        <color indexed="8"/>
        <rFont val="Calibri"/>
        <family val="2"/>
        <scheme val="minor"/>
      </rPr>
      <t xml:space="preserve">all deferred inflows. 
</t>
    </r>
    <r>
      <rPr>
        <b/>
        <sz val="11"/>
        <color indexed="8"/>
        <rFont val="Calibri"/>
        <family val="2"/>
        <scheme val="minor"/>
      </rPr>
      <t>Include</t>
    </r>
    <r>
      <rPr>
        <sz val="11"/>
        <color indexed="8"/>
        <rFont val="Calibri"/>
        <family val="2"/>
        <scheme val="minor"/>
      </rPr>
      <t xml:space="preserve"> advance from(long-term portion of interfund loans)</t>
    </r>
  </si>
  <si>
    <r>
      <rPr>
        <u/>
        <sz val="11"/>
        <color indexed="8"/>
        <rFont val="Calibri"/>
        <family val="2"/>
        <scheme val="minor"/>
      </rPr>
      <t>General fund deferred inflows derived from cash receipts</t>
    </r>
    <r>
      <rPr>
        <sz val="11"/>
        <color indexed="8"/>
        <rFont val="Calibri"/>
        <family val="2"/>
        <scheme val="minor"/>
      </rPr>
      <t xml:space="preserve">. 
</t>
    </r>
    <r>
      <rPr>
        <sz val="11"/>
        <color indexed="60"/>
        <rFont val="Calibri"/>
        <family val="2"/>
        <scheme val="minor"/>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</si>
  <si>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scheme val="minor"/>
      </rPr>
      <t>Total Deferred inflows not derived from cash receipts.</t>
    </r>
    <r>
      <rPr>
        <sz val="11"/>
        <color indexed="8"/>
        <rFont val="Calibri"/>
        <family val="2"/>
        <scheme val="minor"/>
      </rPr>
      <t xml:space="preserve">  </t>
    </r>
    <r>
      <rPr>
        <sz val="11"/>
        <color indexed="60"/>
        <rFont val="Calibri"/>
        <family val="2"/>
        <scheme val="minor"/>
      </rPr>
      <t>Deferred inflows on the face of the statements can include cash and non-cash.  You may have to refer to the note disclosure where the cash and non-cash is broken out.</t>
    </r>
  </si>
  <si>
    <r>
      <rPr>
        <u/>
        <sz val="11"/>
        <color indexed="8"/>
        <rFont val="Calibri"/>
        <family val="2"/>
        <scheme val="minor"/>
      </rPr>
      <t>Fund balance, Restricted for Streets</t>
    </r>
    <r>
      <rPr>
        <sz val="11"/>
        <color theme="1"/>
        <rFont val="Calibri"/>
        <family val="2"/>
        <scheme val="minor"/>
      </rPr>
      <t xml:space="preserve"> (unspent Powell Bill balance).  </t>
    </r>
    <r>
      <rPr>
        <sz val="11"/>
        <color indexed="60"/>
        <rFont val="Calibri"/>
        <family val="2"/>
        <scheme val="minor"/>
      </rPr>
      <t>You may have to refer to the note disclosure where restricted fund balance is described.</t>
    </r>
  </si>
  <si>
    <r>
      <rPr>
        <u/>
        <sz val="11"/>
        <color indexed="8"/>
        <rFont val="Calibri"/>
        <family val="2"/>
        <scheme val="minor"/>
      </rPr>
      <t>Total Fund balance</t>
    </r>
    <r>
      <rPr>
        <sz val="11"/>
        <color theme="1"/>
        <rFont val="Calibri"/>
        <family val="2"/>
        <scheme val="minor"/>
      </rPr>
      <t xml:space="preserve"> </t>
    </r>
    <r>
      <rPr>
        <sz val="11"/>
        <color indexed="60"/>
        <rFont val="Calibri"/>
        <family val="2"/>
        <scheme val="minor"/>
      </rPr>
      <t>(enter fund deficits as negative)</t>
    </r>
  </si>
  <si>
    <r>
      <rPr>
        <b/>
        <sz val="11"/>
        <color indexed="8"/>
        <rFont val="Calibri"/>
        <family val="2"/>
        <scheme val="minor"/>
      </rPr>
      <t>General Fund</t>
    </r>
    <r>
      <rPr>
        <sz val="11"/>
        <color indexed="8"/>
        <rFont val="Calibri"/>
        <family val="2"/>
        <scheme val="minor"/>
      </rPr>
      <t xml:space="preserve"> - Budget Actual Statement</t>
    </r>
  </si>
  <si>
    <r>
      <rPr>
        <u/>
        <sz val="11"/>
        <color indexed="8"/>
        <rFont val="Calibri"/>
        <family val="2"/>
        <scheme val="minor"/>
      </rPr>
      <t>Total Intergovernmental revenue</t>
    </r>
    <r>
      <rPr>
        <sz val="11"/>
        <color theme="1"/>
        <rFont val="Calibri"/>
        <family val="2"/>
        <scheme val="minor"/>
      </rPr>
      <t xml:space="preserve"> 
</t>
    </r>
    <r>
      <rPr>
        <b/>
        <sz val="11"/>
        <color indexed="8"/>
        <rFont val="Calibri"/>
        <family val="2"/>
        <scheme val="minor"/>
      </rPr>
      <t>Include</t>
    </r>
    <r>
      <rPr>
        <sz val="11"/>
        <color indexed="8"/>
        <rFont val="Calibri"/>
        <family val="2"/>
        <scheme val="minor"/>
      </rPr>
      <t xml:space="preserve"> restricted and unrestricted revenues</t>
    </r>
  </si>
  <si>
    <r>
      <rPr>
        <u/>
        <sz val="11"/>
        <color indexed="8"/>
        <rFont val="Calibri"/>
        <family val="2"/>
        <scheme val="minor"/>
      </rPr>
      <t>Debt service expenditures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principal, interest paid, and bond/debt issuance costs on long-term debt</t>
    </r>
  </si>
  <si>
    <r>
      <rPr>
        <u/>
        <sz val="11"/>
        <rFont val="Calibri"/>
        <family val="2"/>
        <scheme val="minor"/>
      </rPr>
      <t>Total expenditures</t>
    </r>
    <r>
      <rPr>
        <sz val="11"/>
        <rFont val="Calibri"/>
        <family val="2"/>
        <scheme val="minor"/>
      </rPr>
      <t xml:space="preserve">  
</t>
    </r>
    <r>
      <rPr>
        <b/>
        <sz val="11"/>
        <rFont val="Calibri"/>
        <family val="2"/>
        <scheme val="minor"/>
      </rPr>
      <t>Exclude</t>
    </r>
    <r>
      <rPr>
        <sz val="11"/>
        <rFont val="Calibri"/>
        <family val="2"/>
        <scheme val="minor"/>
      </rPr>
      <t xml:space="preserve"> expenditures in the "other financing sources (uses)" section.
</t>
    </r>
  </si>
  <si>
    <r>
      <t xml:space="preserve">Total Transfers in   </t>
    </r>
    <r>
      <rPr>
        <sz val="11"/>
        <color indexed="60"/>
        <rFont val="Calibri"/>
        <family val="2"/>
        <scheme val="minor"/>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</si>
  <si>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scheme val="minor"/>
      </rPr>
      <t>(Preference is that transfers-in  are not netted against transfers-out)</t>
    </r>
  </si>
  <si>
    <r>
      <rPr>
        <u/>
        <sz val="11"/>
        <rFont val="Calibri"/>
        <family val="2"/>
        <scheme val="minor"/>
      </rPr>
      <t>Total Proceeds from all long-term debt issuances</t>
    </r>
    <r>
      <rPr>
        <sz val="11"/>
        <rFont val="Calibri"/>
        <family val="2"/>
        <scheme val="minor"/>
      </rPr>
      <t xml:space="preserve"> 
</t>
    </r>
    <r>
      <rPr>
        <b/>
        <sz val="11"/>
        <rFont val="Calibri"/>
        <family val="2"/>
        <scheme val="minor"/>
      </rPr>
      <t xml:space="preserve">Exclude </t>
    </r>
    <r>
      <rPr>
        <sz val="11"/>
        <rFont val="Calibri"/>
        <family val="2"/>
        <scheme val="minor"/>
      </rPr>
      <t>proceeds from refundings</t>
    </r>
  </si>
  <si>
    <r>
      <rPr>
        <u/>
        <sz val="11"/>
        <color indexed="8"/>
        <rFont val="Calibri"/>
        <family val="2"/>
        <scheme val="minor"/>
      </rPr>
      <t>Change in fund balance</t>
    </r>
    <r>
      <rPr>
        <sz val="11"/>
        <color theme="1"/>
        <rFont val="Calibri"/>
        <family val="2"/>
        <scheme val="minor"/>
      </rPr>
      <t xml:space="preserve"> - </t>
    </r>
    <r>
      <rPr>
        <sz val="11"/>
        <color indexed="60"/>
        <rFont val="Calibri"/>
        <family val="2"/>
        <scheme val="minor"/>
      </rPr>
      <t>(Increase in Fund balance is recorded as a positive and a decrease in fund balance is recorded as a negative)</t>
    </r>
  </si>
  <si>
    <r>
      <rPr>
        <u/>
        <sz val="11"/>
        <color indexed="8"/>
        <rFont val="Calibri"/>
        <family val="2"/>
        <scheme val="minor"/>
      </rPr>
      <t>Any adjustment to beginning fund balance including rounding, prior period adjustments and restatements.</t>
    </r>
    <r>
      <rPr>
        <sz val="11"/>
        <color theme="1"/>
        <rFont val="Calibri"/>
        <family val="2"/>
        <scheme val="minor"/>
      </rPr>
      <t xml:space="preserve">  </t>
    </r>
    <r>
      <rPr>
        <sz val="11"/>
        <color indexed="60"/>
        <rFont val="Calibri"/>
        <family val="2"/>
        <scheme val="minor"/>
      </rPr>
      <t xml:space="preserve"> (Amounts that increase fund balance are recorded as positive and amounts that decrease fund balance are recorded as negative)</t>
    </r>
  </si>
  <si>
    <r>
      <rPr>
        <u/>
        <sz val="11"/>
        <color indexed="8"/>
        <rFont val="Calibri"/>
        <family val="2"/>
        <scheme val="minor"/>
      </rPr>
      <t>Debt service expenditures from all governmental funds</t>
    </r>
    <r>
      <rPr>
        <sz val="11"/>
        <color theme="1"/>
        <rFont val="Calibri"/>
        <family val="2"/>
        <scheme val="minor"/>
      </rPr>
      <t>.  Include principal, interest paid, and debt issuance costs on long-term debt.</t>
    </r>
  </si>
  <si>
    <r>
      <rPr>
        <b/>
        <sz val="11"/>
        <color indexed="8"/>
        <rFont val="Calibri"/>
        <family val="2"/>
        <scheme val="minor"/>
      </rPr>
      <t>Statement of Net Position - Water and Sewer Operations</t>
    </r>
    <r>
      <rPr>
        <sz val="11"/>
        <color indexed="8"/>
        <rFont val="Calibri"/>
        <family val="2"/>
        <scheme val="minor"/>
      </rPr>
      <t xml:space="preserve"> - If unit maintains separate funds please combine all water, sewer,</t>
    </r>
  </si>
  <si>
    <r>
      <rPr>
        <b/>
        <sz val="11"/>
        <color indexed="8"/>
        <rFont val="Calibri"/>
        <family val="2"/>
        <scheme val="minor"/>
      </rPr>
      <t>Water Sewe</t>
    </r>
    <r>
      <rPr>
        <sz val="11"/>
        <color indexed="8"/>
        <rFont val="Calibri"/>
        <family val="2"/>
        <scheme val="minor"/>
      </rPr>
      <t>r Net Position Statement</t>
    </r>
  </si>
  <si>
    <r>
      <rPr>
        <u/>
        <sz val="11"/>
        <color indexed="8"/>
        <rFont val="Calibri"/>
        <family val="2"/>
        <scheme val="minor"/>
      </rPr>
      <t>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and/or restricted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</si>
  <si>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both billed and unbilled amounts.</t>
    </r>
  </si>
  <si>
    <r>
      <rPr>
        <u/>
        <sz val="11"/>
        <rFont val="Calibri"/>
        <family val="2"/>
        <scheme val="minor"/>
      </rPr>
      <t>Water Sewer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</si>
  <si>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WS Net Position Statement</t>
    </r>
    <r>
      <rPr>
        <sz val="11"/>
        <color indexed="8"/>
        <rFont val="Calibri"/>
        <family val="2"/>
        <scheme val="minor"/>
      </rPr>
      <t xml:space="preserve">.  
</t>
    </r>
  </si>
  <si>
    <r>
      <rPr>
        <u/>
        <sz val="11"/>
        <rFont val="Calibri"/>
        <family val="2"/>
        <scheme val="minor"/>
      </rPr>
      <t xml:space="preserve">Water Sewer - Advance From: 
</t>
    </r>
    <r>
      <rPr>
        <sz val="11"/>
        <rFont val="Calibri"/>
        <family val="2"/>
        <scheme val="minor"/>
      </rPr>
      <t>Interfund loan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</si>
  <si>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enter negative unrestricted net position as a negative</t>
    </r>
  </si>
  <si>
    <r>
      <rPr>
        <b/>
        <sz val="11"/>
        <color indexed="8"/>
        <rFont val="Calibri"/>
        <family val="2"/>
        <scheme val="minor"/>
      </rPr>
      <t>Electric Fund</t>
    </r>
    <r>
      <rPr>
        <sz val="11"/>
        <color indexed="8"/>
        <rFont val="Calibri"/>
        <family val="2"/>
        <scheme val="minor"/>
      </rPr>
      <t xml:space="preserve"> Net Position Statement</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</si>
  <si>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any restricted cash and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</si>
  <si>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billed and unbilled amounts </t>
    </r>
  </si>
  <si>
    <r>
      <rPr>
        <u/>
        <sz val="11"/>
        <rFont val="Calibri"/>
        <family val="2"/>
        <scheme val="minor"/>
      </rPr>
      <t>Electric Fund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</si>
  <si>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Electric Net Position Statement</t>
    </r>
    <r>
      <rPr>
        <sz val="11"/>
        <color indexed="8"/>
        <rFont val="Calibri"/>
        <family val="2"/>
        <scheme val="minor"/>
      </rPr>
      <t xml:space="preserve">.  
</t>
    </r>
  </si>
  <si>
    <r>
      <rPr>
        <u/>
        <sz val="11"/>
        <rFont val="Calibri"/>
        <family val="2"/>
        <scheme val="minor"/>
      </rPr>
      <t>Electric Fund - Advance From:</t>
    </r>
    <r>
      <rPr>
        <sz val="11"/>
        <rFont val="Calibri"/>
        <family val="2"/>
        <scheme val="minor"/>
      </rPr>
      <t xml:space="preserve">
Interfund loans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</si>
  <si>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Amount of negative unrestricted net position should be entered as a negative amount and the amount of positive unrestricted net position should be entered as a positive amount.</t>
    </r>
  </si>
  <si>
    <r>
      <rPr>
        <b/>
        <sz val="11"/>
        <color indexed="8"/>
        <rFont val="Calibri"/>
        <family val="2"/>
        <scheme val="minor"/>
      </rPr>
      <t>Water Sewer</t>
    </r>
    <r>
      <rPr>
        <sz val="11"/>
        <color indexed="8"/>
        <rFont val="Calibri"/>
        <family val="2"/>
        <scheme val="minor"/>
      </rPr>
      <t xml:space="preserve"> Revenue, Expenses &amp; Changes in Fund Net Position</t>
    </r>
  </si>
  <si>
    <r>
      <rPr>
        <u/>
        <sz val="11"/>
        <color indexed="8"/>
        <rFont val="Calibri"/>
        <family val="2"/>
        <scheme val="minor"/>
      </rPr>
      <t>Charges for services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tap, capacity fees and other misc. income .</t>
    </r>
  </si>
  <si>
    <r>
      <rPr>
        <u/>
        <sz val="11"/>
        <color indexed="8"/>
        <rFont val="Calibri"/>
        <family val="2"/>
        <scheme val="minor"/>
      </rPr>
      <t>Total all non-operating revenues</t>
    </r>
    <r>
      <rPr>
        <sz val="11"/>
        <color indexed="10"/>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</si>
  <si>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any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</si>
  <si>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Capital contributions</t>
    </r>
    <r>
      <rPr>
        <sz val="11"/>
        <color theme="1"/>
        <rFont val="Calibri"/>
        <family val="2"/>
        <scheme val="minor"/>
      </rPr>
      <t>.</t>
    </r>
    <r>
      <rPr>
        <sz val="11"/>
        <color indexed="60"/>
        <rFont val="Calibri"/>
        <family val="2"/>
        <scheme val="minor"/>
      </rPr>
      <t xml:space="preserve"> Only include positive capital contributions.  Negative capital contributions should be included with 'Total all non-operating expenses.'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</si>
  <si>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</si>
  <si>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scheme val="minor"/>
      </rPr>
      <t>Increase amounts to beginning net position should be entered as a positive amount and (decreases) should be entered as a negative amount.</t>
    </r>
  </si>
  <si>
    <r>
      <rPr>
        <b/>
        <sz val="11"/>
        <color indexed="8"/>
        <rFont val="Calibri"/>
        <family val="2"/>
        <scheme val="minor"/>
      </rPr>
      <t>Electric Fund</t>
    </r>
    <r>
      <rPr>
        <sz val="11"/>
        <color indexed="8"/>
        <rFont val="Calibri"/>
        <family val="2"/>
        <scheme val="minor"/>
      </rPr>
      <t xml:space="preserve"> Revenue, Expenses &amp; Changes in Fund Net Position</t>
    </r>
  </si>
  <si>
    <r>
      <rPr>
        <u/>
        <sz val="11"/>
        <color indexed="8"/>
        <rFont val="Calibri"/>
        <family val="2"/>
        <scheme val="minor"/>
      </rPr>
      <t xml:space="preserve">Total all the non-operating revenues  </t>
    </r>
    <r>
      <rPr>
        <sz val="11"/>
        <color indexed="8"/>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</si>
  <si>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</si>
  <si>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
    </r>
    <r>
      <rPr>
        <u/>
        <sz val="11"/>
        <rFont val="Calibri"/>
        <family val="2"/>
        <scheme val="minor"/>
      </rPr>
      <t>tal Contributions</t>
    </r>
    <r>
      <rPr>
        <sz val="11"/>
        <rFont val="Calibri"/>
        <family val="2"/>
        <scheme val="minor"/>
      </rPr>
      <t xml:space="preserve">.  
</t>
    </r>
    <r>
      <rPr>
        <b/>
        <sz val="11"/>
        <rFont val="Calibri"/>
        <family val="2"/>
        <scheme val="minor"/>
      </rPr>
      <t xml:space="preserve">Include </t>
    </r>
    <r>
      <rPr>
        <sz val="11"/>
        <rFont val="Calibri"/>
        <family val="2"/>
        <scheme val="minor"/>
      </rPr>
      <t>only positive capital Contributions.</t>
    </r>
    <r>
      <rPr>
        <b/>
        <sz val="11"/>
        <rFont val="Calibri"/>
        <family val="2"/>
        <scheme val="minor"/>
      </rPr>
      <t xml:space="preserve">  </t>
    </r>
    <r>
      <rPr>
        <sz val="11"/>
        <color indexed="60"/>
        <rFont val="Calibri"/>
        <family val="2"/>
        <scheme val="minor"/>
      </rPr>
      <t>Negative capital contributions should be included with 'Total all non-operating expenses.'</t>
    </r>
  </si>
  <si>
    <r>
      <rPr>
        <u/>
        <sz val="11"/>
        <color indexed="8"/>
        <rFont val="Calibri"/>
        <family val="2"/>
        <scheme val="minor"/>
      </rPr>
      <t>Total Transfers In</t>
    </r>
    <r>
      <rPr>
        <sz val="11"/>
        <color theme="1"/>
        <rFont val="Calibri"/>
        <family val="2"/>
        <scheme val="minor"/>
      </rPr>
      <t xml:space="preserve"> (From all Funds)</t>
    </r>
  </si>
  <si>
    <r>
      <rPr>
        <u/>
        <sz val="11"/>
        <color indexed="8"/>
        <rFont val="Calibri"/>
        <family val="2"/>
        <scheme val="minor"/>
      </rPr>
      <t>Total Transfers Out</t>
    </r>
    <r>
      <rPr>
        <sz val="11"/>
        <color theme="1"/>
        <rFont val="Calibri"/>
        <family val="2"/>
        <scheme val="minor"/>
      </rPr>
      <t xml:space="preserve"> (To all funds)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</si>
  <si>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</si>
  <si>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electric net position due to rounding, prior period adjustments and restatements</t>
    </r>
    <r>
      <rPr>
        <sz val="11"/>
        <color indexed="60"/>
        <rFont val="Calibri"/>
        <family val="2"/>
        <scheme val="minor"/>
      </rPr>
      <t>.  Increase amounts to beginning net position should be entered as a positive amount and (decreases) should be entered as a negative amount.</t>
    </r>
  </si>
  <si>
    <r>
      <rPr>
        <b/>
        <sz val="11"/>
        <color indexed="8"/>
        <rFont val="Calibri"/>
        <family val="2"/>
        <scheme val="minor"/>
      </rPr>
      <t>Water and Sewer Operations</t>
    </r>
    <r>
      <rPr>
        <sz val="11"/>
        <color indexed="8"/>
        <rFont val="Calibri"/>
        <family val="2"/>
        <scheme val="minor"/>
      </rPr>
      <t xml:space="preserve"> - If unit maintains separate funds please combine all water, sewer,</t>
    </r>
  </si>
  <si>
    <r>
      <t xml:space="preserve">and wastewater funds into one activity for purposes of this worksheet.  </t>
    </r>
    <r>
      <rPr>
        <b/>
        <sz val="11"/>
        <color indexed="8"/>
        <rFont val="Calibri"/>
        <family val="2"/>
        <scheme val="minor"/>
      </rPr>
      <t>Exclude stormwater funds</t>
    </r>
    <r>
      <rPr>
        <sz val="11"/>
        <color indexed="8"/>
        <rFont val="Calibri"/>
        <family val="2"/>
        <scheme val="minor"/>
      </rPr>
      <t xml:space="preserve">.  Only fill out this section if </t>
    </r>
  </si>
  <si>
    <r>
      <t xml:space="preserve">Water Sewer </t>
    </r>
    <r>
      <rPr>
        <sz val="11"/>
        <color indexed="8"/>
        <rFont val="Calibri"/>
        <family val="2"/>
        <scheme val="minor"/>
      </rPr>
      <t>Cash Flow Statement</t>
    </r>
  </si>
  <si>
    <r>
      <rPr>
        <u/>
        <sz val="11"/>
        <color indexed="8"/>
        <rFont val="Calibri"/>
        <family val="2"/>
        <scheme val="minor"/>
      </rPr>
      <t xml:space="preserve">Total 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</si>
  <si>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</si>
  <si>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Principal paid on long-term debt</t>
    </r>
    <r>
      <rPr>
        <sz val="11"/>
        <color theme="1"/>
        <rFont val="Calibri"/>
        <family val="2"/>
        <scheme val="minor"/>
      </rPr>
      <t xml:space="preserve">.  </t>
    </r>
    <r>
      <rPr>
        <sz val="11"/>
        <color indexed="60"/>
        <rFont val="Calibri"/>
        <family val="2"/>
        <scheme val="minor"/>
      </rPr>
      <t>Amount should be reduced by principal payments for debt refunding.</t>
    </r>
  </si>
  <si>
    <r>
      <t xml:space="preserve">Electric Fund </t>
    </r>
    <r>
      <rPr>
        <sz val="11"/>
        <color indexed="8"/>
        <rFont val="Calibri"/>
        <family val="2"/>
        <scheme val="minor"/>
      </rPr>
      <t>Cash Flow Statement</t>
    </r>
  </si>
  <si>
    <r>
      <rPr>
        <u/>
        <sz val="11"/>
        <color indexed="8"/>
        <rFont val="Calibri"/>
        <family val="2"/>
        <scheme val="minor"/>
      </rPr>
      <t xml:space="preserve">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</si>
  <si>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</si>
  <si>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rPr>
        <u/>
        <sz val="11"/>
        <color indexed="8"/>
        <rFont val="Calibri"/>
        <family val="2"/>
        <scheme val="minor"/>
      </rPr>
      <t>Cash and investments</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unrestricted and restricted.  
                   cash and investments held 
                   by a third party</t>
    </r>
  </si>
  <si>
    <r>
      <rPr>
        <u/>
        <sz val="11"/>
        <color indexed="8"/>
        <rFont val="Calibri"/>
        <family val="2"/>
        <scheme val="minor"/>
      </rPr>
      <t>Cash and Investment</t>
    </r>
    <r>
      <rPr>
        <sz val="11"/>
        <color indexed="8"/>
        <rFont val="Calibri"/>
        <family val="2"/>
        <scheme val="minor"/>
      </rPr>
      <t xml:space="preserve"> - </t>
    </r>
    <r>
      <rPr>
        <sz val="11"/>
        <color indexed="60"/>
        <rFont val="Calibri"/>
        <family val="2"/>
        <scheme val="minor"/>
      </rPr>
      <t>Please list the book value of any unspent debt proceeds (bonds, installment, etc.) in any funds as of June 30.  This information may be on the face of your statements or in the notes</t>
    </r>
  </si>
  <si>
    <r>
      <t xml:space="preserve">Total Assets </t>
    </r>
    <r>
      <rPr>
        <b/>
        <sz val="11"/>
        <color indexed="8"/>
        <rFont val="Calibri"/>
        <family val="2"/>
        <scheme val="minor"/>
      </rPr>
      <t>being depreciated</t>
    </r>
    <r>
      <rPr>
        <sz val="11"/>
        <color theme="1"/>
        <rFont val="Calibri"/>
        <family val="2"/>
        <scheme val="minor"/>
      </rPr>
      <t xml:space="preserve"> for Governmental Activities:</t>
    </r>
  </si>
  <si>
    <r>
      <rPr>
        <u/>
        <sz val="11"/>
        <color indexed="8"/>
        <rFont val="Calibri"/>
        <family val="2"/>
        <scheme val="minor"/>
      </rPr>
      <t>Gross value.</t>
    </r>
    <r>
      <rPr>
        <sz val="11"/>
        <color theme="1"/>
        <rFont val="Calibri"/>
        <family val="2"/>
        <scheme val="minor"/>
      </rPr>
      <t xml:space="preserve"> </t>
    </r>
    <r>
      <rPr>
        <b/>
        <sz val="11"/>
        <color indexed="8"/>
        <rFont val="Calibri"/>
        <family val="2"/>
        <scheme val="minor"/>
      </rPr>
      <t xml:space="preserve"> 
Exclude</t>
    </r>
    <r>
      <rPr>
        <sz val="11"/>
        <color theme="1"/>
        <rFont val="Calibri"/>
        <family val="2"/>
        <scheme val="minor"/>
      </rPr>
      <t xml:space="preserve"> non-depreciable.</t>
    </r>
  </si>
  <si>
    <r>
      <t xml:space="preserve">Assets </t>
    </r>
    <r>
      <rPr>
        <b/>
        <sz val="11"/>
        <color indexed="8"/>
        <rFont val="Calibri"/>
        <family val="2"/>
        <scheme val="minor"/>
      </rPr>
      <t>not being depreciated</t>
    </r>
    <r>
      <rPr>
        <sz val="11"/>
        <color theme="1"/>
        <rFont val="Calibri"/>
        <family val="2"/>
        <scheme val="minor"/>
      </rPr>
      <t xml:space="preserve"> for Water and Sewer Activities:</t>
    </r>
  </si>
  <si>
    <r>
      <rPr>
        <u/>
        <sz val="11"/>
        <color indexed="8"/>
        <rFont val="Calibri"/>
        <family val="2"/>
        <scheme val="minor"/>
      </rPr>
      <t>Land and all other non depreciable capital assets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construction in progress</t>
    </r>
  </si>
  <si>
    <r>
      <t>Total Assets not being depreciated for</t>
    </r>
    <r>
      <rPr>
        <b/>
        <u/>
        <sz val="11"/>
        <color indexed="8"/>
        <rFont val="Calibri"/>
        <family val="2"/>
        <scheme val="minor"/>
      </rPr>
      <t xml:space="preserve"> Water and Sewer</t>
    </r>
    <r>
      <rPr>
        <u/>
        <sz val="11"/>
        <color indexed="8"/>
        <rFont val="Calibri"/>
        <family val="2"/>
        <scheme val="minor"/>
      </rPr>
      <t xml:space="preserve"> Activities</t>
    </r>
  </si>
  <si>
    <r>
      <t xml:space="preserve">Assets </t>
    </r>
    <r>
      <rPr>
        <b/>
        <sz val="11"/>
        <color indexed="8"/>
        <rFont val="Calibri"/>
        <family val="2"/>
        <scheme val="minor"/>
      </rPr>
      <t>being depreciated</t>
    </r>
    <r>
      <rPr>
        <sz val="11"/>
        <color theme="1"/>
        <rFont val="Calibri"/>
        <family val="2"/>
        <scheme val="minor"/>
      </rPr>
      <t xml:space="preserve"> for Water and Sewer Activities:</t>
    </r>
  </si>
  <si>
    <r>
      <t xml:space="preserve">Total Gross Value Assets </t>
    </r>
    <r>
      <rPr>
        <b/>
        <sz val="11"/>
        <color indexed="8"/>
        <rFont val="Calibri"/>
        <family val="2"/>
        <scheme val="minor"/>
      </rPr>
      <t>being depreciated</t>
    </r>
    <r>
      <rPr>
        <sz val="11"/>
        <color theme="1"/>
        <rFont val="Calibri"/>
        <family val="2"/>
        <scheme val="minor"/>
      </rPr>
      <t xml:space="preserve"> for Water and Sewer Activities</t>
    </r>
  </si>
  <si>
    <r>
      <t xml:space="preserve">Total Assets Gross value </t>
    </r>
    <r>
      <rPr>
        <b/>
        <u/>
        <sz val="11"/>
        <color indexed="8"/>
        <rFont val="Calibri"/>
        <family val="2"/>
        <scheme val="minor"/>
      </rPr>
      <t>not being depreciated</t>
    </r>
    <r>
      <rPr>
        <u/>
        <sz val="11"/>
        <color indexed="8"/>
        <rFont val="Calibri"/>
        <family val="2"/>
        <scheme val="minor"/>
      </rPr>
      <t xml:space="preserve"> for Electric Fund</t>
    </r>
  </si>
  <si>
    <r>
      <t xml:space="preserve">Long-Term Liability Note - </t>
    </r>
    <r>
      <rPr>
        <b/>
        <sz val="11"/>
        <color indexed="8"/>
        <rFont val="Calibri"/>
        <family val="2"/>
        <scheme val="minor"/>
      </rPr>
      <t>Governmental Activities</t>
    </r>
  </si>
  <si>
    <r>
      <rPr>
        <u/>
        <sz val="11"/>
        <color indexed="8"/>
        <rFont val="Calibri"/>
        <family val="2"/>
        <scheme val="minor"/>
      </rPr>
      <t xml:space="preserve">Decreases made (principal paid) on Long-Term Debt in current fiscal year.  Reduce for </t>
    </r>
    <r>
      <rPr>
        <b/>
        <u/>
        <sz val="11"/>
        <color indexed="8"/>
        <rFont val="Calibri"/>
        <family val="2"/>
        <scheme val="minor"/>
      </rPr>
      <t>debt refunding</t>
    </r>
    <r>
      <rPr>
        <u/>
        <sz val="11"/>
        <color indexed="8"/>
        <rFont val="Calibri"/>
        <family val="2"/>
        <scheme val="minor"/>
      </rPr>
      <t>.</t>
    </r>
  </si>
  <si>
    <r>
      <t xml:space="preserve">Long-Term Liability Note - </t>
    </r>
    <r>
      <rPr>
        <b/>
        <sz val="11"/>
        <color indexed="8"/>
        <rFont val="Calibri"/>
        <family val="2"/>
        <scheme val="minor"/>
      </rPr>
      <t>Water Sewer Activities</t>
    </r>
  </si>
  <si>
    <r>
      <t>Long-Term Liability Note -</t>
    </r>
    <r>
      <rPr>
        <b/>
        <sz val="11"/>
        <color indexed="8"/>
        <rFont val="Calibri"/>
        <family val="2"/>
        <scheme val="minor"/>
      </rPr>
      <t xml:space="preserve"> Electric Activities</t>
    </r>
  </si>
  <si>
    <r>
      <rPr>
        <u/>
        <sz val="11"/>
        <color indexed="8"/>
        <rFont val="Calibri"/>
        <family val="2"/>
        <scheme val="minor"/>
      </rPr>
      <t>Amount of Transfers from the General Fund to the Debt Service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</si>
  <si>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General Fund to the Electric Fund</t>
    </r>
    <r>
      <rPr>
        <sz val="11"/>
        <color theme="1"/>
        <rFont val="Calibri"/>
        <family val="2"/>
        <scheme val="minor"/>
      </rPr>
      <t xml:space="preserve">  </t>
    </r>
    <r>
      <rPr>
        <sz val="11"/>
        <color indexed="60"/>
        <rFont val="Calibri"/>
        <family val="2"/>
        <scheme val="minor"/>
      </rPr>
      <t>(Enter as positive)</t>
    </r>
  </si>
  <si>
    <r>
      <rPr>
        <u/>
        <sz val="11"/>
        <color indexed="8"/>
        <rFont val="Calibri"/>
        <family val="2"/>
        <scheme val="minor"/>
      </rPr>
      <t>Amount of Transfers from the Electric Fund to the General Fund</t>
    </r>
    <r>
      <rPr>
        <sz val="11"/>
        <color theme="1"/>
        <rFont val="Calibri"/>
        <family val="2"/>
        <scheme val="minor"/>
      </rPr>
      <t xml:space="preserve">  </t>
    </r>
    <r>
      <rPr>
        <sz val="11"/>
        <color indexed="60"/>
        <rFont val="Calibri"/>
        <family val="2"/>
        <scheme val="minor"/>
      </rPr>
      <t xml:space="preserve">(Enter as positive)
</t>
    </r>
    <r>
      <rPr>
        <b/>
        <sz val="11"/>
        <rFont val="Calibri"/>
        <family val="2"/>
        <scheme val="minor"/>
      </rPr>
      <t>Include</t>
    </r>
    <r>
      <rPr>
        <sz val="11"/>
        <rFont val="Calibri"/>
        <family val="2"/>
        <scheme val="minor"/>
      </rPr>
      <t>:  Payment in Lieu of Taxes (PILOT)</t>
    </r>
  </si>
  <si>
    <r>
      <rPr>
        <u/>
        <sz val="11"/>
        <color indexed="8"/>
        <rFont val="Calibri"/>
        <family val="2"/>
        <scheme val="minor"/>
      </rPr>
      <t>General Fund -  Total Encumbrances.</t>
    </r>
    <r>
      <rPr>
        <sz val="11"/>
        <color theme="1"/>
        <rFont val="Calibri"/>
        <family val="2"/>
        <scheme val="minor"/>
      </rPr>
      <t xml:space="preserve">  </t>
    </r>
    <r>
      <rPr>
        <sz val="11"/>
        <color indexed="60"/>
        <rFont val="Calibri"/>
        <family val="2"/>
        <scheme val="minor"/>
      </rPr>
      <t>You will probably have to refer to the note disclosure where the amount of encumbrances is listed.</t>
    </r>
  </si>
  <si>
    <r>
      <rPr>
        <b/>
        <sz val="11"/>
        <color indexed="8"/>
        <rFont val="Calibri"/>
        <family val="2"/>
        <scheme val="minor"/>
      </rPr>
      <t>Water Sewer</t>
    </r>
    <r>
      <rPr>
        <sz val="11"/>
        <color indexed="8"/>
        <rFont val="Calibri"/>
        <family val="2"/>
        <scheme val="minor"/>
      </rPr>
      <t xml:space="preserve"> - Budget Actual Statement</t>
    </r>
  </si>
  <si>
    <r>
      <rPr>
        <u/>
        <sz val="11"/>
        <color indexed="8"/>
        <rFont val="Calibri"/>
        <family val="2"/>
        <scheme val="minor"/>
      </rPr>
      <t xml:space="preserve">Amount of Water Sewer revenues and other financing sources over expenditures and other uses
</t>
    </r>
    <r>
      <rPr>
        <b/>
        <u/>
        <sz val="11"/>
        <color indexed="8"/>
        <rFont val="Calibri"/>
        <family val="2"/>
        <scheme val="minor"/>
      </rPr>
      <t xml:space="preserve">Exclude:  All transfers and capital contributions
Exclude:  Capital Project funds
</t>
    </r>
    <r>
      <rPr>
        <sz val="11"/>
        <color indexed="60"/>
        <rFont val="Calibri"/>
        <family val="2"/>
        <scheme val="minor"/>
      </rPr>
      <t>This schedule is usually found behind the notes and should be entered as a positive or negative as indicated on your audit report</t>
    </r>
  </si>
  <si>
    <r>
      <rPr>
        <b/>
        <sz val="11"/>
        <color indexed="8"/>
        <rFont val="Calibri"/>
        <family val="2"/>
        <scheme val="minor"/>
      </rPr>
      <t>Water Sewer</t>
    </r>
    <r>
      <rPr>
        <sz val="11"/>
        <color indexed="8"/>
        <rFont val="Calibri"/>
        <family val="2"/>
        <scheme val="minor"/>
      </rPr>
      <t xml:space="preserve"> - Disclosed in the Notes or in the recently approved Budget for next year.</t>
    </r>
  </si>
  <si>
    <r>
      <t xml:space="preserve">Analysis of Current Tax Levy Schedule - Unit-Wide - </t>
    </r>
    <r>
      <rPr>
        <b/>
        <sz val="11"/>
        <color indexed="60"/>
        <rFont val="Calibri"/>
        <family val="2"/>
        <scheme val="minor"/>
      </rPr>
      <t xml:space="preserve">Pull percentages from this LGC-required schedule, </t>
    </r>
  </si>
  <si>
    <r>
      <rPr>
        <u/>
        <sz val="11"/>
        <rFont val="Calibri"/>
        <family val="2"/>
        <scheme val="minor"/>
      </rPr>
      <t>Please enter the Net Current year's levy -- Motor vehicles</t>
    </r>
    <r>
      <rPr>
        <sz val="11"/>
        <rFont val="Calibri"/>
        <family val="2"/>
        <scheme val="minor"/>
      </rPr>
      <t xml:space="preserve"> (only) </t>
    </r>
    <r>
      <rPr>
        <sz val="11"/>
        <color indexed="60"/>
        <rFont val="Calibri"/>
        <family val="2"/>
        <scheme val="minor"/>
      </rPr>
      <t xml:space="preserve">(after adjusting for discoveries and abatements)
</t>
    </r>
    <r>
      <rPr>
        <b/>
        <sz val="11"/>
        <color indexed="8"/>
        <rFont val="Calibri"/>
        <family val="2"/>
        <scheme val="minor"/>
      </rPr>
      <t xml:space="preserve">Exclude </t>
    </r>
    <r>
      <rPr>
        <sz val="11"/>
        <color indexed="8"/>
        <rFont val="Calibri"/>
        <family val="2"/>
        <scheme val="minor"/>
      </rPr>
      <t>supplemental taxes</t>
    </r>
  </si>
  <si>
    <r>
      <t xml:space="preserve">Uncollected Taxes - Curr Year's Levy Exclude Motor Vehicles
</t>
    </r>
    <r>
      <rPr>
        <b/>
        <sz val="11"/>
        <rFont val="Calibri"/>
        <family val="2"/>
        <scheme val="minor"/>
      </rPr>
      <t>Exclude</t>
    </r>
    <r>
      <rPr>
        <sz val="11"/>
        <rFont val="Calibri"/>
        <family val="2"/>
        <scheme val="minor"/>
      </rPr>
      <t xml:space="preserve"> supplemental taxes</t>
    </r>
  </si>
  <si>
    <r>
      <t xml:space="preserve">Uncollected Taxes - Curr Year's Levy Motor Vehicles
</t>
    </r>
    <r>
      <rPr>
        <b/>
        <sz val="11"/>
        <rFont val="Calibri"/>
        <family val="2"/>
        <scheme val="minor"/>
      </rPr>
      <t>Exclude</t>
    </r>
    <r>
      <rPr>
        <sz val="11"/>
        <rFont val="Calibri"/>
        <family val="2"/>
        <scheme val="minor"/>
      </rPr>
      <t xml:space="preserve"> supplemental taxes</t>
    </r>
  </si>
  <si>
    <r>
      <t xml:space="preserve">Tax collection rate- Total Levy UNIT-WIDE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</si>
  <si>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rFont val="Calibri"/>
        <family val="2"/>
        <scheme val="minor"/>
      </rPr>
      <t>Tax collection rate - Excluding Registered motor vehicles</t>
    </r>
    <r>
      <rPr>
        <u/>
        <sz val="11"/>
        <color indexed="60"/>
        <rFont val="Calibri"/>
        <family val="2"/>
        <scheme val="minor"/>
      </rPr>
      <t xml:space="preserve">
</t>
    </r>
    <r>
      <rPr>
        <b/>
        <sz val="11"/>
        <rFont val="Calibri"/>
        <family val="2"/>
        <scheme val="minor"/>
      </rPr>
      <t>Exclude</t>
    </r>
    <r>
      <rPr>
        <sz val="11"/>
        <rFont val="Calibri"/>
        <family val="2"/>
        <scheme val="minor"/>
      </rPr>
      <t xml:space="preserve"> supplemental taxes</t>
    </r>
    <r>
      <rPr>
        <sz val="11"/>
        <color indexed="60"/>
        <rFont val="Calibri"/>
        <family val="2"/>
        <scheme val="minor"/>
      </rPr>
      <t xml:space="preserve">
(Enter as a percentage with two decimal places)</t>
    </r>
  </si>
  <si>
    <r>
      <t xml:space="preserve">Tax collection rate - Registered motor vehicles
</t>
    </r>
    <r>
      <rPr>
        <b/>
        <sz val="11"/>
        <color indexed="8"/>
        <rFont val="Calibri"/>
        <family val="2"/>
        <scheme val="minor"/>
      </rPr>
      <t>Exclude</t>
    </r>
    <r>
      <rPr>
        <sz val="11"/>
        <color theme="1"/>
        <rFont val="Calibri"/>
        <family val="2"/>
        <scheme val="minor"/>
      </rPr>
      <t xml:space="preserve"> supplemental taxes
</t>
    </r>
    <r>
      <rPr>
        <sz val="11"/>
        <color indexed="60"/>
        <rFont val="Calibri"/>
        <family val="2"/>
        <scheme val="minor"/>
      </rPr>
      <t>(Enter as a percentage with two decimal places)</t>
    </r>
  </si>
  <si>
    <r>
      <rPr>
        <u/>
        <sz val="11"/>
        <color indexed="8"/>
        <rFont val="Calibri"/>
        <family val="2"/>
        <scheme val="minor"/>
      </rPr>
      <t>Property Tax Increase for Year Audited</t>
    </r>
    <r>
      <rPr>
        <sz val="11"/>
        <color theme="1"/>
        <rFont val="Calibri"/>
        <family val="2"/>
        <scheme val="minor"/>
      </rPr>
      <t xml:space="preserve">- </t>
    </r>
    <r>
      <rPr>
        <sz val="11"/>
        <color indexed="60"/>
        <rFont val="Calibri"/>
        <family val="2"/>
        <scheme val="minor"/>
      </rPr>
      <t xml:space="preserve">enter amount of  increase in cents per $100 - leave blank if no increase 
</t>
    </r>
    <r>
      <rPr>
        <b/>
        <sz val="11"/>
        <color indexed="8"/>
        <rFont val="Calibri"/>
        <family val="2"/>
        <scheme val="minor"/>
      </rPr>
      <t>Exclude</t>
    </r>
    <r>
      <rPr>
        <sz val="11"/>
        <color indexed="8"/>
        <rFont val="Calibri"/>
        <family val="2"/>
        <scheme val="minor"/>
      </rPr>
      <t xml:space="preserve"> supplemental taxes</t>
    </r>
  </si>
  <si>
    <r>
      <rPr>
        <u/>
        <sz val="11"/>
        <color indexed="8"/>
        <rFont val="Calibri"/>
        <family val="2"/>
        <scheme val="minor"/>
      </rPr>
      <t>Property Tax Increase for budget year after fiscal year being reported</t>
    </r>
    <r>
      <rPr>
        <sz val="11"/>
        <color theme="1"/>
        <rFont val="Calibri"/>
        <family val="2"/>
        <scheme val="minor"/>
      </rPr>
      <t xml:space="preserve"> - </t>
    </r>
    <r>
      <rPr>
        <sz val="11"/>
        <color indexed="60"/>
        <rFont val="Calibri"/>
        <family val="2"/>
        <scheme val="minor"/>
      </rPr>
      <t xml:space="preserve">enter amount of increase in cents per $100- leave blank if no increase
</t>
    </r>
    <r>
      <rPr>
        <b/>
        <sz val="11"/>
        <color indexed="8"/>
        <rFont val="Calibri"/>
        <family val="2"/>
        <scheme val="minor"/>
      </rPr>
      <t>Exclude</t>
    </r>
    <r>
      <rPr>
        <sz val="11"/>
        <color indexed="8"/>
        <rFont val="Calibri"/>
        <family val="2"/>
        <scheme val="minor"/>
      </rPr>
      <t xml:space="preserve"> supplemental taxes</t>
    </r>
  </si>
  <si>
    <t>Mental Health Net Position - Unrestricted Net Position</t>
  </si>
  <si>
    <t>Messages</t>
  </si>
  <si>
    <r>
      <t xml:space="preserve">Amount of Ad valorem tax </t>
    </r>
    <r>
      <rPr>
        <b/>
        <sz val="14"/>
        <color theme="1"/>
        <rFont val="Calibri"/>
        <family val="2"/>
        <scheme val="minor"/>
      </rPr>
      <t>collected</t>
    </r>
    <r>
      <rPr>
        <sz val="11"/>
        <color theme="1"/>
        <rFont val="Calibri"/>
        <family val="2"/>
        <scheme val="minor"/>
      </rPr>
      <t xml:space="preserve"> (including motor vehicle and prior years) reported on budget actual statement</t>
    </r>
  </si>
  <si>
    <r>
      <t xml:space="preserve">Amount of Ad valorem tax </t>
    </r>
    <r>
      <rPr>
        <b/>
        <sz val="14"/>
        <color theme="1"/>
        <rFont val="Calibri"/>
        <family val="2"/>
        <scheme val="minor"/>
      </rPr>
      <t>budgeted</t>
    </r>
    <r>
      <rPr>
        <sz val="11"/>
        <color theme="1"/>
        <rFont val="Calibri"/>
        <family val="2"/>
        <scheme val="minor"/>
      </rPr>
      <t xml:space="preserve"> (including motor vehicle and prior years) reported on budget actual statement</t>
    </r>
  </si>
  <si>
    <r>
      <rPr>
        <u/>
        <sz val="11"/>
        <color indexed="8"/>
        <rFont val="Calibri"/>
        <family val="2"/>
        <scheme val="minor"/>
      </rPr>
      <t>Current liabilities</t>
    </r>
    <r>
      <rPr>
        <u/>
        <sz val="11"/>
        <color rgb="FFFF0000"/>
        <rFont val="Calibri"/>
        <family val="2"/>
        <scheme val="minor"/>
      </rPr>
      <t xml:space="preserve"> (as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positive</t>
    </r>
  </si>
  <si>
    <r>
      <t xml:space="preserve">Please enter any compensated absences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</si>
  <si>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t xml:space="preserve">Please enter any bond anticipation notes that are classified as current liabilities and included in account 633 above </t>
    </r>
    <r>
      <rPr>
        <sz val="11"/>
        <color theme="5" tint="-0.249977111117893"/>
        <rFont val="Calibri"/>
        <family val="2"/>
        <scheme val="minor"/>
      </rPr>
      <t xml:space="preserve">(amounts entered should agree to the current amount included in the changes to long-term debt note)
</t>
    </r>
    <r>
      <rPr>
        <sz val="11"/>
        <rFont val="Calibri"/>
        <family val="2"/>
        <scheme val="minor"/>
      </rPr>
      <t>Enter as positive</t>
    </r>
  </si>
  <si>
    <r>
      <t xml:space="preserve">Unearned revenue (arising from cash receipts) that were included in Current Liabilities in the question in account 633 above.
</t>
    </r>
    <r>
      <rPr>
        <sz val="11"/>
        <color theme="1"/>
        <rFont val="Calibri"/>
        <family val="2"/>
        <scheme val="minor"/>
      </rPr>
      <t xml:space="preserve">
Enter as positive</t>
    </r>
  </si>
  <si>
    <r>
      <t xml:space="preserve">Please enter any OPEB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</si>
  <si>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t>Please enter any current liabilities that are payable from restricted assets and included in account 633 above.
Enter as positive</t>
  </si>
  <si>
    <r>
      <t xml:space="preserve">Please enter any pension liabilities that are classified as current liabilities and included in account 633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positive</t>
    </r>
  </si>
  <si>
    <r>
      <rPr>
        <u/>
        <sz val="11"/>
        <color indexed="8"/>
        <rFont val="Calibri"/>
        <family val="2"/>
        <scheme val="minor"/>
      </rPr>
      <t xml:space="preserve">Current liabilities </t>
    </r>
    <r>
      <rPr>
        <u/>
        <sz val="11"/>
        <color rgb="FFFF0000"/>
        <rFont val="Calibri"/>
        <family val="2"/>
        <scheme val="minor"/>
      </rPr>
      <t>(as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a positive</t>
    </r>
  </si>
  <si>
    <r>
      <t xml:space="preserve">Please enter any bond anticipation notes that are classified as current liabilities and included in account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</si>
  <si>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r>
      <t xml:space="preserve">Please enter any compensated absences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</si>
  <si>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r>
      <t xml:space="preserve">Please enter any pension liabilities that are classified as current liabilities and included account in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</si>
  <si>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t>Please enter any current liabilities that are payable from restricted assets and included in account 639 above. 
Enter as a positive</t>
  </si>
  <si>
    <r>
      <t xml:space="preserve">Please enter any OPEB liabilities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</si>
  <si>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t>Unearned revenue (arising from cash receipts) that were included in Current Liabilities in account 639 above.
Enter as a positive</t>
  </si>
  <si>
    <t>If you answered "yes" to question #988 above, will you have the closure/postclosure cost fully funded by the date of closure?  Select "1" for Yes,  "2" for No, or "3" for N/A.</t>
  </si>
  <si>
    <t>Leave blank if data not available</t>
  </si>
  <si>
    <t>Debt Service Fund Balance</t>
  </si>
  <si>
    <t>Did unit have problems with debt service payments being late, debt restructured or not meeting bond covenants</t>
  </si>
  <si>
    <t>If you answered "yes" to question CCH #988 above, will you have the closure/postclosure cost fully funded by the date of closure</t>
  </si>
  <si>
    <t>Greater than 16% (2 months)</t>
  </si>
  <si>
    <t>Unit Data from Audit worksheet tab :  CCH acct # 986 is greater than (CCH 85+CCH 351)*.03</t>
  </si>
  <si>
    <r>
      <rPr>
        <b/>
        <sz val="11"/>
        <color theme="1"/>
        <rFont val="Calibri"/>
        <family val="2"/>
        <scheme val="minor"/>
      </rPr>
      <t>Water and Sewer Operations</t>
    </r>
    <r>
      <rPr>
        <sz val="11"/>
        <color theme="1"/>
        <rFont val="Calibri"/>
        <family val="2"/>
        <scheme val="minor"/>
      </rPr>
      <t xml:space="preserve">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r>
  </si>
  <si>
    <t>Select Unit Name from Drop Down List</t>
  </si>
  <si>
    <t>Section 1: Data Collection NOTE:  the data submitted below may be used in various published reports</t>
  </si>
  <si>
    <t>Aulander</t>
  </si>
  <si>
    <t>Ayden</t>
  </si>
  <si>
    <t>Bailey</t>
  </si>
  <si>
    <t>Belmont</t>
  </si>
  <si>
    <t>Bunn</t>
  </si>
  <si>
    <t>Casar</t>
  </si>
  <si>
    <t>Chocowinity</t>
  </si>
  <si>
    <t>Clarkton</t>
  </si>
  <si>
    <t>Cofield</t>
  </si>
  <si>
    <t>Conetoe</t>
  </si>
  <si>
    <t>Creswell</t>
  </si>
  <si>
    <t>Dallas</t>
  </si>
  <si>
    <t>Elizabeth City</t>
  </si>
  <si>
    <t>Erwin</t>
  </si>
  <si>
    <t>Eureka</t>
  </si>
  <si>
    <t>Gibson</t>
  </si>
  <si>
    <t>Green Level</t>
  </si>
  <si>
    <t>Hassell</t>
  </si>
  <si>
    <t>Haw River</t>
  </si>
  <si>
    <t>Hertford</t>
  </si>
  <si>
    <t>Micro</t>
  </si>
  <si>
    <t>Middleburg</t>
  </si>
  <si>
    <t>Mint Hill</t>
  </si>
  <si>
    <t>Mount Holly</t>
  </si>
  <si>
    <t>Plymouth</t>
  </si>
  <si>
    <t>Richfield</t>
  </si>
  <si>
    <t>Roseboro</t>
  </si>
  <si>
    <t>Rosman</t>
  </si>
  <si>
    <t>Rowland</t>
  </si>
  <si>
    <t>Roxboro</t>
  </si>
  <si>
    <t>Ruth</t>
  </si>
  <si>
    <t>Siler City</t>
  </si>
  <si>
    <t>Stanley</t>
  </si>
  <si>
    <t>Stonewall</t>
  </si>
  <si>
    <t>Tabor City</t>
  </si>
  <si>
    <t>Teachey</t>
  </si>
  <si>
    <t>Waco</t>
  </si>
  <si>
    <t>Walnut Creek</t>
  </si>
  <si>
    <t>Warrenton</t>
  </si>
  <si>
    <t>White Lake</t>
  </si>
  <si>
    <t>Winton</t>
  </si>
  <si>
    <t>Yanceyville</t>
  </si>
  <si>
    <t>Caswell County</t>
  </si>
  <si>
    <t>Cherokee County</t>
  </si>
  <si>
    <t>Columbus County</t>
  </si>
  <si>
    <t>Martin County</t>
  </si>
  <si>
    <t>Bay River Metropolitan Sewer District</t>
  </si>
  <si>
    <t>Swan Quarter Sanitary District</t>
  </si>
  <si>
    <t>GENERAL FUND:</t>
  </si>
  <si>
    <t>Unit Results</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</si>
  <si>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water and/or sewer system may not be sustainable.</t>
  </si>
  <si>
    <t>Greater than zero</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</si>
  <si>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electric system may not be sustainable.</t>
  </si>
  <si>
    <t>GENERAL PERFORMANCE INDICATORS:</t>
  </si>
  <si>
    <t>Target</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</si>
  <si>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</si>
  <si>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Any estimated decrease</t>
  </si>
  <si>
    <t>You indicated that you expect a decrease in property value for your next property revaluation which could result in lost tax revenue.</t>
  </si>
  <si>
    <t>Please indicate if you expect your revaluation to increase, decrease, or no change.  If you are not listed please select N/A</t>
  </si>
  <si>
    <t>I</t>
  </si>
  <si>
    <t>Do you operate a landfill that will be closing  or have a significant portion closing within the next 5 years</t>
  </si>
  <si>
    <t>Please have the completed audit report available to complete this form.  ALL questions must be answered before submitting to the portal.</t>
  </si>
  <si>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 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</si>
  <si>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</si>
  <si>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</si>
  <si>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</si>
  <si>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</si>
  <si>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</si>
  <si>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</si>
  <si>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</si>
  <si>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</si>
  <si>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</si>
  <si>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</si>
  <si>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We cannot complete our review process when "protection" is placed on the submitted documents.</t>
  </si>
  <si>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</si>
  <si>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</si>
  <si>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t>Agrees</t>
  </si>
  <si>
    <t>from 2021 control Sheet</t>
  </si>
  <si>
    <t>from collection tab</t>
  </si>
  <si>
    <t>Intergovernmental Data Code</t>
  </si>
  <si>
    <t>Comb-Proprietary-Current Assets less restricted assets and deferred outflows</t>
  </si>
  <si>
    <t>C-EF- Current liabilities (Inc. Def Rev, Excl. BANs &amp; Comp Abs)</t>
  </si>
  <si>
    <t>Combined Total of all Proprietary Funds - Change in Net Position</t>
  </si>
  <si>
    <t>Combined Totals of all Proprietary Funds - Depreciation &amp; Amortization Expense</t>
  </si>
  <si>
    <t>Hospital-EF- Unrestricted Cash &amp; Invest</t>
  </si>
  <si>
    <t>Hospital/MH -EF - Patient A/Rec, net</t>
  </si>
  <si>
    <t>Hospital/MH -EF- Total Gross Capital Assets (BS), w/o acc. dep.</t>
  </si>
  <si>
    <t>Hospital-EF- Total LT Debt (non current portion only) (BS)</t>
  </si>
  <si>
    <t>Hospital-EF- Unrestricted Fund Equity/Net Position</t>
  </si>
  <si>
    <t>Hospital-EF- Principal Paid on LTD (SCF)</t>
  </si>
  <si>
    <t>Hospital-EF- Net Patient Revenue (IS)</t>
  </si>
  <si>
    <t>Hospital-EF- Interest expenses (IS)</t>
  </si>
  <si>
    <t>WS - Total Current Assets</t>
  </si>
  <si>
    <t>WS - Select Current Liabilities</t>
  </si>
  <si>
    <t>Electric - Total Current Assets</t>
  </si>
  <si>
    <t>Hospital-EF- Capital Outlays</t>
  </si>
  <si>
    <t>Hospital/MH -EF - Total Operating Revenues</t>
  </si>
  <si>
    <t>Hospital/MH -EF- Total Operating Expenses. May include Interest Exp.</t>
  </si>
  <si>
    <t>Counties Only- Local Current Expense to BOEs</t>
  </si>
  <si>
    <t>Counties Only- Capital Outlay Contribution to BOEs</t>
  </si>
  <si>
    <t>BOE Only-- Local Current Exp. Revenue from County.</t>
  </si>
  <si>
    <t>BOE- Only-- Capital outlay revenue from county (GF, SRF, CPF)</t>
  </si>
  <si>
    <t>Hospital-EF- Capital contributions (only positive)</t>
  </si>
  <si>
    <t>Hospital-EF- Change in Net Position</t>
  </si>
  <si>
    <t>WS Cap Asset - Land &amp; other Non-Construction</t>
  </si>
  <si>
    <t>Gov - Select Current Liabilities</t>
  </si>
  <si>
    <t>GA- Total General revenues (No transfers, special, extraordinary items)(SOA)</t>
  </si>
  <si>
    <t>WS - Total Non-Operating Revenues-exclude capital contrib.</t>
  </si>
  <si>
    <t>Electric - Total Transfers Out (to all funds)</t>
  </si>
  <si>
    <t>Gen Fund - Any Adj. to Beginning Net Position</t>
  </si>
  <si>
    <t>Gen Fund - Total Expenditures</t>
  </si>
  <si>
    <t>Gen Fund - Proceeds from LTD</t>
  </si>
  <si>
    <t>Comb-Proprietary Funds- Inventories &amp; Prepaids in Curr Assets</t>
  </si>
  <si>
    <t>Amount of the Water Sewer Fund Balance appropriated in next year's budget</t>
  </si>
  <si>
    <t>Supplemental School Tax</t>
  </si>
  <si>
    <t>OPEB
1-implicit rate only
2-no benefit
3-benfit
4- state health plan</t>
  </si>
  <si>
    <t>MH Enterprise Fund Non GAAP - Unrestricted Cash &amp; Investments</t>
  </si>
  <si>
    <t>MH Enterprise Fund Non GAAP - Restricted Cash &amp; Investments</t>
  </si>
  <si>
    <t>MH Enterprise Fund Non GAAP- Current  Liabilities</t>
  </si>
  <si>
    <t>MH Enterprise Fund Non GAAP - deferred inflows derived from Cash Receipts</t>
  </si>
  <si>
    <t>MH Enterprise Fund Non GAAP - Encumbrances</t>
  </si>
  <si>
    <t>MH Enterprise Fund Non GAAP - Liabilities from Restricted Assets</t>
  </si>
  <si>
    <t>MH Enterprise Fund Non GAAP - Total Expenditures</t>
  </si>
  <si>
    <t>MH Enterprise Fund Non GAAP - Negative debt refund</t>
  </si>
  <si>
    <t>MH Enterprise Fund Non GAAP - Positive debt refund</t>
  </si>
  <si>
    <t>MH Enterprise Fund Non GAAP - Transfers Out</t>
  </si>
  <si>
    <t>MH- Proceeds from LTD</t>
  </si>
  <si>
    <t>MH Enterprise Fund P &amp; I Due next year</t>
  </si>
  <si>
    <t>Yes  or "1" indicates unit has defined benefit other than the ones adm. By the state</t>
  </si>
  <si>
    <t>WS-Advance From - Liability</t>
  </si>
  <si>
    <t>WS-Advance To - Asset</t>
  </si>
  <si>
    <t>Electric-Advance From - Liability</t>
  </si>
  <si>
    <t>Electric-Advance To - Asset</t>
  </si>
  <si>
    <t>County only-timber receipts sent to the schools</t>
  </si>
  <si>
    <t>GF - Advance to</t>
  </si>
  <si>
    <t>Local Curr Exp trx to Fund 8</t>
  </si>
  <si>
    <t>Capital Outlay trx to Fund 8</t>
  </si>
  <si>
    <t>County-supplemental school tax reported in Agency fund</t>
  </si>
  <si>
    <t>Business Type - Total Transfers In</t>
  </si>
  <si>
    <t>Business Type - Total Transfers Out</t>
  </si>
  <si>
    <t>Compliance opinion - enter "1" for clean Opinion or "2" for other than clean opinion</t>
  </si>
  <si>
    <t>LEO - plan's fiduary net position as a % of total pension liability</t>
  </si>
  <si>
    <t>Do you expect to issue debt requiring LGC approval within 12 months from the date that the audit is submitted - select "1" for year and "2" for no</t>
  </si>
  <si>
    <t>IMPORT TAB ONLY - OPEB - If a unit is an employer participant in the State's RHBF (Retiree Health Benefit Fund) then only the Net OPEB liability is available and should be put in the reviewer correction field, column D.  It should be the total amount of t</t>
  </si>
  <si>
    <t>Unit's Share of Net Pension Liability ($s)
- unit of government is a participating employer in the State's TSERS (Teachers' and State Employees' Retirement System) or the LGERS (Local Governmental Employees' Retirement System).</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</si>
  <si>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</si>
  <si>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</si>
  <si>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</si>
  <si>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</si>
  <si>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</si>
  <si>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</si>
  <si>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GW-Current Liabilities - closure/Postclosure</t>
  </si>
  <si>
    <t>Debt Service Funds Total Fund Balance</t>
  </si>
  <si>
    <t>WS-Any current assets that are restricted (Cash, Accounts Rec., ect.)</t>
  </si>
  <si>
    <t>Electric-Total Current Assets as presented on the Statement of Net Position</t>
  </si>
  <si>
    <t>Electric-Any current assets that are restricted (Cash, Accounts Rec., ect.)</t>
  </si>
  <si>
    <t>OPEB- Total OPEB liability</t>
  </si>
  <si>
    <t>OPEB-OPEB plan fiduciary net position</t>
  </si>
  <si>
    <t>Single Audit Only - Other CARES Act /Coronavirus funding</t>
  </si>
  <si>
    <t>TD-Was a Unmodified Audit Opinion issued?</t>
  </si>
  <si>
    <t>TD-Was there a finding for lack of segregation of duties at this unit?</t>
  </si>
  <si>
    <t>First name of finance officer or interim finance officer (please enter GÇ£vacantGÇ¥ for first or last name if the position is currently vacant)</t>
  </si>
  <si>
    <t>Amy</t>
  </si>
  <si>
    <t>Susan</t>
  </si>
  <si>
    <t>Last name of finance officer or interim finance officer (please enter GÇ£vacantGÇ¥ for first or last name if the position is currently vacant)</t>
  </si>
  <si>
    <t>Is the finance officer serving in a permanent role or an interim role? (permanent/interim/vacant)</t>
  </si>
  <si>
    <t>Has the finance officer been formally appointed by the local government, public authority, or designated official?  (Y/N)</t>
  </si>
  <si>
    <t>TD-Is there a finding for lack of technical skills, knowledge and experience (SKE) at this unit?</t>
  </si>
  <si>
    <t>Date on which the local government, public authority, or designated official appointed the finance officer? (If the date of appointment by the board is difficult to find you may enter January 1 and the year)</t>
  </si>
  <si>
    <t>1/1/2021</t>
  </si>
  <si>
    <t>1/1/2020</t>
  </si>
  <si>
    <t>TD-Is there is a going concern finding noted in the audit report?</t>
  </si>
  <si>
    <t>TD-Number of significant deficiency findings (other than in Questions 10-13 )</t>
  </si>
  <si>
    <t>TD-Number of material weaknesses findings (other than in Questions 10-13)</t>
  </si>
  <si>
    <t>Has the finance officer or interim finance officer submitted (or has ensured the submission of) all required and applicable reports, including but not limited to, the annual audit report (N.C.G.S. 159-34), the semi-annual report on cash and investments (GÇ£</t>
  </si>
  <si>
    <t>TD-Did unit have their debt service payments restructured in this fiscal year? (does not include refinancings designed to take advantage of lower interest rates)</t>
  </si>
  <si>
    <t>Name of Official who signed the Data Input Worksheet</t>
  </si>
  <si>
    <t>Title of Official who signed the Data input Worksheet</t>
  </si>
  <si>
    <t>Finance Director</t>
  </si>
  <si>
    <t>Finance Officer</t>
  </si>
  <si>
    <t>FINANCE OFFICER</t>
  </si>
  <si>
    <t>Town Clerk</t>
  </si>
  <si>
    <t>Town Clerk/Finance Officer</t>
  </si>
  <si>
    <t>Date the FO signed the Data Input worksheet</t>
  </si>
  <si>
    <t>11/15/2021</t>
  </si>
  <si>
    <t>12/1/2021</t>
  </si>
  <si>
    <t>10/29/2021</t>
  </si>
  <si>
    <t>10/26/2021</t>
  </si>
  <si>
    <t>11/22/2021</t>
  </si>
  <si>
    <t>11/19/2021</t>
  </si>
  <si>
    <t>11/29/2021</t>
  </si>
  <si>
    <t>11/30/2021</t>
  </si>
  <si>
    <t>12/15/2021</t>
  </si>
  <si>
    <t>TD-Is the Finance Officer bonded for at least $50,000? (GS 159-42(h)</t>
  </si>
  <si>
    <t>Telephone number of the FO who signed the data input worksheet</t>
  </si>
  <si>
    <t>E-mail address of FO who signed the data input worksheet</t>
  </si>
  <si>
    <t>Did the Unit have any of the following occur:
1.  Were any debt service payments deferred or restructured in this fiscal year? (does not include refinancings designed to take advantage of lower interest rates)
2.  Bond covenants were not met
3.  Debt serv</t>
  </si>
  <si>
    <t>Does the entity have an  effective pre-audit process to ensure that pervasive budgetary over- expenditures do not occur at the budget ordinance level?</t>
  </si>
  <si>
    <t>The Auditor will submit the Audit Report to the LGC within five months plus one day after the fiscal year end.-á (for units with a June 30th fiscal year-end this would be December 1)-á-á Select Yes or No</t>
  </si>
  <si>
    <t>12/20/2021</t>
  </si>
  <si>
    <t>12/6/2021</t>
  </si>
  <si>
    <t>12/14/2021</t>
  </si>
  <si>
    <t>12/21/2021</t>
  </si>
  <si>
    <t>1/11/2022</t>
  </si>
  <si>
    <t>1/24/2022</t>
  </si>
  <si>
    <t>12/13/2021</t>
  </si>
  <si>
    <t>12/7/2021</t>
  </si>
  <si>
    <t>1/6/2022</t>
  </si>
  <si>
    <t>Amount of Ad valorem tax collected (including motor vehicle and prior years) reported on budget actual statement</t>
  </si>
  <si>
    <t>Amount of Ad valorem tax budgeted (including motor vehicle and prior years) reported on budget actual statement</t>
  </si>
  <si>
    <t>Estimated cost of any mandate placed on unit by DEQ, a court order or some similar requirement (that has no realistic appeal path) that the finacial effect will be greater that 3% of the WS budget and is not already been budgeted.</t>
  </si>
  <si>
    <t>Do you operate a landfill that will be closing  or have a significant portion closing within the next 5 years?</t>
  </si>
  <si>
    <t>If you answered "yes" to question CCH #988 above, will you have the closure/postclosure cost fully funded by the date of closure?</t>
  </si>
  <si>
    <t>The Counties listed in cell H260 are scheduled to revalue property listing by 1/1/2022 according to the Dept. of Revenue records.  Please indicate if you expect your revaluation to increase, decrease, or no change.  If you are not listed please select N/A</t>
  </si>
  <si>
    <t>Total of Above Accounts</t>
  </si>
  <si>
    <t>Total Assets less Internal Balances Formula: =385-576</t>
  </si>
  <si>
    <t>Reverse import tab calculation to value reported on DIW unit data from audit worksheet tab for account 385</t>
  </si>
  <si>
    <t>Total Current Liabilites less Internal Balances Formula: =626-576</t>
  </si>
  <si>
    <t>Reverse import tab calculation to value reported on unit DIW data from audit worksheet tab for account 626</t>
  </si>
  <si>
    <t>Total Liabilities and total deferred inflows less internal balances Formula: =338-576</t>
  </si>
  <si>
    <t>Reverse import tab calculation to value reported on DIW unit data from audit worksheet tab for account 338</t>
  </si>
  <si>
    <t>DIW Water and/or Sewer Section Formula: If (996 = 0.01| "LGC Records indicate that your unit has an operational Water and/or Sewer system and needs to complete the Water Sewer Question"||)</t>
  </si>
  <si>
    <t>Message is linked  to DIW unit data from audit worksheet tab as reminder to provide water and sewer financial information if unit has water and sewer operations</t>
  </si>
  <si>
    <t>LGC Records indicate that your unit has an operational Water and/or Sewer system and needs to complete the Water Sewer Question</t>
  </si>
  <si>
    <t>GF FBA without Powell Bill Formula: 506+536-4-5-6-11+647</t>
  </si>
  <si>
    <t>Numerator in formula for GF FBA% of Exp w/o Powell Bill. New Account 647 for FY 2020 added to formula</t>
  </si>
  <si>
    <t>GF Exp and Tran out Formula: 532+20+509-533-508</t>
  </si>
  <si>
    <t>Denominator in formula for GF FBA% of Exp w/o Powell Bill</t>
  </si>
  <si>
    <t>New Account 647 for FY 2020 added to formula</t>
  </si>
  <si>
    <t>Enterprise Fund Quick Ratio Formula: =(13-534)/14</t>
  </si>
  <si>
    <t>WS Quick Ratio Formula: (654-655-579-510)/(633-634-635-636-637-638-578)</t>
  </si>
  <si>
    <t>New accounts and new formula beginning in FY 2020.  Ratio calculated before FY 2020 will not be accurate</t>
  </si>
  <si>
    <t>Statistic reported on DIW FPIC tab</t>
  </si>
  <si>
    <t>WS Quick Ratio Formula: (44-510)/45</t>
  </si>
  <si>
    <t>Formula used beginning in FY 2012  is currently used for various website and memo reports.  Formula 10 ratio should match this ratio beginning in FY 2020.</t>
  </si>
  <si>
    <t>Elec Quick ratio Formula: (657-658-511-581)/(639-640-641-642-643-644-580)</t>
  </si>
  <si>
    <t>New accounts and new formula beginning in FY 2020. Ratio calculated prior to FY 2020 will not be accurate.</t>
  </si>
  <si>
    <t>Elec Quick Ratio Formula: (47-511)/48</t>
  </si>
  <si>
    <t>Formula used beginning in FY 2012  is currently used for various website and memo reports. Formula 14 ratio should match this ratio beginning in FY 2020.</t>
  </si>
  <si>
    <t>Gov - Select Current Liabilities plus adjustment for account 576 negative internal blances on import tab Formula: 626-627-628-629-630-631-632</t>
  </si>
  <si>
    <t>Gov - Select Current Liabilities - new accounts and new formula beginning in FY 2020 (626-627-628-629-630-631-632). Account 576 negative internal balance is added to account 626 on import tab. Formula 18 and Formulas 19 should have the same value.</t>
  </si>
  <si>
    <t>Gov - Select Current Liabilities Formula: 336</t>
  </si>
  <si>
    <t>Gov - Select Current Liabilities = The sum of accounts (626-627-628-629-630-631-632) plus account 576 negative internal balance is reported in account 336 on import tab. Formulas 18 and Formula 19 should have the same value. The sum of these accounts are used by the Benchmarking Tool on the website.</t>
  </si>
  <si>
    <t>not on unit data from audit -Total</t>
  </si>
  <si>
    <t>St. Helena</t>
  </si>
  <si>
    <t>St. James</t>
  </si>
  <si>
    <t>St. Pauls</t>
  </si>
  <si>
    <t>Staley</t>
  </si>
  <si>
    <t>Stallings</t>
  </si>
  <si>
    <t>Stanfield</t>
  </si>
  <si>
    <t>Stantonsburg</t>
  </si>
  <si>
    <t>Star</t>
  </si>
  <si>
    <t>Statesville</t>
  </si>
  <si>
    <t>Stedman</t>
  </si>
  <si>
    <t>Stem</t>
  </si>
  <si>
    <t>Stokesdale</t>
  </si>
  <si>
    <t>Stoneville</t>
  </si>
  <si>
    <t>Stovall</t>
  </si>
  <si>
    <t>Sugar Mountain</t>
  </si>
  <si>
    <t>Summerfield</t>
  </si>
  <si>
    <t>Sunset Beach</t>
  </si>
  <si>
    <t>Surf City</t>
  </si>
  <si>
    <t>Swansboro</t>
  </si>
  <si>
    <t>Swepsonville</t>
  </si>
  <si>
    <t>Sylva</t>
  </si>
  <si>
    <t>Tar Heel</t>
  </si>
  <si>
    <t>Tarboro</t>
  </si>
  <si>
    <t>Thomasville</t>
  </si>
  <si>
    <t>Tobaccoville</t>
  </si>
  <si>
    <t>Topsail Beach</t>
  </si>
  <si>
    <t>Trent Woods</t>
  </si>
  <si>
    <t>Trenton</t>
  </si>
  <si>
    <t>Trinity</t>
  </si>
  <si>
    <t>Troutman</t>
  </si>
  <si>
    <t>Troy</t>
  </si>
  <si>
    <t>Turkey</t>
  </si>
  <si>
    <t>Unionville</t>
  </si>
  <si>
    <t>Valdese</t>
  </si>
  <si>
    <t>Vandemere</t>
  </si>
  <si>
    <t>Varnamtown</t>
  </si>
  <si>
    <t>Wade</t>
  </si>
  <si>
    <t>Wadesboro</t>
  </si>
  <si>
    <t>Wagram</t>
  </si>
  <si>
    <t>Walkertown</t>
  </si>
  <si>
    <t>Wallace</t>
  </si>
  <si>
    <t>Wallburg</t>
  </si>
  <si>
    <t>Walnut Cove</t>
  </si>
  <si>
    <t>Walstonburg</t>
  </si>
  <si>
    <t>Warsaw</t>
  </si>
  <si>
    <t>Washington</t>
  </si>
  <si>
    <t>Washington Park</t>
  </si>
  <si>
    <t>Watha</t>
  </si>
  <si>
    <t>Waxhaw</t>
  </si>
  <si>
    <t>Waynesville</t>
  </si>
  <si>
    <t>Weaverville</t>
  </si>
  <si>
    <t>Webster</t>
  </si>
  <si>
    <t>Weddington</t>
  </si>
  <si>
    <t>Weldon</t>
  </si>
  <si>
    <t>Wendell</t>
  </si>
  <si>
    <t>Wentworth</t>
  </si>
  <si>
    <t>Wesley Chapel</t>
  </si>
  <si>
    <t>West Jefferson</t>
  </si>
  <si>
    <t>Whispering Pines</t>
  </si>
  <si>
    <t>Whiteville</t>
  </si>
  <si>
    <t>Whitsett</t>
  </si>
  <si>
    <t>Williamston</t>
  </si>
  <si>
    <t>Wilson</t>
  </si>
  <si>
    <t>Wilson's Mills</t>
  </si>
  <si>
    <t>Windsor</t>
  </si>
  <si>
    <t>Winfall</t>
  </si>
  <si>
    <t>Wingate</t>
  </si>
  <si>
    <t>Winterville</t>
  </si>
  <si>
    <t>Woodfin</t>
  </si>
  <si>
    <t>Woodland</t>
  </si>
  <si>
    <t>Wrightsville Beach</t>
  </si>
  <si>
    <t>Yadkinville</t>
  </si>
  <si>
    <t>Youngsville</t>
  </si>
  <si>
    <t>Zebulon</t>
  </si>
  <si>
    <t>Graham</t>
  </si>
  <si>
    <t>Hudson</t>
  </si>
  <si>
    <t>Town Administrator</t>
  </si>
  <si>
    <t>Governmental Activities - Benchmarking Tool uses account 336 in the code to calculate liquidity quick ratio.  Must be included on imported to CCH and SQL database.  Memos used these accounts as well.</t>
  </si>
  <si>
    <t>Governmental Activities - Benchmarking Tool uses account 336 in the code to calculate liquidity quick ratio.  Must be included on imported to CCH and SQL database. Memos used these accounts as well.</t>
  </si>
  <si>
    <t>Telephone Number and Ext., etc.</t>
  </si>
  <si>
    <t>formula code</t>
  </si>
  <si>
    <t xml:space="preserve">PERFORMANCE INDICATORS </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</si>
  <si>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 unit must submit a "Response to the Auditor's Findings, Recommendations, and Fiscal Matters" within 60 days from the auditor's board presentation.  The response must address all performance indicators shaded in red.</t>
  </si>
  <si>
    <t>This column provides the accounts and formula used in the calculation.  If the Unit Results cell is red, please verify that the data is entered correctly in the "Unit Data From Audit Worksheet" or "TD Info Completed by Auditor" as indicated for accounts listed in Column J.</t>
  </si>
  <si>
    <t>1.</t>
  </si>
  <si>
    <t>2.</t>
  </si>
  <si>
    <t>Units of government are grouped by general fund expenditures for purposes of evaluating available fund balance as a percentage of expenditures (GF FBA%).  Each grouping category has its own minimum threshold. If you are in the lower quartile your GF FBA% might be considered a performance indicator of concern and you might be asked to communicate to us. To the left are the minimum thresholds for Municipalities and Counties.</t>
  </si>
  <si>
    <t>3.</t>
  </si>
  <si>
    <t>4.</t>
  </si>
  <si>
    <t>Note: If more than one performance indicator is identified,  one proposed solution may solve all water and sewer performance indicators.</t>
  </si>
  <si>
    <t>5.</t>
  </si>
  <si>
    <t>Cash Flow Indicators:</t>
  </si>
  <si>
    <t>6.</t>
  </si>
  <si>
    <t>7.</t>
  </si>
  <si>
    <t>The rate structure of the Water and Sewer Fund should support the operating expenses of the fund without operating subsidies or transfers from other funds.</t>
  </si>
  <si>
    <t>Note: If more than one performance indicator is identified,  one proposed solution may solve all electric performance indicators.</t>
  </si>
  <si>
    <t>The unit had problems with debt service payments being late and/or did not comply with the bond covenants.</t>
  </si>
  <si>
    <t>You indicated that you expect a decrease in property value for your next property revaluation.   In your FPIC Response Letter please discuss the magnitude of the drop in valuation, the overall cause of the drop and how you plan to recover the lost revenues.</t>
  </si>
  <si>
    <t>The unit has expenditures that exceed the legal budget ordinance.  This indicates that the unit's purchase order system, contract approval process and / or payment process is not in compliance with North Carolina General Statute 159.</t>
  </si>
  <si>
    <t>Ahoskie</t>
  </si>
  <si>
    <t>Alamance</t>
  </si>
  <si>
    <t>Albemarle</t>
  </si>
  <si>
    <t>Alliance</t>
  </si>
  <si>
    <t>Transfers to Electric Capital Projects Per Audit</t>
  </si>
  <si>
    <t>Angier</t>
  </si>
  <si>
    <t>Ansonville</t>
  </si>
  <si>
    <t>Apex</t>
  </si>
  <si>
    <t>Arapahoe</t>
  </si>
  <si>
    <t>Archdale</t>
  </si>
  <si>
    <t>Archer Lodge</t>
  </si>
  <si>
    <t>Asheboro</t>
  </si>
  <si>
    <t>Asheville</t>
  </si>
  <si>
    <t>Atkinson</t>
  </si>
  <si>
    <t>Amount Transferred minus PILOT and Transfers to Electric Capital Projects</t>
  </si>
  <si>
    <t>Atlantic Beach</t>
  </si>
  <si>
    <t>Aurora</t>
  </si>
  <si>
    <t>Autryville</t>
  </si>
  <si>
    <t>Bakersville</t>
  </si>
  <si>
    <t>Bald Head Island</t>
  </si>
  <si>
    <t>Banner Elk</t>
  </si>
  <si>
    <t>Bayboro</t>
  </si>
  <si>
    <t>Bear Grass</t>
  </si>
  <si>
    <t>Beaufort</t>
  </si>
  <si>
    <t>Beech Mountain</t>
  </si>
  <si>
    <t>Bethania</t>
  </si>
  <si>
    <t>Belwood</t>
  </si>
  <si>
    <t>Benson</t>
  </si>
  <si>
    <t>Bermuda Run</t>
  </si>
  <si>
    <t>Bessemer City</t>
  </si>
  <si>
    <t>Beulaville</t>
  </si>
  <si>
    <t>Biltmore Forest</t>
  </si>
  <si>
    <t>Biscoe</t>
  </si>
  <si>
    <t>Black Mountain</t>
  </si>
  <si>
    <t>Bladenboro</t>
  </si>
  <si>
    <t>Blowing Rock</t>
  </si>
  <si>
    <t>Bogue</t>
  </si>
  <si>
    <t>Boiling Springs</t>
  </si>
  <si>
    <t>Boiling Spring Lakes</t>
  </si>
  <si>
    <t>Bolivia</t>
  </si>
  <si>
    <t>Boone</t>
  </si>
  <si>
    <t>Boonville</t>
  </si>
  <si>
    <t>Bostic</t>
  </si>
  <si>
    <t>Bridgeton</t>
  </si>
  <si>
    <t>Broadway</t>
  </si>
  <si>
    <t>Brookford</t>
  </si>
  <si>
    <t>Brunswick</t>
  </si>
  <si>
    <t>Bryson City</t>
  </si>
  <si>
    <t>Burgaw</t>
  </si>
  <si>
    <t>Burlington</t>
  </si>
  <si>
    <t>Burnsville</t>
  </si>
  <si>
    <t>Butner</t>
  </si>
  <si>
    <t>Cajah's Mountain</t>
  </si>
  <si>
    <t>Calabash</t>
  </si>
  <si>
    <t>Calypso</t>
  </si>
  <si>
    <t>Cameron</t>
  </si>
  <si>
    <t>Candor</t>
  </si>
  <si>
    <t>Canton</t>
  </si>
  <si>
    <t>Cape Carteret</t>
  </si>
  <si>
    <t>Carolina Beach</t>
  </si>
  <si>
    <t>Carolina Shores</t>
  </si>
  <si>
    <t>Carrboro</t>
  </si>
  <si>
    <t>Carthage</t>
  </si>
  <si>
    <t>Cary</t>
  </si>
  <si>
    <t>Caswell Beach</t>
  </si>
  <si>
    <t>Catawba</t>
  </si>
  <si>
    <t>Cedar Point</t>
  </si>
  <si>
    <t>Cedar Rock</t>
  </si>
  <si>
    <t>Chadbourn</t>
  </si>
  <si>
    <t>Cherryville</t>
  </si>
  <si>
    <t>China Grove</t>
  </si>
  <si>
    <t>Claremont</t>
  </si>
  <si>
    <t>Clayton</t>
  </si>
  <si>
    <t>Clemmons</t>
  </si>
  <si>
    <t>Cleveland</t>
  </si>
  <si>
    <t>Clinton</t>
  </si>
  <si>
    <t>Clyde</t>
  </si>
  <si>
    <t>Coats</t>
  </si>
  <si>
    <t>Columbus</t>
  </si>
  <si>
    <t>Como</t>
  </si>
  <si>
    <t>Concord</t>
  </si>
  <si>
    <t>Connelly Springs</t>
  </si>
  <si>
    <t>Conover</t>
  </si>
  <si>
    <t>Conway</t>
  </si>
  <si>
    <t>Cooleemee</t>
  </si>
  <si>
    <t>Cornelius</t>
  </si>
  <si>
    <t>Cove City</t>
  </si>
  <si>
    <t>Cramerton</t>
  </si>
  <si>
    <t>Creedmoor</t>
  </si>
  <si>
    <t>Crossnore</t>
  </si>
  <si>
    <t>Danbury</t>
  </si>
  <si>
    <t>Davidson</t>
  </si>
  <si>
    <t>Denton</t>
  </si>
  <si>
    <t>Dillsboro</t>
  </si>
  <si>
    <t>Dobson</t>
  </si>
  <si>
    <t>Dortches</t>
  </si>
  <si>
    <t>Drexel</t>
  </si>
  <si>
    <t>Dublin</t>
  </si>
  <si>
    <t>Duck</t>
  </si>
  <si>
    <t>Dunn</t>
  </si>
  <si>
    <t>East Arcadia</t>
  </si>
  <si>
    <t>East Bend</t>
  </si>
  <si>
    <t>Eastover</t>
  </si>
  <si>
    <t>Eden</t>
  </si>
  <si>
    <t>Edenton</t>
  </si>
  <si>
    <t>Elizabethtown</t>
  </si>
  <si>
    <t>Elk Park</t>
  </si>
  <si>
    <t>Elkin</t>
  </si>
  <si>
    <t>Ellenboro</t>
  </si>
  <si>
    <t>Elon</t>
  </si>
  <si>
    <t>Emerald Isle</t>
  </si>
  <si>
    <t>Fairview</t>
  </si>
  <si>
    <t>Faison</t>
  </si>
  <si>
    <t>Faith</t>
  </si>
  <si>
    <t>Falcon</t>
  </si>
  <si>
    <t>Falkland</t>
  </si>
  <si>
    <t>Fallston</t>
  </si>
  <si>
    <t>Farmville</t>
  </si>
  <si>
    <t>Fayetteville</t>
  </si>
  <si>
    <t>Flat Rock</t>
  </si>
  <si>
    <t>Fletcher</t>
  </si>
  <si>
    <t>Forest City</t>
  </si>
  <si>
    <t>Forest Hills</t>
  </si>
  <si>
    <t>Fountain</t>
  </si>
  <si>
    <t>Foxfire Village</t>
  </si>
  <si>
    <t>Franklin</t>
  </si>
  <si>
    <t>Franklinton</t>
  </si>
  <si>
    <t>Fuquay-Varina</t>
  </si>
  <si>
    <t>Gamewell</t>
  </si>
  <si>
    <t>Garland</t>
  </si>
  <si>
    <t>Garner</t>
  </si>
  <si>
    <t>Garysburg</t>
  </si>
  <si>
    <t>Gastonia</t>
  </si>
  <si>
    <t>Gatesville</t>
  </si>
  <si>
    <t>Gibsonville</t>
  </si>
  <si>
    <t>Godwin</t>
  </si>
  <si>
    <t>Goldston</t>
  </si>
  <si>
    <t>Grandfather Village</t>
  </si>
  <si>
    <t>Granite Falls</t>
  </si>
  <si>
    <t>Granite Quarry</t>
  </si>
  <si>
    <t>Grantsboro</t>
  </si>
  <si>
    <t>Grifton</t>
  </si>
  <si>
    <t>Grimesland</t>
  </si>
  <si>
    <t>Harmony</t>
  </si>
  <si>
    <t>Harrells</t>
  </si>
  <si>
    <t>Harrellsville</t>
  </si>
  <si>
    <t>Harrisburg</t>
  </si>
  <si>
    <t>Havelock</t>
  </si>
  <si>
    <t>Hayesville</t>
  </si>
  <si>
    <t>Hemby Bridge</t>
  </si>
  <si>
    <t>Hendersonville</t>
  </si>
  <si>
    <t>Hickory</t>
  </si>
  <si>
    <t>High Shoals</t>
  </si>
  <si>
    <t>Highlands</t>
  </si>
  <si>
    <t>Hildebran</t>
  </si>
  <si>
    <t>Hillsborough</t>
  </si>
  <si>
    <t>Hobgood</t>
  </si>
  <si>
    <t>Holden Beach</t>
  </si>
  <si>
    <t>Holly Springs</t>
  </si>
  <si>
    <t>Hope Mills</t>
  </si>
  <si>
    <t>Hot Springs</t>
  </si>
  <si>
    <t>Huntersville</t>
  </si>
  <si>
    <t>Indian Trail</t>
  </si>
  <si>
    <t>Jacksonville</t>
  </si>
  <si>
    <t>Jamestown</t>
  </si>
  <si>
    <t>Jamesville</t>
  </si>
  <si>
    <t>Jefferson</t>
  </si>
  <si>
    <t>Jonesville</t>
  </si>
  <si>
    <t>Kannapolis</t>
  </si>
  <si>
    <t>Kelford</t>
  </si>
  <si>
    <t>Kenansville</t>
  </si>
  <si>
    <t>Kenly</t>
  </si>
  <si>
    <t>Kernersville</t>
  </si>
  <si>
    <t>Kill Devil Hills</t>
  </si>
  <si>
    <t>King</t>
  </si>
  <si>
    <t>Kings Mountain</t>
  </si>
  <si>
    <t>Kinston</t>
  </si>
  <si>
    <t>Kittrell</t>
  </si>
  <si>
    <t>Kitty Hawk</t>
  </si>
  <si>
    <t>Knightdale</t>
  </si>
  <si>
    <t>Kure Beach</t>
  </si>
  <si>
    <t>La Grange</t>
  </si>
  <si>
    <t>Lake Lure</t>
  </si>
  <si>
    <t>Lake Park</t>
  </si>
  <si>
    <t>Lake Santeetlah</t>
  </si>
  <si>
    <t>Lake Waccamaw</t>
  </si>
  <si>
    <t>Landis</t>
  </si>
  <si>
    <t>Lansing</t>
  </si>
  <si>
    <t>Lasker</t>
  </si>
  <si>
    <t>Lattimore</t>
  </si>
  <si>
    <t>Laurel Park</t>
  </si>
  <si>
    <t>Laurinburg</t>
  </si>
  <si>
    <t>Lawndale</t>
  </si>
  <si>
    <t>Leggett</t>
  </si>
  <si>
    <t>Leland</t>
  </si>
  <si>
    <t>Lenoir</t>
  </si>
  <si>
    <t>Lewiston-Woodville</t>
  </si>
  <si>
    <t>Lewisville</t>
  </si>
  <si>
    <t>Lexington</t>
  </si>
  <si>
    <t>Liberty</t>
  </si>
  <si>
    <t>Lilesville</t>
  </si>
  <si>
    <t>Lillington</t>
  </si>
  <si>
    <t>Lincolnton</t>
  </si>
  <si>
    <t>Linden</t>
  </si>
  <si>
    <t>Littleton</t>
  </si>
  <si>
    <t>Locust</t>
  </si>
  <si>
    <t>Long View</t>
  </si>
  <si>
    <t>Louisburg</t>
  </si>
  <si>
    <t>Lowell</t>
  </si>
  <si>
    <t>Lumber Bridge</t>
  </si>
  <si>
    <t>Madison</t>
  </si>
  <si>
    <t>Maggie Valley</t>
  </si>
  <si>
    <t>Maiden</t>
  </si>
  <si>
    <t>Manteo</t>
  </si>
  <si>
    <t>Marietta</t>
  </si>
  <si>
    <t>Marion</t>
  </si>
  <si>
    <t>Mars Hill</t>
  </si>
  <si>
    <t>Marshall</t>
  </si>
  <si>
    <t>Marshville</t>
  </si>
  <si>
    <t>Marvin</t>
  </si>
  <si>
    <t>Matthews</t>
  </si>
  <si>
    <t>Maxton</t>
  </si>
  <si>
    <t>Mayodan</t>
  </si>
  <si>
    <t>McAdenville</t>
  </si>
  <si>
    <t>McDonald</t>
  </si>
  <si>
    <t>McFarlan</t>
  </si>
  <si>
    <t>Mebane</t>
  </si>
  <si>
    <t>Mesic</t>
  </si>
  <si>
    <t>Middlesex</t>
  </si>
  <si>
    <t>Midland</t>
  </si>
  <si>
    <t>Midway</t>
  </si>
  <si>
    <t>Mills River</t>
  </si>
  <si>
    <t>Mineral Springs</t>
  </si>
  <si>
    <t>Minnesott Beach</t>
  </si>
  <si>
    <t>Misenheimer</t>
  </si>
  <si>
    <t>Mocksville</t>
  </si>
  <si>
    <t>Momeyer</t>
  </si>
  <si>
    <t>Monroe</t>
  </si>
  <si>
    <t>Mooresboro</t>
  </si>
  <si>
    <t>Mooresville</t>
  </si>
  <si>
    <t>Morehead City</t>
  </si>
  <si>
    <t>Morganton</t>
  </si>
  <si>
    <t>Morrisville</t>
  </si>
  <si>
    <t>Morven</t>
  </si>
  <si>
    <t>Mount Airy</t>
  </si>
  <si>
    <t>Mount Gilead</t>
  </si>
  <si>
    <t>Mount Pleasant</t>
  </si>
  <si>
    <t>Murfreesboro</t>
  </si>
  <si>
    <t>Murphy</t>
  </si>
  <si>
    <t>Nags Head</t>
  </si>
  <si>
    <t>Nashville</t>
  </si>
  <si>
    <t>New Bern</t>
  </si>
  <si>
    <t>New London</t>
  </si>
  <si>
    <t>Newland</t>
  </si>
  <si>
    <t>Newton</t>
  </si>
  <si>
    <t>North Topsail Beach</t>
  </si>
  <si>
    <t>North Wilkesboro</t>
  </si>
  <si>
    <t>Northwest</t>
  </si>
  <si>
    <t>Oak Island</t>
  </si>
  <si>
    <t>Oak Ridge</t>
  </si>
  <si>
    <t>Oakboro</t>
  </si>
  <si>
    <t>Ocean Isle Beach</t>
  </si>
  <si>
    <t>Old Fort</t>
  </si>
  <si>
    <t>Oriental</t>
  </si>
  <si>
    <t>Orrum</t>
  </si>
  <si>
    <t>Ossipee</t>
  </si>
  <si>
    <t>Oxford</t>
  </si>
  <si>
    <t>Pantego</t>
  </si>
  <si>
    <t>Parkton</t>
  </si>
  <si>
    <t>Parmele</t>
  </si>
  <si>
    <t>Patterson Springs</t>
  </si>
  <si>
    <t>Peachland</t>
  </si>
  <si>
    <t>Peletier</t>
  </si>
  <si>
    <t>Pembroke</t>
  </si>
  <si>
    <t>Pine Knoll Shores</t>
  </si>
  <si>
    <t>Pine Level</t>
  </si>
  <si>
    <t>Pinebluff</t>
  </si>
  <si>
    <t>Pinehurst</t>
  </si>
  <si>
    <t>Pinetops</t>
  </si>
  <si>
    <t>Pineville</t>
  </si>
  <si>
    <t>Pink Hill</t>
  </si>
  <si>
    <t>Pittsboro</t>
  </si>
  <si>
    <t>Pleasant Garden</t>
  </si>
  <si>
    <t>Polkton</t>
  </si>
  <si>
    <t>Powellsville</t>
  </si>
  <si>
    <t>Princeton</t>
  </si>
  <si>
    <t>Raeford</t>
  </si>
  <si>
    <t>Raleigh</t>
  </si>
  <si>
    <t>Randleman</t>
  </si>
  <si>
    <t>Raynham</t>
  </si>
  <si>
    <t>Red Cross</t>
  </si>
  <si>
    <t>Red Oak</t>
  </si>
  <si>
    <t>Reidsville</t>
  </si>
  <si>
    <t>Rennert</t>
  </si>
  <si>
    <t>Rhodhiss</t>
  </si>
  <si>
    <t>Richlands</t>
  </si>
  <si>
    <t>River Bend</t>
  </si>
  <si>
    <t>Roanoke Rapids</t>
  </si>
  <si>
    <t>Robbinsville</t>
  </si>
  <si>
    <t>Rockwell</t>
  </si>
  <si>
    <t>Rocky Mount</t>
  </si>
  <si>
    <t>Rolesville</t>
  </si>
  <si>
    <t>Roper</t>
  </si>
  <si>
    <t>Rose Hill</t>
  </si>
  <si>
    <t>Roxobel</t>
  </si>
  <si>
    <t>Rural Hall</t>
  </si>
  <si>
    <t>Rutherford College</t>
  </si>
  <si>
    <t>Rutherfordton</t>
  </si>
  <si>
    <t>Salemburg</t>
  </si>
  <si>
    <t>Salisbury</t>
  </si>
  <si>
    <t>Saluda</t>
  </si>
  <si>
    <t>Sandy Creek</t>
  </si>
  <si>
    <t>Sandyfield</t>
  </si>
  <si>
    <t>Sanford</t>
  </si>
  <si>
    <t>Saratoga</t>
  </si>
  <si>
    <t>Sawmills</t>
  </si>
  <si>
    <t>Seaboard</t>
  </si>
  <si>
    <t>Seagrove</t>
  </si>
  <si>
    <t>Selma</t>
  </si>
  <si>
    <t>Seven Devils</t>
  </si>
  <si>
    <t>Seven Springs</t>
  </si>
  <si>
    <t>Severn</t>
  </si>
  <si>
    <t>Shallotte</t>
  </si>
  <si>
    <t>Shelby</t>
  </si>
  <si>
    <t>Simpson</t>
  </si>
  <si>
    <t>Sims</t>
  </si>
  <si>
    <t>Smithfield</t>
  </si>
  <si>
    <t>Southern Pines</t>
  </si>
  <si>
    <t>Southern Shores</t>
  </si>
  <si>
    <t>Southport</t>
  </si>
  <si>
    <t>Sparta</t>
  </si>
  <si>
    <t>Speed</t>
  </si>
  <si>
    <t>Spencer</t>
  </si>
  <si>
    <t>Spindale</t>
  </si>
  <si>
    <t>Spring Hope</t>
  </si>
  <si>
    <t>Spruce Pine</t>
  </si>
  <si>
    <r>
      <rPr>
        <b/>
        <i/>
        <sz val="11"/>
        <rFont val="Calibri"/>
        <family val="2"/>
        <scheme val="minor"/>
      </rPr>
      <t>Payment in Lieu of Taxes Error (cell f27):</t>
    </r>
    <r>
      <rPr>
        <i/>
        <sz val="11"/>
        <rFont val="Calibri"/>
        <family val="2"/>
        <scheme val="minor"/>
      </rPr>
      <t xml:space="preserve">  When the "Actual Pilot" (cell F16) doesn't agree with the "Calculated Pilot" (cell G16) you will get an error message requiring you to investigate variance.</t>
    </r>
  </si>
  <si>
    <t>Less:</t>
  </si>
  <si>
    <t>Encumbrances at June 30 - General Fund (listed in the notes)</t>
  </si>
  <si>
    <t xml:space="preserve">Expenditures: </t>
  </si>
  <si>
    <t>Adjustments:</t>
  </si>
  <si>
    <r>
      <t xml:space="preserve">
In the past, units of government have been grouped by population to evaluate ratios and benchmarking (including Fund Balance Available).  Beginning with fiscal year 2020, we have grouped units by General Fund expenditures for purposes of evaluating the minimum amount of fund balance a unit needs to operate.  A unit's General Fund expenditures proved to be a better correlation to the amount of funds balance needed to operate, especially for units with large higher education or tourism populations. </t>
    </r>
    <r>
      <rPr>
        <b/>
        <sz val="14"/>
        <rFont val="Calibri"/>
        <family val="2"/>
        <scheme val="minor"/>
      </rPr>
      <t xml:space="preserve"> Activity from Debt Service Funds (if applicable) is included in the calculation because these funds typically originate from the General Fund and are transferred to a Debt Service Fund.</t>
    </r>
    <r>
      <rPr>
        <b/>
        <sz val="14"/>
        <color theme="1"/>
        <rFont val="Calibri"/>
        <family val="2"/>
        <scheme val="minor"/>
      </rPr>
      <t xml:space="preserve">
The table below lists the thresholds that are used in the analysis of your unit's fiscal health.  These thresholds were determined based on an analysis of previous years </t>
    </r>
    <r>
      <rPr>
        <b/>
        <sz val="14"/>
        <rFont val="Calibri"/>
        <family val="2"/>
        <scheme val="minor"/>
      </rPr>
      <t xml:space="preserve">general fund activity.  These thresholds will be monitored and updated as applicable. </t>
    </r>
  </si>
  <si>
    <t xml:space="preserve">This indicator shows that the local government did not collect 3% (or more) of its budgeted ad valorem taxes.  This could be an indicator of negative economic events, inaccurate budgeting, and/or issues with the collection process.  Uncollected revenues at the 3% level represent several pennies of the tax rate.  </t>
  </si>
  <si>
    <t>Spencer Mountain</t>
  </si>
  <si>
    <t>Column B</t>
  </si>
  <si>
    <t>Column F</t>
  </si>
  <si>
    <t>Transfers to Electric Capital Projects</t>
  </si>
  <si>
    <t>Percent of</t>
  </si>
  <si>
    <t>Gross Fixed</t>
  </si>
  <si>
    <t>Assets</t>
  </si>
  <si>
    <t>Amount of transfer out of the Electric to the General Fund that is for Payment in Lieu of Taxes (PILOT)</t>
  </si>
  <si>
    <t>Revenue</t>
  </si>
  <si>
    <t>Gross  Annual</t>
  </si>
  <si>
    <t>Amount expended for Powell Bill expenditures in the General Fund</t>
  </si>
  <si>
    <t>Electric Fund Revenue, Expenses &amp; Changes in Fund Net Position</t>
  </si>
  <si>
    <t>Electric Fund Revenue, Expenses &amp; Changes in Fund Net Position or Notes to Financial Statements</t>
  </si>
  <si>
    <t>Water &amp; Sewer Revenue, Expenses &amp; Changes in Fund Net Position</t>
  </si>
  <si>
    <t xml:space="preserve"> Mark to Market unrealized losses in the Electric Fund.</t>
  </si>
  <si>
    <t>Total ARPA funds actually expended since inception as of June 30th.  Do not include encumbered funds in this number.</t>
  </si>
  <si>
    <t>Did your audit disclose as a finding that the unit’s records were not completed by the agreed upon time? (Yes or No)</t>
  </si>
  <si>
    <t>Did your audit disclose as a finding any budget violations? (Yes or No)</t>
  </si>
  <si>
    <t>Did your audit disclose as a finding any statutory violations? (not including budget violations) (Yes or No)</t>
  </si>
  <si>
    <t xml:space="preserve">Is there a finding for lack of segregation of duties at this unit? </t>
  </si>
  <si>
    <t>Is there a finding for lack of technical skills, knowledge and experience (SKE) at this unit?</t>
  </si>
  <si>
    <t>Date (MM/DD/YYYY)</t>
  </si>
  <si>
    <t>Data Collection</t>
  </si>
  <si>
    <t>Unit Number</t>
  </si>
  <si>
    <t>Electric Fund  Transfer Policy</t>
  </si>
  <si>
    <t>NC Municipal Power Agency Number 1</t>
  </si>
  <si>
    <t>G.S. 159B-39</t>
  </si>
  <si>
    <t>subtotal of transfers to other funds</t>
  </si>
  <si>
    <t>Enter Numbers from Current Year Audit</t>
  </si>
  <si>
    <t>Values from Prior Year Audit</t>
  </si>
  <si>
    <t>NC Eastern Municipal Power Agency</t>
  </si>
  <si>
    <r>
      <rPr>
        <u/>
        <sz val="11"/>
        <color indexed="8"/>
        <rFont val="Calibri"/>
        <family val="2"/>
        <scheme val="minor"/>
      </rPr>
      <t>Did unit raise Water Sewer rates during the audited fiscal period</t>
    </r>
    <r>
      <rPr>
        <sz val="11"/>
        <color theme="1"/>
        <rFont val="Calibri"/>
        <family val="2"/>
        <scheme val="minor"/>
      </rPr>
      <t>? -</t>
    </r>
    <r>
      <rPr>
        <sz val="11"/>
        <color indexed="60"/>
        <rFont val="Calibri"/>
        <family val="2"/>
        <scheme val="minor"/>
      </rPr>
      <t xml:space="preserve"> answer Yes =1 or No= 2</t>
    </r>
  </si>
  <si>
    <r>
      <rPr>
        <u/>
        <sz val="11"/>
        <color indexed="8"/>
        <rFont val="Calibri"/>
        <family val="2"/>
        <scheme val="minor"/>
      </rPr>
      <t>Did unit raise Water Sewer rates during the budget year following the audited fiscal year</t>
    </r>
    <r>
      <rPr>
        <sz val="11"/>
        <color theme="1"/>
        <rFont val="Calibri"/>
        <family val="2"/>
        <scheme val="minor"/>
      </rPr>
      <t xml:space="preserve">? - </t>
    </r>
    <r>
      <rPr>
        <sz val="11"/>
        <color indexed="60"/>
        <rFont val="Calibri"/>
        <family val="2"/>
        <scheme val="minor"/>
      </rPr>
      <t>answer Yes=1 or No=2</t>
    </r>
  </si>
  <si>
    <r>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r>
    <r>
      <rPr>
        <b/>
        <sz val="11"/>
        <color theme="1"/>
        <rFont val="Calibri"/>
        <family val="2"/>
        <scheme val="minor"/>
      </rPr>
      <t xml:space="preserve">Select "1" for Yes and "2" for No.
</t>
    </r>
  </si>
  <si>
    <t>Trial Balance</t>
  </si>
  <si>
    <t>TD Info Completed by Auditor : CCH acct # 1057</t>
  </si>
  <si>
    <t xml:space="preserve">NC DEPARTMENT OF STATE TREASURER- STATE AND LOCAL GOVERNMENT FINANCE DIVISION
TD Info Completed by Auditor
</t>
  </si>
  <si>
    <t>Please see the INSTRUCTIONS worksheet before completing this form</t>
  </si>
  <si>
    <t>Positive Fund Balance</t>
  </si>
  <si>
    <t>The General Fund has a fund deficit which means that the unit's revenues and other receipts are inadequate to support its operations.  G.S. 159 13(b)(2) requires that the board fund the full amount of a prior fiscal year's deficit in the current fiscal year's budget.  Therefore, this deficit should have been funded immediately after the June 30, fiscal year-end.  The law requires such action be taken to stop any further deterioration of the overall financial condition of the fund.  Please let us know if the deficit was funded in the budget, and what actions the unit plans to take to bring the general fund balance up to an acceptable level.</t>
  </si>
  <si>
    <t>Positive Change in Fund Balance</t>
  </si>
  <si>
    <t>The General Fund had total fund balance less than zero - Fund Deficit</t>
  </si>
  <si>
    <t>TD Info Completed by Auditor : CCH acct # 1059</t>
  </si>
  <si>
    <t>Total American Rescue Plan Act (ARPA) of 2021-Coronavrius State &amp; Local Fiscal Recovery Funds actually expended since inception as of June 30th.  Do not include encumbered funds in this number.</t>
  </si>
  <si>
    <t>Total American Rescue Plan Act (ARPA) of 2021-Coronavrius State &amp; Local Fiscal Recovery Funds encumbered or obligated and not yet expended since inception as of June 30th.</t>
  </si>
  <si>
    <t xml:space="preserve">Explanation of Performance Indicator
</t>
  </si>
  <si>
    <t>If the General Fund has more expenditures than revenues because of operational issues and fund balance was appropriated to cover the loss, the continuation of this practice could result in deterioration of a unit's fund balance available.</t>
  </si>
  <si>
    <t>TD Info Completed by Auditor : CCH acct # 1055, 1056, 1058, 955 and 957</t>
  </si>
  <si>
    <r>
      <t xml:space="preserve">Notes From Auditor
</t>
    </r>
    <r>
      <rPr>
        <sz val="11"/>
        <rFont val="Calibri"/>
        <family val="2"/>
        <scheme val="minor"/>
      </rPr>
      <t xml:space="preserve">The Auditor can use the cells below to provide additional details that are pertinent to the performance indicator. </t>
    </r>
    <r>
      <rPr>
        <b/>
        <sz val="11"/>
        <rFont val="Calibri"/>
        <family val="2"/>
        <scheme val="minor"/>
      </rPr>
      <t>Please be aware even if notes are provided, an official response is still required (if applicable).</t>
    </r>
  </si>
  <si>
    <t>Use of General Fund Balance (account #23)</t>
  </si>
  <si>
    <t>DIW Batch Total</t>
  </si>
  <si>
    <r>
      <t xml:space="preserve">Mark to Market unrealized losses in the Water and Sewer Fund. </t>
    </r>
    <r>
      <rPr>
        <sz val="11"/>
        <color theme="5" tint="-0.499984740745262"/>
        <rFont val="Calibri"/>
        <family val="2"/>
        <scheme val="minor"/>
      </rPr>
      <t>(enter as a negative number)</t>
    </r>
  </si>
  <si>
    <r>
      <t xml:space="preserve"> Mark to Market unrealized losses in the Electric Fund. </t>
    </r>
    <r>
      <rPr>
        <sz val="11"/>
        <color theme="5" tint="-0.499984740745262"/>
        <rFont val="Calibri"/>
        <family val="2"/>
        <scheme val="minor"/>
      </rPr>
      <t>(enter as a negative number)</t>
    </r>
  </si>
  <si>
    <r>
      <t>Electric transfers-out have exceeded the amounts described in GS 159B-39.  If your unit is a member of the North Carolina Eastern Municipal Power Agency it appears you have violated the GS.  
                                                     OR</t>
    </r>
    <r>
      <rPr>
        <b/>
        <u/>
        <sz val="11"/>
        <rFont val="Calibri"/>
        <family val="2"/>
        <scheme val="minor"/>
      </rPr>
      <t xml:space="preserve">
</t>
    </r>
    <r>
      <rPr>
        <b/>
        <sz val="11"/>
        <rFont val="Calibri"/>
        <family val="2"/>
        <scheme val="minor"/>
      </rPr>
      <t xml:space="preserve">If you are not a member of the Eastern Municipal Power Agency it appears that you have violated your unit's transfer policy.
</t>
    </r>
  </si>
  <si>
    <t>Unit Data from Audit Worksheet tab : 9</t>
  </si>
  <si>
    <t>The budgeted ad valorem tax (including motor vehicles) for the General Fund had more than 3% uncollected for the fiscal year audited. Decreases are shown by a negative percentage.</t>
  </si>
  <si>
    <t>Operating Net Income (Loss) excluding depreciation, including debt service principal and interest</t>
  </si>
  <si>
    <t>Prior year CCH accounts 527, 356 and 93 along with current CCH account of this Data Input worksheet 648,366, 990 and 1051 were used in this calculation</t>
  </si>
  <si>
    <t>TD Info Completed by Auditor : CCH acct # 973</t>
  </si>
  <si>
    <r>
      <t>Mark to Market unrealized losses in the General Fund.</t>
    </r>
    <r>
      <rPr>
        <sz val="11"/>
        <color theme="5" tint="-0.499984740745262"/>
        <rFont val="Calibri"/>
        <family val="2"/>
        <scheme val="minor"/>
      </rPr>
      <t xml:space="preserve"> </t>
    </r>
    <r>
      <rPr>
        <sz val="11"/>
        <color theme="9" tint="-0.499984740745262"/>
        <rFont val="Calibri"/>
        <family val="2"/>
        <scheme val="minor"/>
      </rPr>
      <t>(enter as a negative number)</t>
    </r>
  </si>
  <si>
    <t>If unit is an employer participant in one of the State Cost Sharing Plans rows 185 - 187 should be blank.  Unless they have an additional single employer plan.</t>
  </si>
  <si>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located </t>
    </r>
    <r>
      <rPr>
        <sz val="12"/>
        <color rgb="FFFF0000"/>
        <rFont val="Cambria"/>
        <family val="1"/>
      </rPr>
      <t>at the end</t>
    </r>
    <r>
      <rPr>
        <sz val="12"/>
        <color theme="1"/>
        <rFont val="Cambria"/>
        <family val="1"/>
      </rPr>
      <t xml:space="preserve"> of the worksheet.  The worksheet must be </t>
    </r>
    <r>
      <rPr>
        <b/>
        <sz val="12"/>
        <color indexed="8"/>
        <rFont val="Cambria"/>
        <family val="1"/>
      </rPr>
      <t>submitted with the unit’s audit report</t>
    </r>
    <r>
      <rPr>
        <sz val="12"/>
        <color indexed="8"/>
        <rFont val="Cambria"/>
        <family val="1"/>
      </rPr>
      <t>.</t>
    </r>
  </si>
  <si>
    <r>
      <rPr>
        <b/>
        <i/>
        <sz val="11"/>
        <rFont val="Calibri"/>
        <family val="2"/>
        <scheme val="minor"/>
      </rPr>
      <t>Amount Transferred minus PILOT (cell F18)</t>
    </r>
    <r>
      <rPr>
        <i/>
        <sz val="11"/>
        <rFont val="Calibri"/>
        <family val="2"/>
        <scheme val="minor"/>
      </rPr>
      <t xml:space="preserve"> is calculated by taking the Amount Transferred per Audit (cell F7) and subtracts tranfers to electric capital project funds (cell f8). The calculation then subtracts the greater amount of PILOT (cells F16 or G16). When cell F18 exceeds the statutory calculation in cell F25, you will get an error message "No, unit exceeds limit by:"</t>
    </r>
  </si>
  <si>
    <t># of other matters that auditor asked the unit to respond to</t>
  </si>
  <si>
    <t xml:space="preserve">Unrestricted Cash and Investments </t>
  </si>
  <si>
    <t xml:space="preserve">Restricted cash and investments </t>
  </si>
  <si>
    <t>Total Fund Balance (From Audited Financial Statements) …………………</t>
  </si>
  <si>
    <t>Formula</t>
  </si>
  <si>
    <t>Non Spendable -  Inventory, Prepaids, or Other …………………</t>
  </si>
  <si>
    <t>Restricted - Stabilization by State Statute (From Audited Financial Statements) ……………</t>
  </si>
  <si>
    <t xml:space="preserve">    Negative Debt Refunding</t>
  </si>
  <si>
    <t xml:space="preserve">    Positive Debt Refunding</t>
  </si>
  <si>
    <t xml:space="preserve">          Total Expenditures (As Adjusted) ………………………………...…………………….</t>
  </si>
  <si>
    <t>=532+20+509-533-508</t>
  </si>
  <si>
    <t>Column C Formula</t>
  </si>
  <si>
    <t>Fund Balance Available for Performance Indicator</t>
  </si>
  <si>
    <t>General Fund Cash and investments - restricted…........................................................................................................</t>
  </si>
  <si>
    <t>Debt Service Fund Fund Balance…..................................................................................................................................</t>
  </si>
  <si>
    <t>Liabilities- General Fund…...................................................................................................................................................</t>
  </si>
  <si>
    <t>Gen Fund - Current Liabilities</t>
  </si>
  <si>
    <t>Unavailable or unearned revenues arising from cash receipts - General Fund…............................................................</t>
  </si>
  <si>
    <t>Gen Fund -deferred inflows derived from Cash Receipts</t>
  </si>
  <si>
    <t>Total expenditures - General Fund…................................................................................................................................</t>
  </si>
  <si>
    <t>Transfers out-General Fund…......................................................................................................................................................</t>
  </si>
  <si>
    <t>Gen Fund - Transfer Out</t>
  </si>
  <si>
    <t>Negative Debt Refunding….................................................................................................................................................</t>
  </si>
  <si>
    <t>Issuance of capital leases &amp; installment purchases - General Fund….............................</t>
  </si>
  <si>
    <t>Positive Debt Refunding…...................................................................................................................................................</t>
  </si>
  <si>
    <t>Total expenditures (As Adjusted)….................................................</t>
  </si>
  <si>
    <t>Fund Balance Available  as % of Expenditures….........</t>
  </si>
  <si>
    <t>Fund Balance Available for Appropriation/Total Expenditure (As Adjusted)</t>
  </si>
  <si>
    <t>General Fund Cash and investments - unrestricted…........................................................................................................</t>
  </si>
  <si>
    <t>Powell Bill Expenditures</t>
  </si>
  <si>
    <t>Fund Balance Available</t>
  </si>
  <si>
    <t>=532+20+509-533-508-1050</t>
  </si>
  <si>
    <t>Excluding Powell Bill Restricted Cash</t>
  </si>
  <si>
    <t xml:space="preserve">Calculation of Fund Balance Available at June 30 
Including Debt Service Fund for Performance Indicator
</t>
  </si>
  <si>
    <t>Account Number</t>
  </si>
  <si>
    <t xml:space="preserve"> Are the  ARPA-related funds on target to be committed by December 31, 2024 (Yes or No)</t>
  </si>
  <si>
    <t>Total ARPA funds committed and not yet expended since inception as of June 30th</t>
  </si>
  <si>
    <t>Are the  ARPA-related funds on target to be completely expended by December 31, 2026 (Yes or No)</t>
  </si>
  <si>
    <t xml:space="preserve"> Did your audit disclose as a finding bank reconciliations or subsidiary ledger reconciliations not performed timely (Yes or No)</t>
  </si>
  <si>
    <t>Did your audit disclose as a finding that the unit’s records were not completed by the agreed upon time (Yes or No)</t>
  </si>
  <si>
    <t>Did your audit disclose as a finding any statutory violations (not including budget violations) (Yes or No)</t>
  </si>
  <si>
    <t>Whitley Heights Sanitary District</t>
  </si>
  <si>
    <t>Woodfin Sanitary District</t>
  </si>
  <si>
    <t>Copy of AUL as of 5/9/2022 based on June 30 2021 final as of 7/25/2022.xlsx</t>
  </si>
  <si>
    <t>Please enter the Total Fund Balance for any Debt Service Funds from the Budgeted to Actual statement</t>
  </si>
  <si>
    <t>Unit Data from Audit Worksheet tab: (506+536-4-5-6-11+647)/(532+509+20-533-508-1050)</t>
  </si>
  <si>
    <t>GF FBA% of Exp w/o Powell Bill Formula: (506+536-4-5-6-11+647)/(532+20+509-533-508)</t>
  </si>
  <si>
    <t>Mark to Market unrealized losses in the General Fund</t>
  </si>
  <si>
    <t>Mark to Market unrealized losses in the Water and Sewer Fund</t>
  </si>
  <si>
    <t>=506+536-4-6-5</t>
  </si>
  <si>
    <t>=9-(506+536-4-6-5)</t>
  </si>
  <si>
    <t>=9-(506+536-4-6-5)-7</t>
  </si>
  <si>
    <t>Column E Formula</t>
  </si>
  <si>
    <t>=506-4-6-5</t>
  </si>
  <si>
    <r>
      <t xml:space="preserve">Telephone number - </t>
    </r>
    <r>
      <rPr>
        <b/>
        <sz val="11"/>
        <color theme="1"/>
        <rFont val="Calibri"/>
        <family val="2"/>
        <scheme val="minor"/>
      </rPr>
      <t>enter only telephone number</t>
    </r>
    <r>
      <rPr>
        <sz val="11"/>
        <color theme="1"/>
        <rFont val="Calibri"/>
        <family val="2"/>
        <scheme val="minor"/>
      </rPr>
      <t xml:space="preserve"> ###-###-####</t>
    </r>
  </si>
  <si>
    <t>Enter telephone extension, etc.</t>
  </si>
  <si>
    <r>
      <t>Date on which the local government, public authority, or designated official appointed the finance officer?</t>
    </r>
    <r>
      <rPr>
        <b/>
        <sz val="11"/>
        <color theme="5" tint="-0.249977111117893"/>
        <rFont val="Calibri"/>
        <family val="2"/>
        <scheme val="minor"/>
      </rPr>
      <t xml:space="preserve"> </t>
    </r>
    <r>
      <rPr>
        <sz val="11"/>
        <color theme="1"/>
        <rFont val="Calibri"/>
        <family val="2"/>
        <scheme val="minor"/>
      </rPr>
      <t xml:space="preserve">     </t>
    </r>
    <r>
      <rPr>
        <b/>
        <sz val="11"/>
        <color theme="1"/>
        <rFont val="Calibri"/>
        <family val="2"/>
        <scheme val="minor"/>
      </rPr>
      <t>Date Format  MM/DD/YYYY</t>
    </r>
  </si>
  <si>
    <r>
      <t xml:space="preserve">Indicate if your water/sewer system:
50 - Became Operational
51 - Ceased Operations
52 - No Change
</t>
    </r>
    <r>
      <rPr>
        <b/>
        <sz val="11"/>
        <color theme="1"/>
        <rFont val="Calibri"/>
        <family val="2"/>
        <scheme val="minor"/>
      </rPr>
      <t>Select from drop down.</t>
    </r>
  </si>
  <si>
    <r>
      <t xml:space="preserve">Do you use prepared food/occupancy tax revenue stream to support debt?  </t>
    </r>
    <r>
      <rPr>
        <b/>
        <sz val="11"/>
        <color theme="1"/>
        <rFont val="Calibri"/>
        <family val="2"/>
        <scheme val="minor"/>
      </rPr>
      <t>Select "1" for Yes and "2" for No</t>
    </r>
    <r>
      <rPr>
        <sz val="11"/>
        <color theme="1"/>
        <rFont val="Calibri"/>
        <family val="2"/>
        <scheme val="minor"/>
      </rPr>
      <t xml:space="preserve"> from drop down list.</t>
    </r>
  </si>
  <si>
    <r>
      <t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t>
    </r>
    <r>
      <rPr>
        <b/>
        <sz val="11"/>
        <color theme="1"/>
        <rFont val="Calibri"/>
        <family val="2"/>
        <scheme val="minor"/>
      </rPr>
      <t>Select from drop down list.</t>
    </r>
    <r>
      <rPr>
        <sz val="11"/>
        <color theme="1"/>
        <rFont val="Calibri"/>
        <family val="2"/>
        <scheme val="minor"/>
      </rPr>
      <t xml:space="preserve">
</t>
    </r>
  </si>
  <si>
    <r>
      <t xml:space="preserve">Do you expect to issue debt requiring LGC approval within 12 months from the date that the audit is submitted - </t>
    </r>
    <r>
      <rPr>
        <b/>
        <sz val="11"/>
        <color theme="1"/>
        <rFont val="Calibri"/>
        <family val="2"/>
        <scheme val="minor"/>
      </rPr>
      <t>select "1" for yes and "2" for no</t>
    </r>
  </si>
  <si>
    <t>Other Electricity</t>
  </si>
  <si>
    <t>Williams</t>
  </si>
  <si>
    <t>9/29/2021</t>
  </si>
  <si>
    <t>Pamela</t>
  </si>
  <si>
    <t>This calculation subtracts operating expenses  from operating revenues. Depreciation expense is not included the calculation but debt principal and interest payments are included.  A negative balance indicates that your rates are not covering your operating expenses and debt service payments.</t>
  </si>
  <si>
    <t xml:space="preserve">This calculation subtracts operating expenses  from operating revenues. Depreciation expense is not included the calculation but debt principal and interest payments are included.  A negative balance indicates that your rates are not covering your operating expenses.  </t>
  </si>
  <si>
    <t>Unit Data from Audit Worksheet tab : 84-85+49-331-89</t>
  </si>
  <si>
    <t>Unit Data from Audit worksheet tab : 93-94+52-100-98</t>
  </si>
  <si>
    <t>Unit Data from Audit worksheet tab : 90/(364+94-52+100)</t>
  </si>
  <si>
    <t>Unit Data from Audit worksheet tab : 80/(85+351-49+331)</t>
  </si>
  <si>
    <t>Capital Assets for Water and Sewer Activity (If unit maintains separate funds please combine all water, sewer and wastewater funds into one activity for purposes of this worksheet)
Exclude Stormwater funds</t>
  </si>
  <si>
    <t xml:space="preserve">The TD Info Completed by Auditor Worksheet is to be filled out using the completed audit report for the fiscal year 2023. </t>
  </si>
  <si>
    <t xml:space="preserve">- Excel file named “Unit Name 2023 Data Input Workbook" </t>
  </si>
  <si>
    <t xml:space="preserve">- PDF file of the Audit Report named “Unit Name 2023 Audit”             </t>
  </si>
  <si>
    <t>Please remember the original 2023 audit report submission cannot be processed unless we receive the following:</t>
  </si>
  <si>
    <t>Location of Documents for the 2023 Audit Submission Process</t>
  </si>
  <si>
    <t>Instructions for Audits with a Fiscal Year Ending Earlier than June 30, 2023</t>
  </si>
  <si>
    <r>
      <t xml:space="preserve">We have added questions to the  2023 TD Info Completed by Auditor tab to assist our team in routing the audit report through our review process.  Please answer </t>
    </r>
    <r>
      <rPr>
        <b/>
        <i/>
        <u/>
        <sz val="12"/>
        <color rgb="FFFF0000"/>
        <rFont val="Cambria"/>
        <family val="1"/>
      </rPr>
      <t>all</t>
    </r>
    <r>
      <rPr>
        <b/>
        <i/>
        <sz val="12"/>
        <rFont val="Cambria"/>
        <family val="1"/>
      </rPr>
      <t xml:space="preserve"> questions before submitting the Data Input Workbook to the portal.  Incomplete TD Info Completed by Auditor tabs </t>
    </r>
    <r>
      <rPr>
        <b/>
        <sz val="12"/>
        <color theme="1"/>
        <rFont val="Century Schoolbook"/>
        <family val="1"/>
      </rPr>
      <t>will be returned and may delay invoice processing</t>
    </r>
    <r>
      <rPr>
        <sz val="12"/>
        <color theme="1"/>
        <rFont val="Century Schoolbook"/>
        <family val="1"/>
      </rPr>
      <t xml:space="preserve">.  </t>
    </r>
  </si>
  <si>
    <t>If the 2023 Unit Data from Audit worksheet or the Performance Indicators Print spreadsheet is not populated with prior year's financial data for the unit of government, please email the data input workbook at lgcaudit@nctreasurer.com.  We will email you  the updated Data Input Workbook with the prior years' financial data ..</t>
  </si>
  <si>
    <t xml:space="preserve"> Did the unit have a board-appointed finance officer or board-appointed interim finance officer for the entire fiscal year (Yes or No)</t>
  </si>
  <si>
    <t>Has the finance officer or interim finance officer been formally appointed by the local government, public authority, or designated official?  (Y/N)</t>
  </si>
  <si>
    <t>TD Info Completed by Auditor : CCH acct # 1067</t>
  </si>
  <si>
    <t>Section 2:</t>
  </si>
  <si>
    <t xml:space="preserve">Does the unit have a self-insurance fund? </t>
  </si>
  <si>
    <t>Does the unit have a self-insurance fund</t>
  </si>
  <si>
    <t>American Rescue Plan Act (ARPA)</t>
  </si>
  <si>
    <t>Unrestricted cash /total expenses excluding depreciation, including debt service principal</t>
  </si>
  <si>
    <t>If you appropriated General Fund Balance in your 2023 budget and your "change in fund balance": (account # 23 above) is negative, please select from the drop down box in column F either "operations" or "capital", whichever best describes what the fund balance was used for.  Briefly describe in column G to the right what the fund balance was used for.</t>
  </si>
  <si>
    <t xml:space="preserve">Is there is a going concern noted in the audit report? </t>
  </si>
  <si>
    <r>
      <t xml:space="preserve">Number of </t>
    </r>
    <r>
      <rPr>
        <b/>
        <sz val="11"/>
        <color theme="1"/>
        <rFont val="Calibri"/>
        <family val="2"/>
        <scheme val="minor"/>
      </rPr>
      <t>significant deficiency</t>
    </r>
    <r>
      <rPr>
        <sz val="11"/>
        <color theme="1"/>
        <rFont val="Calibri"/>
        <family val="2"/>
        <scheme val="minor"/>
      </rPr>
      <t xml:space="preserve"> findings (financial statement findings only)
</t>
    </r>
    <r>
      <rPr>
        <sz val="11"/>
        <color rgb="FFFF0000"/>
        <rFont val="Calibri"/>
        <family val="2"/>
        <scheme val="minor"/>
      </rPr>
      <t>Exclude findings reported in questions  907, 951</t>
    </r>
  </si>
  <si>
    <r>
      <t xml:space="preserve">Date the auditor presented or plans to present Financial Performance Indicators of Concern (FPIC) to the Governing Board. </t>
    </r>
    <r>
      <rPr>
        <sz val="11"/>
        <color theme="9" tint="-0.499984740745262"/>
        <rFont val="Calibri"/>
        <family val="2"/>
        <scheme val="minor"/>
      </rPr>
      <t xml:space="preserve"> If there are no FPICs to present to the governing board,  enter "7/1/2023" to indicate that an FPIC response is not required.</t>
    </r>
  </si>
  <si>
    <t>If the unit is self-insured for employee health care, does the unit use a qualified consultant to establish rates and appropriate reserve levels?</t>
  </si>
  <si>
    <t>If the unit is self-insured for employee health care, does the unit use a qualified consultant to establish rates and appropriate reserve levels</t>
  </si>
  <si>
    <r>
      <t xml:space="preserve">If you are performing an audit for a year earlier than June 30, 2023, please email </t>
    </r>
    <r>
      <rPr>
        <b/>
        <sz val="12"/>
        <color theme="1"/>
        <rFont val="Cambria"/>
        <family val="1"/>
      </rPr>
      <t>LGCAudit@nctreasurer.com</t>
    </r>
    <r>
      <rPr>
        <sz val="12"/>
        <color theme="1"/>
        <rFont val="Cambria"/>
        <family val="1"/>
      </rPr>
      <t>, as you will need to use the appropriate transmittal and data input document for that time period.</t>
    </r>
  </si>
  <si>
    <r>
      <t xml:space="preserve">Number of </t>
    </r>
    <r>
      <rPr>
        <b/>
        <sz val="11"/>
        <color theme="1"/>
        <rFont val="Calibri"/>
        <family val="2"/>
        <scheme val="minor"/>
      </rPr>
      <t>material weakness</t>
    </r>
    <r>
      <rPr>
        <sz val="11"/>
        <color theme="1"/>
        <rFont val="Calibri"/>
        <family val="2"/>
        <scheme val="minor"/>
      </rPr>
      <t xml:space="preserve"> findings (financial statement findings only)
</t>
    </r>
    <r>
      <rPr>
        <sz val="11"/>
        <color rgb="FFFF0000"/>
        <rFont val="Calibri"/>
        <family val="2"/>
        <scheme val="minor"/>
      </rPr>
      <t>Exclude findings reported in questions  907, 951</t>
    </r>
  </si>
  <si>
    <t>Transfers from General Fund to Water and Sewer Fund</t>
  </si>
  <si>
    <t>Transfers from Water and Sewer to General Fund</t>
  </si>
  <si>
    <t>Not collected in prior years</t>
  </si>
  <si>
    <r>
      <t xml:space="preserve">The Unit had material weaknesses, significant deficiencies, statutory violations and/or items identified on the </t>
    </r>
    <r>
      <rPr>
        <b/>
        <i/>
        <sz val="11"/>
        <rFont val="Calibri"/>
        <family val="2"/>
        <scheme val="minor"/>
      </rPr>
      <t>TD Info Completed by Auditor</t>
    </r>
    <r>
      <rPr>
        <b/>
        <sz val="11"/>
        <rFont val="Calibri"/>
        <family val="2"/>
        <scheme val="minor"/>
      </rPr>
      <t xml:space="preserve"> tab that should be addressed in the FPIC Response Letter.  </t>
    </r>
  </si>
  <si>
    <t>The indicator is to determine if any time during the f fiscal year, the unit was without a board-appointed finance officer.</t>
  </si>
  <si>
    <r>
      <t xml:space="preserve">The </t>
    </r>
    <r>
      <rPr>
        <sz val="11"/>
        <color rgb="FFFF0000"/>
        <rFont val="Calibri"/>
        <family val="2"/>
        <scheme val="minor"/>
      </rPr>
      <t>Counties listed in cell H260 and municipalities within these counties</t>
    </r>
    <r>
      <rPr>
        <sz val="11"/>
        <color theme="1"/>
        <rFont val="Calibri"/>
        <family val="2"/>
        <scheme val="minor"/>
      </rPr>
      <t xml:space="preserve"> are scheduled to revalue property listing by 1/1/2024 according to the Dept. of Revenue records.  Please indicate if you expect your revaluation to: 
Enter  "20" for increase, 
            "21" for decrease, 
            "22" for no change,
            "23" if this question is not applicable
</t>
    </r>
    <r>
      <rPr>
        <b/>
        <sz val="11"/>
        <color theme="1"/>
        <rFont val="Calibri"/>
        <family val="2"/>
        <scheme val="minor"/>
      </rPr>
      <t>Select from drop list.</t>
    </r>
  </si>
  <si>
    <t>Cabarrus, Carteret, Edgecome, Franklin, Granville, Halifax, Nash, Perquimans, Pitt, Richmond, Roberson, Rockingham, Vance, Wake, Wilson, Yancey</t>
  </si>
  <si>
    <t>This is a description question that is retained on the data input tab - This information is not uploaded to CCH or our data base</t>
  </si>
  <si>
    <t>Capital -</t>
  </si>
  <si>
    <t>WS-Please enter any pension liabilities that are classified as current liabilities and included in account 633 above (amounts entered should agree to the current amount included in the changes to long-term debt note)</t>
  </si>
  <si>
    <t>WS-Please enter any current liabilities that are payable from restricted assets and included row 12 above (amounts entered should agree to the current amount included in the changes to long-term debt note)</t>
  </si>
  <si>
    <t>WS-Please enter any OPEB liabilities that are classified as current liabilities and included in account 633 above (amounts entered should agree to the current amount included in the changes to long-term debt note)</t>
  </si>
  <si>
    <t xml:space="preserve">Electric-Current liabilities (as reported on the Statement of Fund Net Position)
Include:   Current liabilities including current portion of long-term debt.  Deferred inflows should not be included in Current Liabilities  
</t>
  </si>
  <si>
    <t>Electric-Please enter any bond anticipation notes that are classified as current liabilities and included in account 639 above (amounts entered should agree to the current amount included in the changes to long-term debt note)</t>
  </si>
  <si>
    <t>Electric-Please enter any compensated absences that are classified as current liabilities and included in account 639 above (amounts entered should agree to the current amount included in the changes to long-term debt note)</t>
  </si>
  <si>
    <t>Electric-Please enter any pension liabilities that are classified as current liabilities and included account in 639 above (amounts entered should agree to the current amount included in the changes to long-term debt note)</t>
  </si>
  <si>
    <t>Electric-Please enter any current liabilities that are payable from restricted assets and included in account 639 above.</t>
  </si>
  <si>
    <t>Electric-Please enter any OPEB liabilities that are classified as current liabilities and included in account 639 above (amounts entered should agree to the current amount included in the changes to long-term debt note)</t>
  </si>
  <si>
    <t>David</t>
  </si>
  <si>
    <t>7/1/2022</t>
  </si>
  <si>
    <t>yes</t>
  </si>
  <si>
    <t>11/14/2022</t>
  </si>
  <si>
    <t>11/30/2022</t>
  </si>
  <si>
    <t>10/20/2022</t>
  </si>
  <si>
    <t>10/31/2022</t>
  </si>
  <si>
    <t>12/20/2022</t>
  </si>
  <si>
    <t>11/3/2022</t>
  </si>
  <si>
    <t>11/28/2022</t>
  </si>
  <si>
    <t>12/1/2022</t>
  </si>
  <si>
    <t>10/28/2022</t>
  </si>
  <si>
    <t>11/29/2022</t>
  </si>
  <si>
    <t>11/17/2022</t>
  </si>
  <si>
    <t>12/8/2022</t>
  </si>
  <si>
    <t>12/21/2022</t>
  </si>
  <si>
    <t>Number of other matters that auditor asked the unit to respond to.</t>
  </si>
  <si>
    <t>3/6/2023</t>
  </si>
  <si>
    <t>12/13/2022</t>
  </si>
  <si>
    <t>1/10/2023</t>
  </si>
  <si>
    <t>11/15/2022</t>
  </si>
  <si>
    <t>12/12/2022</t>
  </si>
  <si>
    <t>1/3/2023</t>
  </si>
  <si>
    <t>12/5/2022</t>
  </si>
  <si>
    <t>11/21/2022</t>
  </si>
  <si>
    <t>Amount transferred from the Electric Fund to an Electric Capital Project Fund</t>
  </si>
  <si>
    <t>Mark to Market unrealized losses in the General Fund.</t>
  </si>
  <si>
    <t>Mark to Market unrealized losses in the Water and Sewer Fund.</t>
  </si>
  <si>
    <t>Mark to Market unrealized losses in the Electric Fund.</t>
  </si>
  <si>
    <t>Did your audit disclose as a finding bank reconciliations or subsidiary ledger reconciliations not performed timely? (Yes or No)</t>
  </si>
  <si>
    <t>Did your audit disclose as a finding that the unitGÇÖs records were not completed by the agreed upon time? (Yes or No)</t>
  </si>
  <si>
    <t>Did the unit have a board-appointed finance officer the entire fiscal year? (Yes or No)?</t>
  </si>
  <si>
    <t>Total ARPA funds actually expended since inception as of June 30th. -áDo not include encumbered funds in this number.</t>
  </si>
  <si>
    <t>Total ARPA funds committed and not yet expended since inception as of June 30th.</t>
  </si>
  <si>
    <t>Are the-á ARPA-related funds on target to be committed by December 31, 2024? (Yes or No)</t>
  </si>
  <si>
    <t>Are the-á ARPA-related funds on target to be completely expended by December 31, 2026? (Yes or No)</t>
  </si>
  <si>
    <t>Single Audit Only - Coronavirus State and Local Recovery Funds expenditures (21.027)</t>
  </si>
  <si>
    <t>Single Audit Only - Opioid Settlement Funds</t>
  </si>
  <si>
    <t>Date Audit First Received</t>
  </si>
  <si>
    <t>2022-11-29</t>
  </si>
  <si>
    <t>2022-11-30</t>
  </si>
  <si>
    <t>2022-10-31</t>
  </si>
  <si>
    <t>2022-11-28</t>
  </si>
  <si>
    <t>2022-12-01</t>
  </si>
  <si>
    <t>WS - total operating revenues less total operating expenses plus depreciation less debt service principal payments and less debt service interest expense payments Formula: 84-85+49-331-89</t>
  </si>
  <si>
    <t>WS - unrestricted cash and investments divided by (total operating expenses plus total all non-operating expenses less depreciation plus debt service principal payments) Formula: 80/(85+351-49+331)</t>
  </si>
  <si>
    <t>Elec - total operating revenues less total operating expenses plus depreciation less debt service principal payments and less debt service interest expense payments Formula: 93-94+52-100-98</t>
  </si>
  <si>
    <t>Elec - unrestricted cash and investments divided by (total operating expenses plus total all non-operating expenses less depreciation plus debt service principal payments) Formula: 90/(94+364-52+100)</t>
  </si>
  <si>
    <t>Audit Report 2022</t>
  </si>
  <si>
    <t>sum</t>
  </si>
  <si>
    <t>Net Total row 279 less row 326</t>
  </si>
  <si>
    <t>Batch Total 9000</t>
  </si>
  <si>
    <t>New Account 647 for FY 2020 added to formula and new account 1050 added FY 2022</t>
  </si>
  <si>
    <t>Audit Year  2021</t>
  </si>
  <si>
    <t>-</t>
  </si>
  <si>
    <t>Units with Electric Operations have 0.07, 0.08, 0.09</t>
  </si>
  <si>
    <t>PY 2</t>
  </si>
  <si>
    <t>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t>
  </si>
  <si>
    <r>
      <t>Fund balance available for appropriation is an important reserve for local governments to provide cash flow during pe</t>
    </r>
    <r>
      <rPr>
        <sz val="12"/>
        <rFont val="Calibri"/>
        <family val="2"/>
        <scheme val="minor"/>
      </rPr>
      <t xml:space="preserve">riods of declining revenues and to be used for emergencies and unforeseen expenditures.  The information to the left indicates the amount of available cash on hand.  You will also see the average for units of your size. </t>
    </r>
    <r>
      <rPr>
        <b/>
        <sz val="12"/>
        <rFont val="Calibri"/>
        <family val="2"/>
        <scheme val="minor"/>
      </rPr>
      <t xml:space="preserve"> Note that 8.33% represents enough fund balance to cover only one month of expenditures.</t>
    </r>
    <r>
      <rPr>
        <sz val="12"/>
        <rFont val="Calibri"/>
        <family val="2"/>
        <scheme val="minor"/>
      </rPr>
      <t xml:space="preserve">  Normally, a unit has to either increase revenues or decrease expenditures to increase fund balance available. 
This calculation looks at fund balance available plus debt service fund balance (if applicable) </t>
    </r>
    <r>
      <rPr>
        <sz val="12"/>
        <color theme="1"/>
        <rFont val="Calibri"/>
        <family val="2"/>
        <scheme val="minor"/>
      </rPr>
      <t xml:space="preserve">less Powell Bill </t>
    </r>
    <r>
      <rPr>
        <sz val="12"/>
        <rFont val="Calibri"/>
        <family val="2"/>
        <scheme val="minor"/>
      </rPr>
      <t>restricted fund balance</t>
    </r>
    <r>
      <rPr>
        <sz val="12"/>
        <color rgb="FFFF0000"/>
        <rFont val="Calibri"/>
        <family val="2"/>
        <scheme val="minor"/>
      </rPr>
      <t>.</t>
    </r>
    <r>
      <rPr>
        <sz val="12"/>
        <color theme="1"/>
        <rFont val="Calibri"/>
        <family val="2"/>
        <scheme val="minor"/>
      </rPr>
      <t xml:space="preserve">  This number is them divided by the total of total expenditures plus transfers out less bond proceeds and less amount expended for Powell Bill Expenditures.
</t>
    </r>
  </si>
  <si>
    <t>2021-2022</t>
  </si>
  <si>
    <t xml:space="preserve">CABARRUS </t>
  </si>
  <si>
    <t>Cabarrus County</t>
  </si>
  <si>
    <t xml:space="preserve">CARTERET </t>
  </si>
  <si>
    <t>Carteret County</t>
  </si>
  <si>
    <t xml:space="preserve">EDGECOMBE </t>
  </si>
  <si>
    <t xml:space="preserve">FRANKLIN </t>
  </si>
  <si>
    <t>Franklin County</t>
  </si>
  <si>
    <t xml:space="preserve">GRANVILLE </t>
  </si>
  <si>
    <t>Granville County</t>
  </si>
  <si>
    <t xml:space="preserve">HALIFAX </t>
  </si>
  <si>
    <t>Halifax County</t>
  </si>
  <si>
    <t xml:space="preserve">NASH </t>
  </si>
  <si>
    <t>Nash County</t>
  </si>
  <si>
    <t xml:space="preserve">PERQUIMANS </t>
  </si>
  <si>
    <t>Perquimans County</t>
  </si>
  <si>
    <t xml:space="preserve">PITT </t>
  </si>
  <si>
    <t>Pitt County</t>
  </si>
  <si>
    <t xml:space="preserve">RICHMOND </t>
  </si>
  <si>
    <t>Richmond County</t>
  </si>
  <si>
    <t xml:space="preserve">ROBESON </t>
  </si>
  <si>
    <t>Robeson County</t>
  </si>
  <si>
    <t xml:space="preserve">ROCKINGHAM </t>
  </si>
  <si>
    <t>Rockingham County</t>
  </si>
  <si>
    <t xml:space="preserve">VANCE </t>
  </si>
  <si>
    <t>Vance County</t>
  </si>
  <si>
    <t xml:space="preserve">WAKE </t>
  </si>
  <si>
    <t>Wake County</t>
  </si>
  <si>
    <t xml:space="preserve">WILSON </t>
  </si>
  <si>
    <t>Wilson County</t>
  </si>
  <si>
    <t xml:space="preserve">ALAMANCE </t>
  </si>
  <si>
    <t>Alamance County</t>
  </si>
  <si>
    <t xml:space="preserve">ALEXANDER </t>
  </si>
  <si>
    <t>Alexander County</t>
  </si>
  <si>
    <t xml:space="preserve">ALLEGHANY  </t>
  </si>
  <si>
    <t>Alleghany County</t>
  </si>
  <si>
    <t xml:space="preserve">ANSON </t>
  </si>
  <si>
    <t xml:space="preserve">ASHE </t>
  </si>
  <si>
    <t>Ashe County</t>
  </si>
  <si>
    <t xml:space="preserve">AVERY </t>
  </si>
  <si>
    <t>Avery County</t>
  </si>
  <si>
    <t xml:space="preserve">BEAUFORT </t>
  </si>
  <si>
    <t>Beaufort County</t>
  </si>
  <si>
    <t xml:space="preserve">BERTIE </t>
  </si>
  <si>
    <t xml:space="preserve">BLADEN </t>
  </si>
  <si>
    <t>Bladen County</t>
  </si>
  <si>
    <t xml:space="preserve">BRUNSWICK </t>
  </si>
  <si>
    <t>Brunswick County</t>
  </si>
  <si>
    <t xml:space="preserve">BUNCOMBE </t>
  </si>
  <si>
    <t>Buncombe County</t>
  </si>
  <si>
    <t xml:space="preserve">BURKE </t>
  </si>
  <si>
    <t>Burke County</t>
  </si>
  <si>
    <t xml:space="preserve">CALDWELL </t>
  </si>
  <si>
    <t>Caldwell County</t>
  </si>
  <si>
    <t xml:space="preserve">CAMDEN </t>
  </si>
  <si>
    <t>Camden County</t>
  </si>
  <si>
    <t xml:space="preserve">CASWELL </t>
  </si>
  <si>
    <t xml:space="preserve">CATAWBA </t>
  </si>
  <si>
    <t>Catawba County</t>
  </si>
  <si>
    <t xml:space="preserve">CHATHAM </t>
  </si>
  <si>
    <t>Chatham County</t>
  </si>
  <si>
    <t xml:space="preserve">CHEROKEE </t>
  </si>
  <si>
    <t xml:space="preserve">CHOWAN </t>
  </si>
  <si>
    <t>Chowan County</t>
  </si>
  <si>
    <t xml:space="preserve">CLAY </t>
  </si>
  <si>
    <t>Clay County</t>
  </si>
  <si>
    <t xml:space="preserve">CLEVELAND </t>
  </si>
  <si>
    <t>Cleveland County</t>
  </si>
  <si>
    <t xml:space="preserve">COLUMBUS </t>
  </si>
  <si>
    <t xml:space="preserve">CRAVEN </t>
  </si>
  <si>
    <t>Craven County</t>
  </si>
  <si>
    <t xml:space="preserve">CUMBERLAND </t>
  </si>
  <si>
    <t>Cumberland County</t>
  </si>
  <si>
    <t xml:space="preserve">CURRITUCK </t>
  </si>
  <si>
    <t>Currituck County</t>
  </si>
  <si>
    <t xml:space="preserve">DARE </t>
  </si>
  <si>
    <t>Dare County</t>
  </si>
  <si>
    <t xml:space="preserve">DAVIDSON </t>
  </si>
  <si>
    <t>Davidson County</t>
  </si>
  <si>
    <t xml:space="preserve">DAVIE </t>
  </si>
  <si>
    <t>Davie County</t>
  </si>
  <si>
    <t xml:space="preserve">DUPLIN </t>
  </si>
  <si>
    <t>Duplin County</t>
  </si>
  <si>
    <t xml:space="preserve">DURHAM </t>
  </si>
  <si>
    <t>Durham County</t>
  </si>
  <si>
    <t xml:space="preserve">FORSYTH </t>
  </si>
  <si>
    <t>Forsyth County</t>
  </si>
  <si>
    <t xml:space="preserve">GASTON </t>
  </si>
  <si>
    <t>Gaston County</t>
  </si>
  <si>
    <t xml:space="preserve">GATES </t>
  </si>
  <si>
    <t>Gates County</t>
  </si>
  <si>
    <t xml:space="preserve">GRAHAM </t>
  </si>
  <si>
    <t>Graham County</t>
  </si>
  <si>
    <t xml:space="preserve">GREENE </t>
  </si>
  <si>
    <t>Greene County</t>
  </si>
  <si>
    <t xml:space="preserve">GUILFORD </t>
  </si>
  <si>
    <t>Guilford County</t>
  </si>
  <si>
    <t xml:space="preserve">HARNETT </t>
  </si>
  <si>
    <t>Harnett County</t>
  </si>
  <si>
    <t xml:space="preserve">HAYWOOD </t>
  </si>
  <si>
    <t>Haywood County</t>
  </si>
  <si>
    <t xml:space="preserve">HENDERSON </t>
  </si>
  <si>
    <t>Henderson County</t>
  </si>
  <si>
    <t xml:space="preserve">HERTFORD </t>
  </si>
  <si>
    <t>Hertford County</t>
  </si>
  <si>
    <t xml:space="preserve">HOKE </t>
  </si>
  <si>
    <t>Hoke County</t>
  </si>
  <si>
    <t xml:space="preserve">HYDE </t>
  </si>
  <si>
    <t xml:space="preserve">IREDELL </t>
  </si>
  <si>
    <t>Iredell County</t>
  </si>
  <si>
    <t xml:space="preserve">JACKSON </t>
  </si>
  <si>
    <t>Jackson County</t>
  </si>
  <si>
    <t xml:space="preserve">JOHNSTON </t>
  </si>
  <si>
    <t>Johnston County</t>
  </si>
  <si>
    <t xml:space="preserve">JONES </t>
  </si>
  <si>
    <t>Jones County</t>
  </si>
  <si>
    <t xml:space="preserve">LEE </t>
  </si>
  <si>
    <t>Lee County</t>
  </si>
  <si>
    <t xml:space="preserve">LENOIR </t>
  </si>
  <si>
    <t>Lenoir County</t>
  </si>
  <si>
    <t xml:space="preserve">LINCOLN </t>
  </si>
  <si>
    <t>Lincoln County</t>
  </si>
  <si>
    <t xml:space="preserve">MACON </t>
  </si>
  <si>
    <t>Macon County</t>
  </si>
  <si>
    <t xml:space="preserve">MADISON </t>
  </si>
  <si>
    <t>Madison County</t>
  </si>
  <si>
    <t xml:space="preserve">MARTIN </t>
  </si>
  <si>
    <t xml:space="preserve">MCDOWELL </t>
  </si>
  <si>
    <t>Mcdowell County</t>
  </si>
  <si>
    <t xml:space="preserve">MECKLENBURG </t>
  </si>
  <si>
    <t>Mecklenburg County</t>
  </si>
  <si>
    <t xml:space="preserve">MITCHELL </t>
  </si>
  <si>
    <t>Mitchell County</t>
  </si>
  <si>
    <t xml:space="preserve">MONTGOMERY </t>
  </si>
  <si>
    <t>Montgomery County</t>
  </si>
  <si>
    <t xml:space="preserve">MOORE </t>
  </si>
  <si>
    <t>Moore County</t>
  </si>
  <si>
    <t xml:space="preserve">NEW HANOVER </t>
  </si>
  <si>
    <t>New Hanover County</t>
  </si>
  <si>
    <t xml:space="preserve">NORTHAMPTON </t>
  </si>
  <si>
    <t xml:space="preserve">ONSLOW </t>
  </si>
  <si>
    <t>Onslow County</t>
  </si>
  <si>
    <t xml:space="preserve">ORANGE </t>
  </si>
  <si>
    <t>Orange County</t>
  </si>
  <si>
    <t xml:space="preserve">PAMLICO </t>
  </si>
  <si>
    <t>Pamlico County</t>
  </si>
  <si>
    <t xml:space="preserve">PASQUOTANK </t>
  </si>
  <si>
    <t>Pasquotank County</t>
  </si>
  <si>
    <t xml:space="preserve">PENDER </t>
  </si>
  <si>
    <t xml:space="preserve">PERSON </t>
  </si>
  <si>
    <t>Person County</t>
  </si>
  <si>
    <t xml:space="preserve">POLK </t>
  </si>
  <si>
    <t>Polk County</t>
  </si>
  <si>
    <t xml:space="preserve">RANDOLPH </t>
  </si>
  <si>
    <t>Randolph County</t>
  </si>
  <si>
    <t xml:space="preserve">ROWAN </t>
  </si>
  <si>
    <t>Rowan County</t>
  </si>
  <si>
    <t xml:space="preserve">RUTHERFORD </t>
  </si>
  <si>
    <t>Rutherford County</t>
  </si>
  <si>
    <t xml:space="preserve">SAMPSON </t>
  </si>
  <si>
    <t>Sampson County</t>
  </si>
  <si>
    <t xml:space="preserve">SCOTLAND </t>
  </si>
  <si>
    <t xml:space="preserve">STANLY </t>
  </si>
  <si>
    <t>Stanly County</t>
  </si>
  <si>
    <t xml:space="preserve">STOKES </t>
  </si>
  <si>
    <t>Stokes County</t>
  </si>
  <si>
    <t xml:space="preserve">SURRY </t>
  </si>
  <si>
    <t>Surry County</t>
  </si>
  <si>
    <t xml:space="preserve">SWAIN </t>
  </si>
  <si>
    <t>Swain County</t>
  </si>
  <si>
    <t xml:space="preserve">TRANSYLVANIA </t>
  </si>
  <si>
    <t>Transylvania County</t>
  </si>
  <si>
    <t xml:space="preserve">TYRRELL </t>
  </si>
  <si>
    <t xml:space="preserve">UNION </t>
  </si>
  <si>
    <t>Union County</t>
  </si>
  <si>
    <t xml:space="preserve">WARREN </t>
  </si>
  <si>
    <t>Warren County</t>
  </si>
  <si>
    <t xml:space="preserve">WASHINGTON </t>
  </si>
  <si>
    <t>Washington County</t>
  </si>
  <si>
    <t xml:space="preserve">WATAUGA </t>
  </si>
  <si>
    <t>Watauga County</t>
  </si>
  <si>
    <t xml:space="preserve">WAYNE </t>
  </si>
  <si>
    <t>Wayne County</t>
  </si>
  <si>
    <t xml:space="preserve">WILKES </t>
  </si>
  <si>
    <t>Wilkes County</t>
  </si>
  <si>
    <t xml:space="preserve">YADKIN </t>
  </si>
  <si>
    <t>Yadkin County</t>
  </si>
  <si>
    <t xml:space="preserve">YANCEY </t>
  </si>
  <si>
    <t>Yancey County</t>
  </si>
  <si>
    <t>`</t>
  </si>
  <si>
    <r>
      <t xml:space="preserve">Transfers from General Fund to Water and Sewer Fund.  </t>
    </r>
    <r>
      <rPr>
        <sz val="11"/>
        <color theme="5" tint="-0.249977111117893"/>
        <rFont val="Calibri"/>
        <family val="2"/>
        <scheme val="minor"/>
      </rPr>
      <t>(Enter as positive)</t>
    </r>
  </si>
  <si>
    <r>
      <t xml:space="preserve">Transfers from Water and Sewer to General Fund.  </t>
    </r>
    <r>
      <rPr>
        <sz val="11"/>
        <color theme="5" tint="-0.249977111117893"/>
        <rFont val="Calibri"/>
        <family val="2"/>
        <scheme val="minor"/>
      </rPr>
      <t>(Enter as positive)</t>
    </r>
  </si>
  <si>
    <t xml:space="preserve">Was an AU-C Section 260 (The Auditor's Communication With Those Charged With Governance) letter issued?     </t>
  </si>
  <si>
    <r>
      <t xml:space="preserve">This indicator calculates how many month's worth of expenses (including debt principal but not depreciation) a unit can pay based on the amount of unrestricted cash at year-end.  The typical billing cycle is one month (8.33%) and one extra month usually gives a local government enough cash to handle unusual monthly expenses (16.66%). </t>
    </r>
    <r>
      <rPr>
        <b/>
        <sz val="12"/>
        <color theme="1"/>
        <rFont val="Calibri"/>
        <family val="2"/>
        <scheme val="minor"/>
      </rPr>
      <t xml:space="preserve"> This 16% would be the bare minimum necessary to keep the fund from experiencing cash flow issues.</t>
    </r>
  </si>
  <si>
    <t>Water and Sewer - Fund Revenue, Expenses &amp; Changes in Fund Net Position or Notes to Financial Statements</t>
  </si>
  <si>
    <t>Was an AU-C Section 265 (Communicating Internal Control Related Matters Identified in an Audit) letter issued?</t>
  </si>
  <si>
    <r>
      <t xml:space="preserve">This indicator identifies whether the unit has any material weaknesses, significant deficiencies, management letter comments or items identified on the </t>
    </r>
    <r>
      <rPr>
        <b/>
        <i/>
        <sz val="14"/>
        <color theme="1"/>
        <rFont val="Calibri"/>
        <family val="2"/>
        <scheme val="minor"/>
      </rPr>
      <t>TD Info Completed by Audit tab</t>
    </r>
    <r>
      <rPr>
        <b/>
        <sz val="14"/>
        <color theme="1"/>
        <rFont val="Calibri"/>
        <family val="2"/>
        <scheme val="minor"/>
      </rPr>
      <t xml:space="preserve"> including 1055, 1056, 1058, 955 and 957, that require a response.</t>
    </r>
  </si>
  <si>
    <t>The indicator is to determine if at any time during the fiscal year, the unit was without a bonded, board-appoint finance officer as required by G.S. 159-29.</t>
  </si>
  <si>
    <t>This indicator advises whether or not the unit has issues with debt service payments or bond covenants.</t>
  </si>
  <si>
    <t>This indicator advises if any other issues that the unit should address in the FPIC response letter.</t>
  </si>
  <si>
    <t>Fiscal Year 2023</t>
  </si>
  <si>
    <t>GF FBA% of Exp w/o Powell Bill Formula: (506+536-4-5-6-11+647)/(532+20+509-533-508-1050)</t>
  </si>
  <si>
    <t>This indicator advises if there were electric transfers in violation of G.S. 159B-39 or in violation of the unit's transfer policy.</t>
  </si>
  <si>
    <r>
      <rPr>
        <u/>
        <sz val="11"/>
        <rFont val="Calibri"/>
        <family val="2"/>
        <scheme val="minor"/>
      </rPr>
      <t xml:space="preserve">Please enter the </t>
    </r>
    <r>
      <rPr>
        <b/>
        <u/>
        <sz val="11"/>
        <rFont val="Calibri"/>
        <family val="2"/>
        <scheme val="minor"/>
      </rPr>
      <t xml:space="preserve">Net Current year's levy for property </t>
    </r>
    <r>
      <rPr>
        <b/>
        <u/>
        <sz val="11"/>
        <color rgb="FFFF0000"/>
        <rFont val="Calibri"/>
        <family val="2"/>
        <scheme val="minor"/>
      </rPr>
      <t>excluding registered motor vehicles</t>
    </r>
    <r>
      <rPr>
        <sz val="11"/>
        <rFont val="Calibri"/>
        <family val="2"/>
        <scheme val="minor"/>
      </rPr>
      <t xml:space="preserve">-- </t>
    </r>
    <r>
      <rPr>
        <sz val="11"/>
        <color indexed="60"/>
        <rFont val="Calibri"/>
        <family val="2"/>
        <scheme val="minor"/>
      </rPr>
      <t xml:space="preserve">(after adjusting for discoveries and abatements) - </t>
    </r>
    <r>
      <rPr>
        <sz val="11"/>
        <rFont val="Calibri"/>
        <family val="2"/>
        <scheme val="minor"/>
      </rPr>
      <t xml:space="preserve">
</t>
    </r>
    <r>
      <rPr>
        <b/>
        <sz val="11"/>
        <rFont val="Calibri"/>
        <family val="2"/>
        <scheme val="minor"/>
      </rPr>
      <t>Exclude</t>
    </r>
    <r>
      <rPr>
        <sz val="11"/>
        <rFont val="Calibri"/>
        <family val="2"/>
        <scheme val="minor"/>
      </rPr>
      <t xml:space="preserve"> Supplemental Taxes</t>
    </r>
  </si>
  <si>
    <t xml:space="preserve"> Did your audit disclose bank reconciliations or subsidiary ledger reconciliations not performed timely? (Yes or No)</t>
  </si>
  <si>
    <t>=506+536+647-11-4-6-5</t>
  </si>
  <si>
    <r>
      <t xml:space="preserve">Does the Unit have a non-state administered pension plan?
</t>
    </r>
    <r>
      <rPr>
        <sz val="11"/>
        <color theme="5" tint="-0.249977111117893"/>
        <rFont val="Calibri"/>
        <family val="2"/>
        <scheme val="minor"/>
      </rPr>
      <t>(Note - OPEB is not a pension plan.)</t>
    </r>
  </si>
  <si>
    <t>- PDF file of all communication letters from the auditor to the unit  named “Unit Name 2023 comm #1”, “Unit Name 2023 comm #2”, etc.</t>
  </si>
  <si>
    <r>
      <rPr>
        <b/>
        <i/>
        <sz val="12"/>
        <rFont val="Cambria"/>
        <family val="1"/>
      </rPr>
      <t xml:space="preserve"> Data Input Workbook</t>
    </r>
    <r>
      <rPr>
        <i/>
        <sz val="12"/>
        <rFont val="Cambria"/>
        <family val="1"/>
      </rPr>
      <t xml:space="preserve"> - This workbook combines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</si>
  <si>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t xml:space="preserve">This self-reported data is used in calculations including but not limited to: reporting Financial Performance Indicators (FPI), FPI thresholds, published memos, legislative reporting, and determining units placed on the Unit Assistance List (UAL). </t>
  </si>
  <si>
    <t xml:space="preserve">new </t>
  </si>
  <si>
    <t>Water and Sewer Condition of Assets</t>
  </si>
  <si>
    <t>new</t>
  </si>
  <si>
    <r>
      <t xml:space="preserve">There was appropriated fund balance for the General Fund in the 2023 budget </t>
    </r>
    <r>
      <rPr>
        <b/>
        <u/>
        <sz val="11"/>
        <color theme="1"/>
        <rFont val="Calibri"/>
        <family val="2"/>
        <scheme val="minor"/>
      </rPr>
      <t>AND</t>
    </r>
    <r>
      <rPr>
        <b/>
        <sz val="11"/>
        <color theme="1"/>
        <rFont val="Calibri"/>
        <family val="2"/>
        <scheme val="minor"/>
      </rPr>
      <t xml:space="preserve"> your change in fund balance was negative.  Please state if fund balance was used for operations or capital purposes </t>
    </r>
    <r>
      <rPr>
        <b/>
        <sz val="11"/>
        <color rgb="FFFF0000"/>
        <rFont val="Calibri"/>
        <family val="2"/>
        <scheme val="minor"/>
      </rPr>
      <t>in account 590 on the Unit Data from Audit Worksheet.</t>
    </r>
  </si>
  <si>
    <t xml:space="preserve">Are the American Rescue Plan Act (ARPA) of 2021-Coronavrius State &amp; Local Fiscal Recovery Funds on target to be committed by December 31, 2024? (Yes = 1 or No = 2or N/A = 3 if unit did not receive funds) </t>
  </si>
  <si>
    <t>Are the American Rescue Plan Act (ARPA) of 2021-Coronavrius State &amp; Local Fiscal Recovery Funds on target to be completely expended by December 31, 2026? (Yes = 1 or No = 2 or N/A = 3 if unit did not receive funds)</t>
  </si>
  <si>
    <t>Did your audit disclose any budget violations at the adopted ordinance level? (Yes or No)</t>
  </si>
  <si>
    <t>Did your audit disclose as a finding any statutory violations? (not including budget violations) (Yes or No) If the answer  is "Yes", review whether this needs to be disclosed in the Stewardship, Compliance and Accountability Note</t>
  </si>
  <si>
    <t>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t>
  </si>
  <si>
    <t>Does the Performance Indicator Print worksheet in this workbook have a red shaded cell?</t>
  </si>
  <si>
    <t>Please enter page number if information included in the audit report/other communications</t>
  </si>
  <si>
    <t>Cash &amp; Tax Memo, UAL Determination, Financial Performance Indicator</t>
  </si>
  <si>
    <t>Review Summary - FBA, UAL Determination, Financial Performation Indicator</t>
  </si>
  <si>
    <t>Determination of Fiscal Health, UAL Determination, Financial Performance Indicator</t>
  </si>
  <si>
    <t>Review Summary, UAL Determination, Financial Performance Indicator</t>
  </si>
  <si>
    <t>Error Detection, UAL Determination, Financial Performance Indicator</t>
  </si>
  <si>
    <t>Water Sewer Dashboard, UAL Determination, Financial Performance Indicator</t>
  </si>
  <si>
    <t>UAL Determination, Financial Performance Indicator</t>
  </si>
  <si>
    <t>Review Summary; Electric Memo, Financial Performance Indicator</t>
  </si>
  <si>
    <t>Dashboard; Determination of Fiscal Health, Financial Performance Indicator</t>
  </si>
  <si>
    <t>Determination of Fiscal Health, Financial Performance Indicator</t>
  </si>
  <si>
    <t>Dashboard, Electric Memo, Financial Performance Indicator</t>
  </si>
  <si>
    <t>Electric Memo, Financial Performance Indicator</t>
  </si>
  <si>
    <t>Electric Memo, Dashboard, Financial Performance Indicator</t>
  </si>
  <si>
    <t>Dashboard, Financial Performance Indicator</t>
  </si>
  <si>
    <t>Finance Performance Indicator</t>
  </si>
  <si>
    <t>Financial Performance Indicator</t>
  </si>
  <si>
    <t>Water Sewer Dashboard, Financial Performance Indicator</t>
  </si>
  <si>
    <t>Review Summary, Financial Performance Indicator</t>
  </si>
  <si>
    <t>Electric Fund Transfer worksheet, Financial Performance Indicator</t>
  </si>
  <si>
    <t>Electric Transfer Calculation, Financial Performance Indicator</t>
  </si>
  <si>
    <t xml:space="preserve"> 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t>
  </si>
  <si>
    <t>need to have this formula for formula on FPIC FBA% graph to work</t>
  </si>
  <si>
    <t>Unit Data from Audit worksheet tab:
 1-((523+524+525+526)/(515+516+517+518))</t>
  </si>
  <si>
    <t>The data collected in the Data Input Workbook is used for reporting purposes. This self-reported data is used in:  (1) determining units placed on the Unit Assistance List (2) calculation of Financial Indicators of Concern (3) Statistical Memos (4) internal reports used for audit review analysis.  Other state agencies and other governmental entities are provided with data that they use for their purposes on a recurring basis such as the Department of Environmental Quality and the UNC, School of Government, Environmental Finance Center.</t>
  </si>
  <si>
    <t>As of the publication date of this workbook, prior year self-reported numbers may not been received by the LGC staff, please contact LGC staff at lgcaudit@nctreasurer.com to have the prior year’s numbers populated on this worksheet.  Please include in email subject "Prior Year Financial Data."</t>
  </si>
  <si>
    <t>It appears your Water Sewer Fund has transfers-in for the support of operations that are greater than 3% of the total of operating and non-operating expenses.  Please discuss the purpose of such transfers-in and if you plan to continue these transfers-in.</t>
  </si>
  <si>
    <t>Unit Data from Audit Worksheet tab : 590 and 23</t>
  </si>
  <si>
    <r>
      <t xml:space="preserve">GENERAL FUND:
</t>
    </r>
    <r>
      <rPr>
        <b/>
        <sz val="11"/>
        <color rgb="FFFF0000"/>
        <rFont val="Calibri"/>
        <family val="2"/>
        <scheme val="minor"/>
      </rPr>
      <t>As of the publication date of this workbook, prior year self-reported numbers may not been received by the LGC staff, please contact LGC staff at lgcaudit@nctreasurer.com to have the prior year’s financial data populated on this worksheet.  Please include in email subject "Prior Year Financial Data."</t>
    </r>
  </si>
  <si>
    <r>
      <t xml:space="preserve">WATER SEWER FUND:
</t>
    </r>
    <r>
      <rPr>
        <b/>
        <sz val="11"/>
        <color rgb="FFFF0000"/>
        <rFont val="Calibri"/>
        <family val="2"/>
        <scheme val="minor"/>
      </rPr>
      <t>As of the publication date of this workbook, prior year self-reported numbers may not been received by the LGC staff, please contact LGC staff at lgcaudit@nctreasurer.com to have the prior year’s financial data populated on this worksheet.  Please include in email subject "Prior Year Financial Data."</t>
    </r>
  </si>
  <si>
    <r>
      <t xml:space="preserve">ELECTRIC FUND:
</t>
    </r>
    <r>
      <rPr>
        <b/>
        <sz val="11"/>
        <color rgb="FFFF0000"/>
        <rFont val="Calibri"/>
        <family val="2"/>
        <scheme val="minor"/>
      </rPr>
      <t>As of the publication date of this workbook, prior year self-reported numbers may not been received by the LGC staff, please contact LGC staff at lgcaudit@nctreasurer.com to have the prior year’s financial data populated on this worksheet.  Please include in email subject "Prior Year Financial Data."</t>
    </r>
  </si>
  <si>
    <t>12</t>
  </si>
  <si>
    <t>did not use 1050 before year 2022</t>
  </si>
  <si>
    <t>FPIC graph</t>
  </si>
  <si>
    <t>Was the finance officer or interim finance officer bonded (Yes or No) pursuant to G.S. 159-29</t>
  </si>
  <si>
    <t>Vickie</t>
  </si>
  <si>
    <t>Strickland</t>
  </si>
  <si>
    <t>Harrell</t>
  </si>
  <si>
    <t>permanent</t>
  </si>
  <si>
    <t>1/1/2008</t>
  </si>
  <si>
    <t>1/1/2017</t>
  </si>
  <si>
    <t>1/1/2019</t>
  </si>
  <si>
    <t>1/1/2018</t>
  </si>
  <si>
    <t>7/1/2021</t>
  </si>
  <si>
    <t>Chief Financial Officer</t>
  </si>
  <si>
    <t>Interim Finance Director</t>
  </si>
  <si>
    <t>10/14/2021</t>
  </si>
  <si>
    <t>11/12/2021</t>
  </si>
  <si>
    <t>11/18/2022</t>
  </si>
  <si>
    <t>11/5/2021</t>
  </si>
  <si>
    <t>11/8/2021</t>
  </si>
  <si>
    <t>2/1/2022</t>
  </si>
  <si>
    <t>12/16/2021</t>
  </si>
  <si>
    <t>12/8/2021</t>
  </si>
  <si>
    <t>2/7/2022</t>
  </si>
  <si>
    <t>11/1/2022</t>
  </si>
  <si>
    <t>3/25/2022</t>
  </si>
  <si>
    <t>3/21/2022</t>
  </si>
  <si>
    <t>3/7/2022</t>
  </si>
  <si>
    <t>12/15/2022</t>
  </si>
  <si>
    <t>1/30/2023</t>
  </si>
  <si>
    <t>5/31/2023</t>
  </si>
  <si>
    <t>1/9/2023</t>
  </si>
  <si>
    <t>7/10/2023</t>
  </si>
  <si>
    <t>2022-11-11</t>
  </si>
  <si>
    <t>2023-02-03</t>
  </si>
  <si>
    <t>2023-02-22</t>
  </si>
  <si>
    <t>2022-11-17</t>
  </si>
  <si>
    <t>2022-10-12</t>
  </si>
  <si>
    <t>2022-11-18</t>
  </si>
  <si>
    <t>2023-01-31</t>
  </si>
  <si>
    <t>Sharon</t>
  </si>
  <si>
    <t>Heather</t>
  </si>
  <si>
    <t>Martha</t>
  </si>
  <si>
    <t>Sarah</t>
  </si>
  <si>
    <t>Beverly</t>
  </si>
  <si>
    <t>Caitlin</t>
  </si>
  <si>
    <t>Michelle</t>
  </si>
  <si>
    <t>Chad</t>
  </si>
  <si>
    <t>Richard</t>
  </si>
  <si>
    <t>Brian</t>
  </si>
  <si>
    <t>John</t>
  </si>
  <si>
    <t>Moore</t>
  </si>
  <si>
    <t>Taylor</t>
  </si>
  <si>
    <t>Brown</t>
  </si>
  <si>
    <t>Buchanan</t>
  </si>
  <si>
    <t>Miller</t>
  </si>
  <si>
    <t>Vinson</t>
  </si>
  <si>
    <t>1/1/1995</t>
  </si>
  <si>
    <t>1/1/2011</t>
  </si>
  <si>
    <t>1/1/2015</t>
  </si>
  <si>
    <t>1/1/2012</t>
  </si>
  <si>
    <t>9/1/2021</t>
  </si>
  <si>
    <t>6/11/2018</t>
  </si>
  <si>
    <t>Financial Services Director</t>
  </si>
  <si>
    <t>1/14/2022</t>
  </si>
  <si>
    <t>11/28/2021</t>
  </si>
  <si>
    <t>1/27/2022</t>
  </si>
  <si>
    <t>10/28/2021</t>
  </si>
  <si>
    <t>10/13/2021</t>
  </si>
  <si>
    <t>11/4/2021</t>
  </si>
  <si>
    <t>12/28/2021</t>
  </si>
  <si>
    <t>10/31/2021</t>
  </si>
  <si>
    <t>9/12/2022</t>
  </si>
  <si>
    <t>6/30/2022</t>
  </si>
  <si>
    <t>1/20/2022</t>
  </si>
  <si>
    <t>Crystal</t>
  </si>
  <si>
    <t>Presnell</t>
  </si>
  <si>
    <t>1/1/2005</t>
  </si>
  <si>
    <t>10/17/2022</t>
  </si>
  <si>
    <t>10/21/2022</t>
  </si>
  <si>
    <t>2/15/2023</t>
  </si>
  <si>
    <t>1/4/2023</t>
  </si>
  <si>
    <t>12/29/2022</t>
  </si>
  <si>
    <t>9/8/2022</t>
  </si>
  <si>
    <t>4/12/2023</t>
  </si>
  <si>
    <t>5/11/2023</t>
  </si>
  <si>
    <t>11/22/2022</t>
  </si>
  <si>
    <t>12/7/2022</t>
  </si>
  <si>
    <t>2/14/2023</t>
  </si>
  <si>
    <t>5/1/2023</t>
  </si>
  <si>
    <t>2/23/2023</t>
  </si>
  <si>
    <t>2023-04-30</t>
  </si>
  <si>
    <t>2022-11-10</t>
  </si>
  <si>
    <t>2022-10-17</t>
  </si>
  <si>
    <t>2022-10-19</t>
  </si>
  <si>
    <t>2022-10-27</t>
  </si>
  <si>
    <t>Kimberly</t>
  </si>
  <si>
    <t>Michael</t>
  </si>
  <si>
    <t>Donna</t>
  </si>
  <si>
    <t>Elizabeth</t>
  </si>
  <si>
    <t>Carolyn</t>
  </si>
  <si>
    <t>Thomas</t>
  </si>
  <si>
    <t>Lynn</t>
  </si>
  <si>
    <t>Lisa</t>
  </si>
  <si>
    <t>Jessica</t>
  </si>
  <si>
    <t>Julie</t>
  </si>
  <si>
    <t>Jamie</t>
  </si>
  <si>
    <t>Anderson</t>
  </si>
  <si>
    <t>1/1/2016</t>
  </si>
  <si>
    <t>11/2/2021</t>
  </si>
  <si>
    <t>7/1/2016</t>
  </si>
  <si>
    <t>12/1/2015</t>
  </si>
  <si>
    <t>4/13/2021</t>
  </si>
  <si>
    <t>YES</t>
  </si>
  <si>
    <t>Town Manager</t>
  </si>
  <si>
    <t>4/29/2022</t>
  </si>
  <si>
    <t>3/17/2022</t>
  </si>
  <si>
    <t>11/24/2021</t>
  </si>
  <si>
    <t>10/21/2021</t>
  </si>
  <si>
    <t>11/18/2021</t>
  </si>
  <si>
    <t>11/23/2021</t>
  </si>
  <si>
    <t>2/28/2022</t>
  </si>
  <si>
    <t>1/21/2022</t>
  </si>
  <si>
    <t>11/10/2021</t>
  </si>
  <si>
    <t>1/25/2022</t>
  </si>
  <si>
    <t>12/14/2022</t>
  </si>
  <si>
    <t>2/17/2023</t>
  </si>
  <si>
    <t>1/3/2022</t>
  </si>
  <si>
    <t>2/8/2022</t>
  </si>
  <si>
    <t>1/13/2022</t>
  </si>
  <si>
    <t>4/12/2022</t>
  </si>
  <si>
    <t>1/10/2022</t>
  </si>
  <si>
    <t>2/10/2022</t>
  </si>
  <si>
    <t>11/9/2021</t>
  </si>
  <si>
    <t>1/7/2022</t>
  </si>
  <si>
    <t>Ann</t>
  </si>
  <si>
    <t>Stephen</t>
  </si>
  <si>
    <t>James</t>
  </si>
  <si>
    <t>Roberts</t>
  </si>
  <si>
    <t>Director of Finance</t>
  </si>
  <si>
    <t>11/9/2022</t>
  </si>
  <si>
    <t>6/20/2023</t>
  </si>
  <si>
    <t>11/25/2022</t>
  </si>
  <si>
    <t>10/11/2022</t>
  </si>
  <si>
    <t>3/16/2023</t>
  </si>
  <si>
    <t>2/7/2023</t>
  </si>
  <si>
    <t>11/10/2022</t>
  </si>
  <si>
    <t>8/8/2023</t>
  </si>
  <si>
    <t>1/12/2023</t>
  </si>
  <si>
    <t>1/15/2023</t>
  </si>
  <si>
    <t>2022-12-20</t>
  </si>
  <si>
    <t>2022-11-22</t>
  </si>
  <si>
    <t>2022-10-20</t>
  </si>
  <si>
    <t>Marty</t>
  </si>
  <si>
    <t>Anne</t>
  </si>
  <si>
    <t>Gloria</t>
  </si>
  <si>
    <t>Linda</t>
  </si>
  <si>
    <t>Sue</t>
  </si>
  <si>
    <t>Frederick</t>
  </si>
  <si>
    <t>Micah</t>
  </si>
  <si>
    <t>Darlene</t>
  </si>
  <si>
    <t>Deborah</t>
  </si>
  <si>
    <t>Jewel</t>
  </si>
  <si>
    <t>Jessie</t>
  </si>
  <si>
    <t>Nancy</t>
  </si>
  <si>
    <t>Geoffrey</t>
  </si>
  <si>
    <t>Claudia</t>
  </si>
  <si>
    <t>Amanda</t>
  </si>
  <si>
    <t>Christina</t>
  </si>
  <si>
    <t>STEPHEN</t>
  </si>
  <si>
    <t>Connie</t>
  </si>
  <si>
    <t>Samuel</t>
  </si>
  <si>
    <t>Patti</t>
  </si>
  <si>
    <t>DAISY</t>
  </si>
  <si>
    <t>Renee'</t>
  </si>
  <si>
    <t>Diane</t>
  </si>
  <si>
    <t>Lettie</t>
  </si>
  <si>
    <t>Hak</t>
  </si>
  <si>
    <t>Bobbie</t>
  </si>
  <si>
    <t>Cynthia</t>
  </si>
  <si>
    <t>Randy</t>
  </si>
  <si>
    <t>Gail</t>
  </si>
  <si>
    <t>Bea</t>
  </si>
  <si>
    <t>Marie</t>
  </si>
  <si>
    <t>Brooke</t>
  </si>
  <si>
    <t>TAMMY</t>
  </si>
  <si>
    <t>Dorenda</t>
  </si>
  <si>
    <t>Jerricka</t>
  </si>
  <si>
    <t>Carol</t>
  </si>
  <si>
    <t>Toni</t>
  </si>
  <si>
    <t>Carlyle</t>
  </si>
  <si>
    <t>Marla</t>
  </si>
  <si>
    <t>Parnell</t>
  </si>
  <si>
    <t>Fudge</t>
  </si>
  <si>
    <t>Love</t>
  </si>
  <si>
    <t>Hunt</t>
  </si>
  <si>
    <t>Powell</t>
  </si>
  <si>
    <t>Becker</t>
  </si>
  <si>
    <t>Gaskins</t>
  </si>
  <si>
    <t>Welch</t>
  </si>
  <si>
    <t>Edquist</t>
  </si>
  <si>
    <t>Trivette</t>
  </si>
  <si>
    <t>Lucas</t>
  </si>
  <si>
    <t>Carrasquillo</t>
  </si>
  <si>
    <t>Hockett</t>
  </si>
  <si>
    <t>Lasater</t>
  </si>
  <si>
    <t>Parris</t>
  </si>
  <si>
    <t>Emslie</t>
  </si>
  <si>
    <t>Stone</t>
  </si>
  <si>
    <t>Wood</t>
  </si>
  <si>
    <t>Merritt</t>
  </si>
  <si>
    <t>Schueneman</t>
  </si>
  <si>
    <t>Simons</t>
  </si>
  <si>
    <t>O'Keefe</t>
  </si>
  <si>
    <t>Bray</t>
  </si>
  <si>
    <t>Ostrom</t>
  </si>
  <si>
    <t>Almond</t>
  </si>
  <si>
    <t>Bradshaw</t>
  </si>
  <si>
    <t>Allman</t>
  </si>
  <si>
    <t>CRANFORD</t>
  </si>
  <si>
    <t>Elliott</t>
  </si>
  <si>
    <t>Bauguess</t>
  </si>
  <si>
    <t>Richards</t>
  </si>
  <si>
    <t>Hatten</t>
  </si>
  <si>
    <t>Anders</t>
  </si>
  <si>
    <t>Efrid</t>
  </si>
  <si>
    <t>IVEY</t>
  </si>
  <si>
    <t>Navarette</t>
  </si>
  <si>
    <t>Overman</t>
  </si>
  <si>
    <t>Ung</t>
  </si>
  <si>
    <t>Ricks</t>
  </si>
  <si>
    <t>Lagunes</t>
  </si>
  <si>
    <t>McNally</t>
  </si>
  <si>
    <t>Carothers</t>
  </si>
  <si>
    <t>Horn</t>
  </si>
  <si>
    <t>Cunningham</t>
  </si>
  <si>
    <t>McCullen</t>
  </si>
  <si>
    <t>Boaz</t>
  </si>
  <si>
    <t>Capps</t>
  </si>
  <si>
    <t>Caulk</t>
  </si>
  <si>
    <t>Hunter</t>
  </si>
  <si>
    <t>KEESLER</t>
  </si>
  <si>
    <t>Dixon</t>
  </si>
  <si>
    <t>Heath</t>
  </si>
  <si>
    <t>Meacham</t>
  </si>
  <si>
    <t>Hatley</t>
  </si>
  <si>
    <t>Napier</t>
  </si>
  <si>
    <t>Martin</t>
  </si>
  <si>
    <t>Floyd</t>
  </si>
  <si>
    <t>Hoggard</t>
  </si>
  <si>
    <t>Ashworth</t>
  </si>
  <si>
    <t>Bass</t>
  </si>
  <si>
    <t>PERMANENT</t>
  </si>
  <si>
    <t>12/4/2013</t>
  </si>
  <si>
    <t>1/1/2013</t>
  </si>
  <si>
    <t>12/1/2019</t>
  </si>
  <si>
    <t>2/21/2007</t>
  </si>
  <si>
    <t>11/20/2017</t>
  </si>
  <si>
    <t>3/26/2018</t>
  </si>
  <si>
    <t>9/17/2012</t>
  </si>
  <si>
    <t>2/9/2016</t>
  </si>
  <si>
    <t>11/1/2014</t>
  </si>
  <si>
    <t>11/27/2017</t>
  </si>
  <si>
    <t>11/16/2020</t>
  </si>
  <si>
    <t>6/7/2021</t>
  </si>
  <si>
    <t>2/1/2018</t>
  </si>
  <si>
    <t>1/25/2016</t>
  </si>
  <si>
    <t>6/1/2022</t>
  </si>
  <si>
    <t>10/22/2018</t>
  </si>
  <si>
    <t>9/13/2021</t>
  </si>
  <si>
    <t>6/1/2018</t>
  </si>
  <si>
    <t>6/1/2019</t>
  </si>
  <si>
    <t>12/4/2019</t>
  </si>
  <si>
    <t>1/1/2004</t>
  </si>
  <si>
    <t>1/1/2022</t>
  </si>
  <si>
    <t>1/1/2014</t>
  </si>
  <si>
    <t>12/1/1998</t>
  </si>
  <si>
    <t>1/1/2010</t>
  </si>
  <si>
    <t>2/21/1991</t>
  </si>
  <si>
    <t>3/21/2014</t>
  </si>
  <si>
    <t>8/1/2009</t>
  </si>
  <si>
    <t>08/01/2021</t>
  </si>
  <si>
    <t>5/23/2014</t>
  </si>
  <si>
    <t>9/20/2015</t>
  </si>
  <si>
    <t>1/31/2020</t>
  </si>
  <si>
    <t>3/12/2019</t>
  </si>
  <si>
    <t>5/15/2020</t>
  </si>
  <si>
    <t>6/29/2015</t>
  </si>
  <si>
    <t>8/1/2016</t>
  </si>
  <si>
    <t>7/1/2007</t>
  </si>
  <si>
    <t>Marty Parnell</t>
  </si>
  <si>
    <t>Anne Fudge</t>
  </si>
  <si>
    <t>Gloria Vinson</t>
  </si>
  <si>
    <t>Beverly Love</t>
  </si>
  <si>
    <t>Linda Hunt</t>
  </si>
  <si>
    <t>Susan L. Powell</t>
  </si>
  <si>
    <t>Sharon Williams</t>
  </si>
  <si>
    <t>Frederick Becker, III</t>
  </si>
  <si>
    <t>David Gaskins</t>
  </si>
  <si>
    <t>Brian Welch</t>
  </si>
  <si>
    <t>Micah Edquist</t>
  </si>
  <si>
    <t>Lynn Trivette</t>
  </si>
  <si>
    <t>Martha Lucas</t>
  </si>
  <si>
    <t>Lisa Strickland</t>
  </si>
  <si>
    <t>Darelene Carrasquillo</t>
  </si>
  <si>
    <t>Elizabeth Presnell</t>
  </si>
  <si>
    <t>Deborah B. Hockett</t>
  </si>
  <si>
    <t>Jewel Lasater</t>
  </si>
  <si>
    <t>Jessie Parris</t>
  </si>
  <si>
    <t>Nancy Emslie</t>
  </si>
  <si>
    <t>Pamela M Stone</t>
  </si>
  <si>
    <t>Amy Roberts</t>
  </si>
  <si>
    <t>Michelle Wood</t>
  </si>
  <si>
    <t>Geoffrey Merritt</t>
  </si>
  <si>
    <t>Amy Schueneman</t>
  </si>
  <si>
    <t>Carolyn Brown</t>
  </si>
  <si>
    <t>Chad Simons</t>
  </si>
  <si>
    <t>Amy Miller</t>
  </si>
  <si>
    <t>John O'Keefe</t>
  </si>
  <si>
    <t>Claudia Bray</t>
  </si>
  <si>
    <t>Kimberly Ostrom</t>
  </si>
  <si>
    <t>Susan Almond</t>
  </si>
  <si>
    <t>Jessica Buchanan</t>
  </si>
  <si>
    <t>Vickie Thomas</t>
  </si>
  <si>
    <t>Amanda Bradshaw</t>
  </si>
  <si>
    <t>Christina Allman</t>
  </si>
  <si>
    <t>STEPHEN CRANFORD</t>
  </si>
  <si>
    <t>Caitlin Elliott</t>
  </si>
  <si>
    <t>Connie W. Bauguess</t>
  </si>
  <si>
    <t>Donna Strickland</t>
  </si>
  <si>
    <t>Sarah Richards</t>
  </si>
  <si>
    <t>Rhonda Sue Harrell</t>
  </si>
  <si>
    <t>David Hatten</t>
  </si>
  <si>
    <t>Samuel Anders</t>
  </si>
  <si>
    <t>Patti Efrid</t>
  </si>
  <si>
    <t>DAISY L. IVEY</t>
  </si>
  <si>
    <t>Renee' Taylor</t>
  </si>
  <si>
    <t>Diane Miller</t>
  </si>
  <si>
    <t>Lettie Navarette</t>
  </si>
  <si>
    <t>Richard Overman</t>
  </si>
  <si>
    <t>Hak B. Ung</t>
  </si>
  <si>
    <t>Bobby Ricks</t>
  </si>
  <si>
    <t>Crystal Lagunes</t>
  </si>
  <si>
    <t>Cynthia McNally</t>
  </si>
  <si>
    <t>Randy Carothers</t>
  </si>
  <si>
    <t>Gail D Horne</t>
  </si>
  <si>
    <t>Bea Cunningham</t>
  </si>
  <si>
    <t>Marie Moore</t>
  </si>
  <si>
    <t>Susan  McCullen</t>
  </si>
  <si>
    <t>Michael Boaz</t>
  </si>
  <si>
    <t>Julie A Anderson</t>
  </si>
  <si>
    <t>Connie Capps</t>
  </si>
  <si>
    <t>Deborah Caulk</t>
  </si>
  <si>
    <t>Brooke Hunter</t>
  </si>
  <si>
    <t>TAMMY KEESLER</t>
  </si>
  <si>
    <t>Richard D. Dixon</t>
  </si>
  <si>
    <t>Crystal Heath</t>
  </si>
  <si>
    <t>Heather Meacham</t>
  </si>
  <si>
    <t>Bobbie Hatley</t>
  </si>
  <si>
    <t>DORENDA WALLACE</t>
  </si>
  <si>
    <t>Jerricka B. Napier</t>
  </si>
  <si>
    <t>Carol Martin</t>
  </si>
  <si>
    <t>Toni Floyd</t>
  </si>
  <si>
    <t>CARLYLE HOGGARD</t>
  </si>
  <si>
    <t>Marla Ashworth</t>
  </si>
  <si>
    <t>Michelle Bass</t>
  </si>
  <si>
    <t>Mayor</t>
  </si>
  <si>
    <t>Finance Offer</t>
  </si>
  <si>
    <t>Town Administrator/Finance Officer</t>
  </si>
  <si>
    <t>Town Clerk/Finace Officer</t>
  </si>
  <si>
    <t>City Clerk/Finance Officer</t>
  </si>
  <si>
    <t>Finance Officer/Commissioner</t>
  </si>
  <si>
    <t>TOWN ADMINISTRATOR/FINANCE OFFICER</t>
  </si>
  <si>
    <t>Assistant Town Manager/Finance Director</t>
  </si>
  <si>
    <t>INTERIM TOWN MANAGER</t>
  </si>
  <si>
    <t>COMMISSIONER/FINANCE OFFICER</t>
  </si>
  <si>
    <t>12/23/2021</t>
  </si>
  <si>
    <t>8/15/2022</t>
  </si>
  <si>
    <t>11/7/2021</t>
  </si>
  <si>
    <t>7/7/2022</t>
  </si>
  <si>
    <t>10.12.21</t>
  </si>
  <si>
    <t>12/17/2021</t>
  </si>
  <si>
    <t>9/26/2022</t>
  </si>
  <si>
    <t>2/17/2022</t>
  </si>
  <si>
    <t>12/30/2021</t>
  </si>
  <si>
    <t>4/30/2022</t>
  </si>
  <si>
    <t>7/28/2022</t>
  </si>
  <si>
    <t>2/11/2022</t>
  </si>
  <si>
    <t>8/25/2021</t>
  </si>
  <si>
    <t>7/22/2022</t>
  </si>
  <si>
    <t>8/4/2022</t>
  </si>
  <si>
    <t>11/10/2020</t>
  </si>
  <si>
    <t>9/10/2021</t>
  </si>
  <si>
    <t>11/17/2019</t>
  </si>
  <si>
    <t>12/10/2021</t>
  </si>
  <si>
    <t>6/7/2022</t>
  </si>
  <si>
    <t>8/25/2022</t>
  </si>
  <si>
    <t>10/22/2021</t>
  </si>
  <si>
    <t>2/25/2022</t>
  </si>
  <si>
    <t>3/2/2022</t>
  </si>
  <si>
    <t>919-284-2572</t>
  </si>
  <si>
    <t>252-430-7716</t>
  </si>
  <si>
    <t>704-888-2232</t>
  </si>
  <si>
    <t>367-645-455</t>
  </si>
  <si>
    <t>828-890-2901</t>
  </si>
  <si>
    <t>336-234-0030</t>
  </si>
  <si>
    <t>704-243-0505</t>
  </si>
  <si>
    <t>252-249-1755</t>
  </si>
  <si>
    <t>704-545-9726</t>
  </si>
  <si>
    <t>704-463-1234</t>
  </si>
  <si>
    <t>336-753-6702</t>
  </si>
  <si>
    <t>252-459-7276</t>
  </si>
  <si>
    <t>704-282-4534</t>
  </si>
  <si>
    <t>828-669-8002</t>
  </si>
  <si>
    <t>828-894-0954</t>
  </si>
  <si>
    <t>704-663-8278</t>
  </si>
  <si>
    <t>252-726-6848</t>
  </si>
  <si>
    <t>828-438-5240</t>
  </si>
  <si>
    <t>919-463-6178</t>
  </si>
  <si>
    <t>336-786-3514</t>
  </si>
  <si>
    <t>910-439-5111</t>
  </si>
  <si>
    <t>704-951-3002</t>
  </si>
  <si>
    <t>919-658-9537</t>
  </si>
  <si>
    <t>704-436-0381</t>
  </si>
  <si>
    <t>252-398-5904</t>
  </si>
  <si>
    <t>828-837-2510</t>
  </si>
  <si>
    <t>252-449-2020</t>
  </si>
  <si>
    <t>252-459-4511</t>
  </si>
  <si>
    <t>910-371-2432</t>
  </si>
  <si>
    <t>252-639-2713</t>
  </si>
  <si>
    <t>704-463-5423</t>
  </si>
  <si>
    <t>828-733-2023</t>
  </si>
  <si>
    <t>828-695-4258</t>
  </si>
  <si>
    <t>910-594-0827</t>
  </si>
  <si>
    <t>910-652-5602</t>
  </si>
  <si>
    <t>910-328-1349</t>
  </si>
  <si>
    <t>336-667-7129 ext.3004</t>
  </si>
  <si>
    <t>910-655-3110</t>
  </si>
  <si>
    <t>704-474-3416</t>
  </si>
  <si>
    <t>252-902-9535</t>
  </si>
  <si>
    <t>910-201-5016</t>
  </si>
  <si>
    <t>336-643-7577</t>
  </si>
  <si>
    <t>704-485-3351</t>
  </si>
  <si>
    <t>910-579-2166</t>
  </si>
  <si>
    <t>828-668-4244</t>
  </si>
  <si>
    <t>252-249-0555</t>
  </si>
  <si>
    <t>910-733-5509</t>
  </si>
  <si>
    <t>336-584-4258</t>
  </si>
  <si>
    <t>919-603-1125</t>
  </si>
  <si>
    <t>252-944-8809</t>
  </si>
  <si>
    <t>910-858-3360</t>
  </si>
  <si>
    <t>252-795-4600</t>
  </si>
  <si>
    <t>704-482-9764</t>
  </si>
  <si>
    <t>704-272-7781</t>
  </si>
  <si>
    <t>252-393-8666</t>
  </si>
  <si>
    <t>910-521-9758</t>
  </si>
  <si>
    <t>919-814-4302</t>
  </si>
  <si>
    <t>336-444-3000</t>
  </si>
  <si>
    <t>252-247-4353</t>
  </si>
  <si>
    <t>919-965-2284</t>
  </si>
  <si>
    <t>910-281-3124</t>
  </si>
  <si>
    <t>910-295-8646</t>
  </si>
  <si>
    <t>252-827-4435</t>
  </si>
  <si>
    <t>704-889-1722</t>
  </si>
  <si>
    <t>252-568-3181</t>
  </si>
  <si>
    <t>919-542-4621 ext.1102</t>
  </si>
  <si>
    <t>252-793-9101</t>
  </si>
  <si>
    <t>704-272-7463</t>
  </si>
  <si>
    <t>704-472-8135</t>
  </si>
  <si>
    <t>252-224-9831</t>
  </si>
  <si>
    <t>252-332-9536</t>
  </si>
  <si>
    <t>919-936-8171</t>
  </si>
  <si>
    <t>910-374-5658</t>
  </si>
  <si>
    <t>financeofficer@townofmicro.com</t>
  </si>
  <si>
    <t>fudgemid7@aol.com</t>
  </si>
  <si>
    <t>gloria@townofmiddlesexnc.com</t>
  </si>
  <si>
    <t>blove@midlandnc.us</t>
  </si>
  <si>
    <t>lhunt@midway-nc.gov</t>
  </si>
  <si>
    <t>susan.powell@millsriver.org</t>
  </si>
  <si>
    <t xml:space="preserve">miltonncfinanceofficer@gmail.com
</t>
  </si>
  <si>
    <t>msncmayor@yahoo.com</t>
  </si>
  <si>
    <t>minnesottbeach.gov@gmail.com</t>
  </si>
  <si>
    <t>bwelch@admin.minthill.com</t>
  </si>
  <si>
    <t>mecbuilder@gmail.com</t>
  </si>
  <si>
    <t>ltrivette@mocksvillenc.gov</t>
  </si>
  <si>
    <t>mslucas4358@centurylink.net</t>
  </si>
  <si>
    <t>lstrickland@monroenc.org</t>
  </si>
  <si>
    <t>dcarrasquillo@townofmontreat.org</t>
  </si>
  <si>
    <t>jpresnell4@hotmail.com</t>
  </si>
  <si>
    <t>dhockett@mooresvillenc.gov</t>
  </si>
  <si>
    <t>jewel.lasater@moreheadcitync.org</t>
  </si>
  <si>
    <t>Jparris@morgantonnc.gov</t>
  </si>
  <si>
    <t>nemslie@townofmorrisville.org</t>
  </si>
  <si>
    <t>pstone@mountairy.org</t>
  </si>
  <si>
    <t>aroberts@mtgileadnc.com</t>
  </si>
  <si>
    <t>michelle.wood@mtholly.us</t>
  </si>
  <si>
    <t>gmerritt@townofmountolivenc.com</t>
  </si>
  <si>
    <t>amy@mtpleasantnc.us</t>
  </si>
  <si>
    <t>cbrown@murfreesboronc.net</t>
  </si>
  <si>
    <t>manager@townofmurphync.com</t>
  </si>
  <si>
    <t>amy.miller@nagsheadnc.gov</t>
  </si>
  <si>
    <t>john.okeefe@townofnashvillenc.gov</t>
  </si>
  <si>
    <t>cbray@townofnavassa.org</t>
  </si>
  <si>
    <t>ostromk@newbernnc.gov</t>
  </si>
  <si>
    <t>clerk@newlondonnc.org</t>
  </si>
  <si>
    <t>finance@townofnewland.org</t>
  </si>
  <si>
    <t>vthomas@newtonnc.gov</t>
  </si>
  <si>
    <t>abradshaw@newtongrove.net</t>
  </si>
  <si>
    <t>townclerk@townofnorlina.com</t>
  </si>
  <si>
    <t>sdcranford@gmail.com</t>
  </si>
  <si>
    <t>finance@ntbnc.org</t>
  </si>
  <si>
    <t>finance@north-wilkesboro.com</t>
  </si>
  <si>
    <t>cityclerk@cityofnorthwest.com</t>
  </si>
  <si>
    <t>financeofficer@norwoodgov.com</t>
  </si>
  <si>
    <t>harrelr@ecu.edu</t>
  </si>
  <si>
    <t>dhatten@oakislandnc.com</t>
  </si>
  <si>
    <t>sam@samanderscpa.com</t>
  </si>
  <si>
    <t>pefrid@oakboro.com</t>
  </si>
  <si>
    <t>DAISY@OIBGOV.COM</t>
  </si>
  <si>
    <t>rtaylor@oldfornc.com</t>
  </si>
  <si>
    <t>manager@townoforiental.com</t>
  </si>
  <si>
    <t>jpllett2000@yahoo.com</t>
  </si>
  <si>
    <t>rovermanossipee@yahoo.com</t>
  </si>
  <si>
    <t>hak.ung@oxfordnc.org</t>
  </si>
  <si>
    <t>thetownofpantego@gmail.com</t>
  </si>
  <si>
    <t>clerk@townofparkton.org</t>
  </si>
  <si>
    <t>cmcnally@parmelenc.com</t>
  </si>
  <si>
    <t>rcarothers@carolina.rr.com</t>
  </si>
  <si>
    <t>townofpeachland@windstream.net</t>
  </si>
  <si>
    <t>townofpeletier@gmail.com</t>
  </si>
  <si>
    <t>marie@pemrokenc.com</t>
  </si>
  <si>
    <t>Susan.McCullen@nctreasurer.com</t>
  </si>
  <si>
    <t>mboaz@pilotmountainnc.org</t>
  </si>
  <si>
    <t>janderson@townofpks.com</t>
  </si>
  <si>
    <t>depclerk@pinelevel.org</t>
  </si>
  <si>
    <t>pinebluff@nc.rr.com</t>
  </si>
  <si>
    <t>bhunter@vopnc.org</t>
  </si>
  <si>
    <t>tkeesler@pinetopsnc.com</t>
  </si>
  <si>
    <t>rdixon@pinevillenc.gov</t>
  </si>
  <si>
    <t>townclerk@townofpinkhill.com</t>
  </si>
  <si>
    <t>hmeacham@pittsboronc.gov</t>
  </si>
  <si>
    <t>townclerk@pleasantgarden.net</t>
  </si>
  <si>
    <t>dorenda.wallace@visitplymouthnc.com</t>
  </si>
  <si>
    <t>townofpolkton@windstream.net</t>
  </si>
  <si>
    <t>cmartinUNC86@gmail.com</t>
  </si>
  <si>
    <t>admin@townofpollocksville.com</t>
  </si>
  <si>
    <t>COHOGGARD@GMAIL.COM</t>
  </si>
  <si>
    <t>m.ashworth@myprincetonnc.com</t>
  </si>
  <si>
    <t>proctorvillenc@gmail.com</t>
  </si>
  <si>
    <t>8/24/2022</t>
  </si>
  <si>
    <t>6/16/2022</t>
  </si>
  <si>
    <t>3/22/2022</t>
  </si>
  <si>
    <t>12/27/2021</t>
  </si>
  <si>
    <t>4/4/2022</t>
  </si>
  <si>
    <t>3/31/2022</t>
  </si>
  <si>
    <t>1/8/2022</t>
  </si>
  <si>
    <t>5/16/2022</t>
  </si>
  <si>
    <t>6/27/2022</t>
  </si>
  <si>
    <t>7/11/2022</t>
  </si>
  <si>
    <t>7/31/2022</t>
  </si>
  <si>
    <t>3/24/2022</t>
  </si>
  <si>
    <t>4/1/2022</t>
  </si>
  <si>
    <t>Capital - Various projects related largely in part to Fire Station 6 project, street paving, parking lot at Charlotte Avenue, Morgan-Windsor Alley project, Senior Center Renovation and others</t>
  </si>
  <si>
    <t>Capital - Funds were transferred to capital projects</t>
  </si>
  <si>
    <t>Capital - Stormwater improvements, police vehicles</t>
  </si>
  <si>
    <t>Capital - The Town had multiple capital asset purchases in the General Fund for 2022.</t>
  </si>
  <si>
    <t>Operations - Substantial increase in capital outlay compared with prior year.</t>
  </si>
  <si>
    <t>Operations - Paid off Debt</t>
  </si>
  <si>
    <t>Ben</t>
  </si>
  <si>
    <t>Evans</t>
  </si>
  <si>
    <t>Jerry</t>
  </si>
  <si>
    <t>Kimberley</t>
  </si>
  <si>
    <t>CHRISTINA</t>
  </si>
  <si>
    <t>Daisy</t>
  </si>
  <si>
    <t>Dale</t>
  </si>
  <si>
    <t>Beth</t>
  </si>
  <si>
    <t>Tammy</t>
  </si>
  <si>
    <t>Christopher</t>
  </si>
  <si>
    <t>Blackburn</t>
  </si>
  <si>
    <t>Ballard</t>
  </si>
  <si>
    <t>Butler</t>
  </si>
  <si>
    <t>Merrick</t>
  </si>
  <si>
    <t>Robinson</t>
  </si>
  <si>
    <t>EBRON</t>
  </si>
  <si>
    <t>Cranford</t>
  </si>
  <si>
    <t>Melton</t>
  </si>
  <si>
    <t>Ivey</t>
  </si>
  <si>
    <t>Humphrey</t>
  </si>
  <si>
    <t>Sowers</t>
  </si>
  <si>
    <t>Cowan</t>
  </si>
  <si>
    <t>Keesler</t>
  </si>
  <si>
    <t>Tucker</t>
  </si>
  <si>
    <t>McGee</t>
  </si>
  <si>
    <t>interim</t>
  </si>
  <si>
    <t>7/9/2022</t>
  </si>
  <si>
    <t>6/30/2016</t>
  </si>
  <si>
    <t>2/1/2023</t>
  </si>
  <si>
    <t>11/7/2022</t>
  </si>
  <si>
    <t>11/1/2016</t>
  </si>
  <si>
    <t>Ann Fudge</t>
  </si>
  <si>
    <t>GLORIA VINSON</t>
  </si>
  <si>
    <t>Sue Powell</t>
  </si>
  <si>
    <t>Frederick Becker</t>
  </si>
  <si>
    <t>Ben Blackburn</t>
  </si>
  <si>
    <t>Evans Ballard</t>
  </si>
  <si>
    <t>Nancy H. B. Emslie</t>
  </si>
  <si>
    <t>Jamie Butler</t>
  </si>
  <si>
    <t>Jerry Merrick</t>
  </si>
  <si>
    <t>Kimberly A. Ostrom</t>
  </si>
  <si>
    <t>Kimberley Robinson</t>
  </si>
  <si>
    <t>CHRISTINA EBRON</t>
  </si>
  <si>
    <t>Stephen Cranford</t>
  </si>
  <si>
    <t>Connie Bauguess</t>
  </si>
  <si>
    <t>Samuel L Melton</t>
  </si>
  <si>
    <t>Daisy Ivey</t>
  </si>
  <si>
    <t>Hak Ung</t>
  </si>
  <si>
    <t>Heather Humphrey</t>
  </si>
  <si>
    <t>James Hamilton</t>
  </si>
  <si>
    <t>Dale Sowers</t>
  </si>
  <si>
    <t>James Michael Boaz</t>
  </si>
  <si>
    <t>Julie Anderson</t>
  </si>
  <si>
    <t>Beth Cowan</t>
  </si>
  <si>
    <t>Tammy Keesler</t>
  </si>
  <si>
    <t>Christopher Tucker</t>
  </si>
  <si>
    <t>Lisa McGee</t>
  </si>
  <si>
    <t>Carlyle Hoggard</t>
  </si>
  <si>
    <t>Michael King</t>
  </si>
  <si>
    <t>TOWN CLERK/FINANACE OFFICER</t>
  </si>
  <si>
    <t>Interim Town Manager and Finance Officer</t>
  </si>
  <si>
    <t>Interim CFO</t>
  </si>
  <si>
    <t>Deputy Town Manager/Finance Director</t>
  </si>
  <si>
    <t>Councilman - Finance officer</t>
  </si>
  <si>
    <t>Finance Office/Town Clerk</t>
  </si>
  <si>
    <t>Town Manager/Finance Officer</t>
  </si>
  <si>
    <t>FINANCE DIRECTOR</t>
  </si>
  <si>
    <t>Finance Officer/Clerk</t>
  </si>
  <si>
    <t>Commissioner/Finance Officer</t>
  </si>
  <si>
    <t>4/11/2023</t>
  </si>
  <si>
    <t>9/30/2022</t>
  </si>
  <si>
    <t>10/29/2022</t>
  </si>
  <si>
    <t>11/5/2022</t>
  </si>
  <si>
    <t>1/28/2023</t>
  </si>
  <si>
    <t>5/30/2023</t>
  </si>
  <si>
    <t>3/12/2023</t>
  </si>
  <si>
    <t>6/6/2023</t>
  </si>
  <si>
    <t>3/24/2023</t>
  </si>
  <si>
    <t>6/14/2023</t>
  </si>
  <si>
    <t>10/12/2022</t>
  </si>
  <si>
    <t>1/19/2023</t>
  </si>
  <si>
    <t>9/15/2022</t>
  </si>
  <si>
    <t>12/22/2022</t>
  </si>
  <si>
    <t>11/23/2023</t>
  </si>
  <si>
    <t>6/1/2023</t>
  </si>
  <si>
    <t>7/20/2023</t>
  </si>
  <si>
    <t>4/25/2023</t>
  </si>
  <si>
    <t>252-235-5761</t>
  </si>
  <si>
    <t>704-888-2232 ext.14</t>
  </si>
  <si>
    <t>336-764-5455</t>
  </si>
  <si>
    <t>828-669-8002 ext.3050</t>
  </si>
  <si>
    <t>704-663-2357</t>
  </si>
  <si>
    <t>910-658-9539</t>
  </si>
  <si>
    <t>252-459-4511 ext.226</t>
  </si>
  <si>
    <t>910-520-5509</t>
  </si>
  <si>
    <t>828-695-4270</t>
  </si>
  <si>
    <t>828-668-4244 ext.301</t>
  </si>
  <si>
    <t>252-793-9011 ext.233</t>
  </si>
  <si>
    <t>miltonncfinanceofficer@gmail.com</t>
  </si>
  <si>
    <t>clerk@villageofmisenheimernc.gov</t>
  </si>
  <si>
    <t>bblackburn@townofmontreat.org</t>
  </si>
  <si>
    <t>eballard@mooresvillenc.gov</t>
  </si>
  <si>
    <t>jparris@morgantonnc.gov</t>
  </si>
  <si>
    <t>jbutler@townofmountolivenc.com</t>
  </si>
  <si>
    <t>JLMerrick26@gmail.com</t>
  </si>
  <si>
    <t>krobinson@newtonnc.gov</t>
  </si>
  <si>
    <t>TOWNCLERK@TOWNOFNORLINA.COM</t>
  </si>
  <si>
    <t>finance@northtopsailbeachnc.gov</t>
  </si>
  <si>
    <t>Sam@samanderscpa.com</t>
  </si>
  <si>
    <t>daisy@oibgov.com</t>
  </si>
  <si>
    <t>rtaylor@oldfortnc.com</t>
  </si>
  <si>
    <t>bealsea@yahoo.com</t>
  </si>
  <si>
    <t>marie@pembrokenc.com</t>
  </si>
  <si>
    <t>ctucker@pinevillenc.gov</t>
  </si>
  <si>
    <t>dorenda.wallace@visitplymouthnc.gov</t>
  </si>
  <si>
    <t>cmartinunc86@gmail.com</t>
  </si>
  <si>
    <t>admin@townoffpollocksville.com</t>
  </si>
  <si>
    <t>cohoggard@gmail.com</t>
  </si>
  <si>
    <t>m.king@myprincetonnc.com</t>
  </si>
  <si>
    <t>2/13/2023</t>
  </si>
  <si>
    <t>3/7/2023</t>
  </si>
  <si>
    <t>3/15/2023</t>
  </si>
  <si>
    <t>5/2/2023</t>
  </si>
  <si>
    <t>1/25/2023</t>
  </si>
  <si>
    <t>6/19/2023</t>
  </si>
  <si>
    <t>1/2/2023</t>
  </si>
  <si>
    <t>7/3/2023</t>
  </si>
  <si>
    <t>9/15/2023</t>
  </si>
  <si>
    <t>1/5/2023</t>
  </si>
  <si>
    <t>2023-01-05</t>
  </si>
  <si>
    <t>2023-05-02</t>
  </si>
  <si>
    <t>2022-09-30</t>
  </si>
  <si>
    <t>2023-02-15</t>
  </si>
  <si>
    <t>2022-10-24</t>
  </si>
  <si>
    <t>2023-02-23</t>
  </si>
  <si>
    <t>2023-03-08</t>
  </si>
  <si>
    <t>2023-06-05</t>
  </si>
  <si>
    <t>2023-03-13</t>
  </si>
  <si>
    <t>2023-02-28</t>
  </si>
  <si>
    <t>2022-12-09</t>
  </si>
  <si>
    <t>2023-06-09</t>
  </si>
  <si>
    <t>2022-11-21</t>
  </si>
  <si>
    <t>2023-01-25</t>
  </si>
  <si>
    <t>2023-06-14</t>
  </si>
  <si>
    <t>2023-01-24</t>
  </si>
  <si>
    <t>2023-01-20</t>
  </si>
  <si>
    <t>2023-02-14</t>
  </si>
  <si>
    <t>2022-12-21</t>
  </si>
  <si>
    <t>2023-06-22</t>
  </si>
  <si>
    <t>2023-08-12</t>
  </si>
  <si>
    <t>2023-03-06</t>
  </si>
  <si>
    <t>2022-11-08</t>
  </si>
  <si>
    <t>2023-06-02</t>
  </si>
  <si>
    <t>2023-01-09</t>
  </si>
  <si>
    <t>2023-07-20</t>
  </si>
  <si>
    <t>2022-12-31</t>
  </si>
  <si>
    <t>2023-04-28</t>
  </si>
  <si>
    <t>Amount of ARPA funds expended in total for fiscal year for non-capital purposes</t>
  </si>
  <si>
    <t>Data documenting the unit's compliance with General Statue 159-25 is captured in account numbers 947, 948, 949, 950, and 952</t>
  </si>
  <si>
    <t>If the answer to 1059 is "No,"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t>
  </si>
  <si>
    <t>TD Info Completed by Auditor tab: CCH acct # 1079</t>
  </si>
  <si>
    <t>Did your audit disclose any budget violations at the adopted ordinance level  (Yes or No)</t>
  </si>
  <si>
    <t>Is there is a going concern noted in the audit report</t>
  </si>
  <si>
    <t>Does the Performance Indicator Print worksheet in this workbook have a red shaded cell</t>
  </si>
  <si>
    <t>If the answer to 1059 is "No," was the unit without a board-appointed interim or permanent finance officer for more than 2 weeks at any time in the fiscal year</t>
  </si>
  <si>
    <t>Please do not answer this question unless the unit has a  water and/or sewer fund</t>
  </si>
  <si>
    <r>
      <t xml:space="preserve">Are there additional issues the unit should address that affect the fiscal health or internal controls of the unit that were communicated to the unit during the audit presentation?   </t>
    </r>
    <r>
      <rPr>
        <b/>
        <u/>
        <sz val="11"/>
        <rFont val="Calibri"/>
        <family val="2"/>
        <scheme val="minor"/>
      </rPr>
      <t>Please include details of the issue in cell J48 to the right and in your FPIC Response.</t>
    </r>
  </si>
  <si>
    <t>Water and Sewer Capital Assets Condition Ratio</t>
  </si>
  <si>
    <t xml:space="preserve">This capital assets condition ratio formula calculates the remaining useful life. A remaining useful asset value less than 0.50  may signal the need to replace the assets in the near future. </t>
  </si>
  <si>
    <t>Remaining useful life of asset greater than or equal to 0.50</t>
  </si>
  <si>
    <t>J</t>
  </si>
  <si>
    <t>Please enter the fiscal year end reported on the unit's audited financial statements if other than 6/30/2023.              Format "MM/DD/YYYY"</t>
  </si>
  <si>
    <t>What date was the audit report submitted to the LGC?  (Note audit reports are due four months after fiscal year end regardless of the contract submission date.)</t>
  </si>
  <si>
    <t>C31</t>
  </si>
  <si>
    <t>C30</t>
  </si>
  <si>
    <t xml:space="preserve">What date was the audit report submitted to the LGC? </t>
  </si>
  <si>
    <t>Must be linked to unit number on Unit Data from Audit Worksheet tab</t>
  </si>
  <si>
    <t>Does the Unit have a non-state administered pension plan</t>
  </si>
  <si>
    <t>Fiscal Review, UAL Determination, Financial Performance Indicator</t>
  </si>
  <si>
    <t>Amount transferred from the Water and Sewer Fund to Water and Sewer Capital Project Funds</t>
  </si>
  <si>
    <t>Fiscal 2023 -  Data Input Workbook incorporates the
Unit Data from Audit Worksheet, TD Info Completed by Auditor Worksheet, Performance Indicators Print Worksheet</t>
  </si>
  <si>
    <t>Capital Assets for Water and Sewer Activity</t>
  </si>
  <si>
    <t>7/28/2023</t>
  </si>
  <si>
    <t>8/1/2023</t>
  </si>
  <si>
    <t>Corinthia</t>
  </si>
  <si>
    <t>Lemon</t>
  </si>
  <si>
    <t>Corinthia Lemon</t>
  </si>
  <si>
    <t>Town Clerk/Finance Director</t>
  </si>
  <si>
    <t>8/15/2023</t>
  </si>
  <si>
    <t>clewislemon@townofmorven.org</t>
  </si>
  <si>
    <t>9/11/2023</t>
  </si>
  <si>
    <t>Version Date 10/13/2023</t>
  </si>
  <si>
    <r>
      <t xml:space="preserve">Please list the amount of ARPA funds expended in total this fiscal year for non-capital purposes.  Enter </t>
    </r>
    <r>
      <rPr>
        <sz val="11"/>
        <rFont val="Calibri"/>
        <family val="2"/>
        <scheme val="minor"/>
      </rPr>
      <t>"</t>
    </r>
    <r>
      <rPr>
        <b/>
        <sz val="11"/>
        <rFont val="Calibri"/>
        <family val="2"/>
        <scheme val="minor"/>
      </rPr>
      <t>0</t>
    </r>
    <r>
      <rPr>
        <sz val="11"/>
        <rFont val="Calibri"/>
        <family val="2"/>
        <scheme val="minor"/>
      </rPr>
      <t>"</t>
    </r>
    <r>
      <rPr>
        <sz val="11"/>
        <color theme="1"/>
        <rFont val="Calibri"/>
        <family val="2"/>
        <scheme val="minor"/>
      </rPr>
      <t xml:space="preserve"> if no ARPA funds expended for this fiscal year for non-capital purposes.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</si>
</sst>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0_);\(0.00\)"/>
    <numFmt numFmtId="171" formatCode="0.0_);\(0.0\)"/>
    <numFmt numFmtId="172" formatCode="_(* #,##0.0000_);_(* \(#,##0.0000\);_(* &quot;-&quot;??_);_(@_)"/>
    <numFmt numFmtId="173" formatCode="#,##0.0000_);[Red]\(#,##0.0000\)"/>
    <numFmt numFmtId="174" formatCode="#,##0.0_);\(#,##0.0\)"/>
    <numFmt numFmtId="175" formatCode="#,##0.0000_);\(#,##0.0000\)"/>
    <numFmt numFmtId="176" formatCode="_(* #,##0.00_);_(* \(#,##0.00\);_(* &quot;-&quot;_);_(@_)"/>
    <numFmt numFmtId="177" formatCode="_(* #,##0.00%_);[Red]_(* \(#,##0.00%\);_(0.00%_);@"/>
    <numFmt numFmtId="178" formatCode="m/d/yy;@"/>
    <numFmt numFmtId="179" formatCode="mm/dd/yyyy"/>
    <numFmt numFmtId="180" formatCode="#,##0.0"/>
    <numFmt numFmtId="181" formatCode="0.0000"/>
    <numFmt numFmtId="182" formatCode="_(* #,##0.000_);_(* \(#,##0.000\);_(* &quot;-&quot;??_);_(@_)"/>
    <numFmt numFmtId="183" formatCode="[&lt;=9999999]###\-####;\(###\)\ ###\-####"/>
    <numFmt numFmtId="184" formatCode="###\-###\-####"/>
    <numFmt numFmtId="185" formatCode="@*."/>
    <numFmt numFmtId="186" formatCode=".0000"/>
    <numFmt numFmtId="187" formatCode="#,##0.0_);[Red]\(#,##0.0\)"/>
    <numFmt numFmtId="188" formatCode="0.0_);[Red]\(0.0\)"/>
    <numFmt numFmtId="189" formatCode="0.0000_);[Red]\(0.0000\)"/>
    <numFmt numFmtId="190" formatCode="0.00_);[Red]\(0.00\)"/>
  </numFmts>
  <fonts count="197"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8"/>
      <name val="Calibri"/>
      <family val="2"/>
      <scheme val="minor"/>
    </font>
    <font>
      <sz val="11"/>
      <color rgb="FFC00000"/>
      <name val="Calibri"/>
      <family val="2"/>
      <scheme val="minor"/>
    </font>
    <font>
      <sz val="8"/>
      <color theme="1"/>
      <name val="Calibri"/>
      <family val="2"/>
      <scheme val="minor"/>
    </font>
    <font>
      <b/>
      <sz val="11"/>
      <name val="Calibri"/>
      <family val="2"/>
      <scheme val="minor"/>
    </font>
    <font>
      <b/>
      <sz val="11"/>
      <color indexed="8"/>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b/>
      <sz val="12"/>
      <color theme="1"/>
      <name val="Century Schoolbook"/>
      <family val="1"/>
    </font>
    <font>
      <sz val="10"/>
      <color rgb="FF000000"/>
      <name val="Times New Roman"/>
      <family val="1"/>
    </font>
    <font>
      <sz val="10"/>
      <name val="Arial"/>
      <family val="2"/>
    </font>
    <font>
      <sz val="8"/>
      <name val="Arial"/>
      <family val="2"/>
    </font>
    <font>
      <sz val="12"/>
      <name val="Garamond"/>
      <family val="1"/>
    </font>
    <font>
      <sz val="10"/>
      <color rgb="FF000000"/>
      <name val="Times New Roman"/>
      <family val="1"/>
    </font>
    <font>
      <sz val="11"/>
      <color rgb="FF000000"/>
      <name val="Calibri"/>
      <family val="2"/>
      <scheme val="minor"/>
    </font>
    <font>
      <b/>
      <sz val="18"/>
      <color rgb="FFFF0000"/>
      <name val="Calibri"/>
      <family val="2"/>
      <scheme val="minor"/>
    </font>
    <font>
      <i/>
      <sz val="14"/>
      <color theme="1"/>
      <name val="Calibri"/>
      <family val="2"/>
      <scheme val="minor"/>
    </font>
    <font>
      <b/>
      <i/>
      <sz val="11"/>
      <name val="Calibri"/>
      <family val="2"/>
      <scheme val="minor"/>
    </font>
    <font>
      <i/>
      <sz val="11"/>
      <name val="Calibri"/>
      <family val="2"/>
      <scheme val="minor"/>
    </font>
    <font>
      <b/>
      <u/>
      <sz val="12"/>
      <color theme="1"/>
      <name val="Calibri"/>
      <family val="2"/>
      <scheme val="minor"/>
    </font>
    <font>
      <b/>
      <u/>
      <sz val="16"/>
      <color theme="1"/>
      <name val="Calibri"/>
      <family val="2"/>
      <scheme val="minor"/>
    </font>
    <font>
      <b/>
      <u/>
      <sz val="10"/>
      <color theme="1"/>
      <name val="Calibri"/>
      <family val="2"/>
      <scheme val="minor"/>
    </font>
    <font>
      <sz val="10"/>
      <color indexed="8"/>
      <name val="Calibri"/>
      <family val="2"/>
      <scheme val="minor"/>
    </font>
    <font>
      <u/>
      <sz val="10"/>
      <color theme="1"/>
      <name val="Calibri"/>
      <family val="2"/>
      <scheme val="minor"/>
    </font>
    <font>
      <b/>
      <i/>
      <u/>
      <sz val="10"/>
      <color theme="1"/>
      <name val="Calibri"/>
      <family val="2"/>
      <scheme val="minor"/>
    </font>
    <font>
      <sz val="8"/>
      <color indexed="8"/>
      <name val="Calibri"/>
      <family val="2"/>
      <scheme val="minor"/>
    </font>
    <font>
      <u/>
      <sz val="8"/>
      <color indexed="8"/>
      <name val="Calibri"/>
      <family val="2"/>
      <scheme val="minor"/>
    </font>
    <font>
      <b/>
      <sz val="8"/>
      <color indexed="8"/>
      <name val="Calibri"/>
      <family val="2"/>
      <scheme val="minor"/>
    </font>
    <font>
      <b/>
      <sz val="8"/>
      <name val="Calibri"/>
      <family val="2"/>
      <scheme val="minor"/>
    </font>
    <font>
      <b/>
      <sz val="8"/>
      <color indexed="17"/>
      <name val="Calibri"/>
      <family val="2"/>
      <scheme val="minor"/>
    </font>
    <font>
      <u/>
      <sz val="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b/>
      <sz val="11"/>
      <color indexed="60"/>
      <name val="Calibri"/>
      <family val="2"/>
      <scheme val="minor"/>
    </font>
    <font>
      <u/>
      <sz val="11"/>
      <color rgb="FFFF0000"/>
      <name val="Calibri"/>
      <family val="2"/>
      <scheme val="minor"/>
    </font>
    <font>
      <sz val="11"/>
      <color theme="5" tint="-0.249977111117893"/>
      <name val="Calibri"/>
      <family val="2"/>
      <scheme val="minor"/>
    </font>
    <font>
      <u/>
      <sz val="11"/>
      <color indexed="60"/>
      <name val="Calibri"/>
      <family val="2"/>
      <scheme val="minor"/>
    </font>
    <font>
      <sz val="11"/>
      <color indexed="60"/>
      <name val="Calibri"/>
      <family val="2"/>
      <scheme val="minor"/>
    </font>
    <font>
      <u/>
      <sz val="11"/>
      <name val="Calibri"/>
      <family val="2"/>
      <scheme val="minor"/>
    </font>
    <font>
      <sz val="11"/>
      <color indexed="10"/>
      <name val="Calibri"/>
      <family val="2"/>
      <scheme val="minor"/>
    </font>
    <font>
      <b/>
      <sz val="11"/>
      <color rgb="FFC00000"/>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b/>
      <u/>
      <sz val="11"/>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b/>
      <sz val="12"/>
      <color theme="1"/>
      <name val="Cambria"/>
      <family val="1"/>
    </font>
    <font>
      <b/>
      <sz val="14"/>
      <name val="Calibri"/>
      <family val="2"/>
      <scheme val="minor"/>
    </font>
    <font>
      <b/>
      <sz val="12"/>
      <name val="Calibri"/>
      <family val="2"/>
      <scheme val="minor"/>
    </font>
    <font>
      <sz val="11"/>
      <color theme="1"/>
      <name val="Century Schoolbook"/>
      <family val="1"/>
    </font>
    <font>
      <i/>
      <sz val="14"/>
      <name val="Calibri"/>
      <family val="2"/>
      <scheme val="minor"/>
    </font>
    <font>
      <sz val="10"/>
      <name val="Arial"/>
      <family val="2"/>
    </font>
    <font>
      <b/>
      <sz val="16"/>
      <color theme="0"/>
      <name val="Calibri"/>
      <family val="2"/>
      <scheme val="minor"/>
    </font>
    <font>
      <sz val="10.5"/>
      <color theme="1"/>
      <name val="Calibri"/>
      <family val="2"/>
      <scheme val="minor"/>
    </font>
    <font>
      <b/>
      <u/>
      <sz val="11"/>
      <color theme="1"/>
      <name val="Calibri"/>
      <family val="2"/>
      <scheme val="minor"/>
    </font>
    <font>
      <sz val="11"/>
      <color theme="5" tint="-0.499984740745262"/>
      <name val="Calibri"/>
      <family val="2"/>
      <scheme val="minor"/>
    </font>
    <font>
      <sz val="11"/>
      <color theme="9" tint="-0.499984740745262"/>
      <name val="Calibri"/>
      <family val="2"/>
      <scheme val="minor"/>
    </font>
    <font>
      <b/>
      <i/>
      <sz val="12"/>
      <color rgb="FFFF0000"/>
      <name val="Cambria"/>
      <family val="1"/>
    </font>
    <font>
      <b/>
      <u/>
      <sz val="14"/>
      <color theme="1"/>
      <name val="Calibri"/>
      <family val="2"/>
      <scheme val="minor"/>
    </font>
    <font>
      <sz val="8"/>
      <name val="Arial"/>
      <family val="2"/>
    </font>
    <font>
      <sz val="10"/>
      <name val="Arial"/>
      <family val="2"/>
    </font>
    <font>
      <sz val="12"/>
      <name val="Garamond"/>
      <family val="1"/>
    </font>
    <font>
      <sz val="10"/>
      <color rgb="FF000000"/>
      <name val="Times New Roman"/>
      <family val="1"/>
    </font>
    <font>
      <sz val="12"/>
      <color rgb="FFFF0000"/>
      <name val="Calibri"/>
      <family val="2"/>
      <scheme val="minor"/>
    </font>
    <font>
      <sz val="12"/>
      <name val="Calibri"/>
      <family val="2"/>
      <scheme val="minor"/>
    </font>
    <font>
      <b/>
      <sz val="11"/>
      <name val="Times New Roman"/>
      <family val="1"/>
    </font>
    <font>
      <b/>
      <i/>
      <sz val="14"/>
      <color theme="1"/>
      <name val="Calibri"/>
      <family val="2"/>
      <scheme val="minor"/>
    </font>
    <font>
      <b/>
      <u/>
      <sz val="11"/>
      <color rgb="FFFF0000"/>
      <name val="Calibri"/>
      <family val="2"/>
      <scheme val="minor"/>
    </font>
    <font>
      <b/>
      <sz val="14"/>
      <color rgb="FFFF0000"/>
      <name val="Calibri"/>
      <family val="2"/>
      <scheme val="minor"/>
    </font>
  </fonts>
  <fills count="87">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indexed="55"/>
        <bgColor indexed="64"/>
      </patternFill>
    </fill>
    <fill>
      <patternFill patternType="solid">
        <fgColor rgb="FFCCFFCC"/>
        <bgColor indexed="64"/>
      </patternFill>
    </fill>
    <fill>
      <patternFill patternType="solid">
        <fgColor rgb="FFDCFDD3"/>
        <bgColor indexed="64"/>
      </patternFill>
    </fill>
    <fill>
      <patternFill patternType="solid">
        <fgColor rgb="FFCCFFFF"/>
        <bgColor indexed="64"/>
      </patternFill>
    </fill>
    <fill>
      <patternFill patternType="gray125">
        <fgColor auto="1"/>
        <bgColor auto="1"/>
      </patternFill>
    </fill>
    <fill>
      <patternFill patternType="solid">
        <fgColor rgb="FF92D050"/>
        <bgColor indexed="64"/>
      </patternFill>
    </fill>
    <fill>
      <patternFill patternType="solid">
        <fgColor theme="8" tint="0.79998168889431442"/>
        <bgColor indexed="64"/>
      </patternFill>
    </fill>
  </fills>
  <borders count="1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style="thin">
        <color indexed="30"/>
      </top>
      <bottom style="thin">
        <color indexed="30"/>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style="medium">
        <color auto="1"/>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right/>
      <top style="thin">
        <color theme="0"/>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theme="0"/>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theme="3" tint="0.79998168889431442"/>
      </left>
      <right/>
      <top style="thin">
        <color theme="3" tint="0.79998168889431442"/>
      </top>
      <bottom style="thin">
        <color theme="3" tint="0.79998168889431442"/>
      </bottom>
      <diagonal/>
    </border>
    <border>
      <left/>
      <right style="thin">
        <color theme="3" tint="0.79998168889431442"/>
      </right>
      <top style="thin">
        <color theme="3" tint="0.79998168889431442"/>
      </top>
      <bottom style="thin">
        <color theme="3" tint="0.79998168889431442"/>
      </bottom>
      <diagonal/>
    </border>
    <border>
      <left style="thin">
        <color theme="3" tint="0.79998168889431442"/>
      </left>
      <right style="thin">
        <color theme="3" tint="0.79998168889431442"/>
      </right>
      <top/>
      <bottom style="thin">
        <color theme="3" tint="0.79998168889431442"/>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theme="0"/>
      </right>
      <top/>
      <bottom style="thin">
        <color theme="0"/>
      </bottom>
      <diagonal/>
    </border>
  </borders>
  <cellStyleXfs count="32026">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9" fillId="0" borderId="0"/>
    <xf numFmtId="0" fontId="20" fillId="0" borderId="0"/>
    <xf numFmtId="0" fontId="19" fillId="0" borderId="0"/>
    <xf numFmtId="0" fontId="28" fillId="0" borderId="0"/>
    <xf numFmtId="0" fontId="19"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20"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8"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xf numFmtId="0" fontId="19" fillId="0" borderId="0"/>
    <xf numFmtId="0" fontId="19" fillId="0" borderId="0"/>
    <xf numFmtId="0" fontId="19" fillId="0" borderId="0"/>
    <xf numFmtId="0" fontId="33" fillId="0" borderId="0"/>
    <xf numFmtId="0" fontId="28" fillId="0" borderId="0"/>
    <xf numFmtId="0" fontId="19" fillId="0" borderId="0"/>
    <xf numFmtId="0" fontId="19" fillId="0" borderId="0"/>
    <xf numFmtId="0" fontId="33" fillId="0" borderId="0"/>
    <xf numFmtId="0" fontId="11" fillId="0" borderId="0"/>
    <xf numFmtId="0" fontId="11" fillId="0" borderId="0"/>
    <xf numFmtId="0" fontId="33" fillId="0" borderId="0"/>
    <xf numFmtId="0" fontId="19" fillId="0" borderId="0"/>
    <xf numFmtId="0" fontId="19" fillId="0" borderId="0"/>
    <xf numFmtId="0" fontId="19" fillId="0" borderId="0"/>
    <xf numFmtId="0" fontId="33" fillId="0" borderId="0"/>
    <xf numFmtId="0" fontId="33" fillId="0" borderId="0"/>
    <xf numFmtId="0" fontId="33" fillId="0" borderId="0"/>
    <xf numFmtId="0" fontId="19" fillId="0" borderId="0"/>
    <xf numFmtId="0" fontId="33" fillId="0" borderId="0"/>
    <xf numFmtId="0" fontId="19" fillId="0" borderId="0"/>
    <xf numFmtId="0" fontId="33" fillId="0" borderId="0"/>
    <xf numFmtId="0" fontId="33" fillId="0" borderId="0"/>
    <xf numFmtId="0" fontId="19" fillId="0" borderId="0"/>
    <xf numFmtId="0" fontId="33" fillId="0" borderId="0"/>
    <xf numFmtId="0" fontId="33" fillId="0" borderId="0"/>
    <xf numFmtId="0" fontId="33" fillId="0" borderId="0"/>
    <xf numFmtId="0" fontId="28"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29" fillId="0" borderId="0"/>
    <xf numFmtId="0" fontId="11" fillId="0" borderId="0"/>
    <xf numFmtId="0" fontId="11" fillId="0" borderId="0"/>
    <xf numFmtId="0" fontId="11" fillId="0" borderId="0"/>
    <xf numFmtId="0" fontId="11"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9" fillId="0" borderId="0"/>
    <xf numFmtId="0" fontId="29" fillId="0" borderId="0"/>
    <xf numFmtId="0" fontId="11" fillId="0" borderId="0"/>
    <xf numFmtId="0" fontId="11" fillId="0" borderId="0"/>
    <xf numFmtId="0" fontId="11" fillId="0" borderId="0"/>
    <xf numFmtId="0" fontId="1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xf numFmtId="0" fontId="21" fillId="0" borderId="0"/>
    <xf numFmtId="0" fontId="27"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0" fillId="0" borderId="0"/>
    <xf numFmtId="0" fontId="30" fillId="0" borderId="0"/>
    <xf numFmtId="0" fontId="21" fillId="0" borderId="0"/>
    <xf numFmtId="0" fontId="21" fillId="0" borderId="0"/>
    <xf numFmtId="0" fontId="21" fillId="0" borderId="0"/>
    <xf numFmtId="0" fontId="21" fillId="0" borderId="0"/>
    <xf numFmtId="0" fontId="33" fillId="0" borderId="0"/>
    <xf numFmtId="0" fontId="30" fillId="0" borderId="0"/>
    <xf numFmtId="0" fontId="21" fillId="0" borderId="0"/>
    <xf numFmtId="0" fontId="33" fillId="0" borderId="0"/>
    <xf numFmtId="0" fontId="21" fillId="0" borderId="0"/>
    <xf numFmtId="0" fontId="33"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21" fillId="0" borderId="0"/>
    <xf numFmtId="0" fontId="33" fillId="0" borderId="0"/>
    <xf numFmtId="0" fontId="33" fillId="0" borderId="0"/>
    <xf numFmtId="0" fontId="21" fillId="0" borderId="0"/>
    <xf numFmtId="0" fontId="33" fillId="0" borderId="0"/>
    <xf numFmtId="0" fontId="33" fillId="0" borderId="0"/>
    <xf numFmtId="0" fontId="33" fillId="0" borderId="0"/>
    <xf numFmtId="0" fontId="30"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4" fillId="0" borderId="0"/>
    <xf numFmtId="3" fontId="6" fillId="0" borderId="0"/>
    <xf numFmtId="0" fontId="11" fillId="5" borderId="7" applyNumberFormat="0" applyFont="0" applyAlignment="0" applyProtection="0"/>
    <xf numFmtId="0" fontId="11" fillId="5" borderId="7" applyNumberFormat="0" applyFont="0" applyAlignment="0" applyProtection="0"/>
    <xf numFmtId="0" fontId="29"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32"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6" fillId="0" borderId="0"/>
    <xf numFmtId="0" fontId="66" fillId="0" borderId="0"/>
    <xf numFmtId="0" fontId="65" fillId="0" borderId="0"/>
    <xf numFmtId="0" fontId="66" fillId="0" borderId="0"/>
    <xf numFmtId="0" fontId="66" fillId="0" borderId="0"/>
    <xf numFmtId="0" fontId="67" fillId="0" borderId="0"/>
    <xf numFmtId="0" fontId="66"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0" borderId="0"/>
    <xf numFmtId="0" fontId="67"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6"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5" borderId="7" applyNumberFormat="0" applyFont="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65"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5" fillId="0" borderId="0"/>
    <xf numFmtId="0" fontId="65" fillId="0" borderId="0"/>
    <xf numFmtId="0" fontId="65" fillId="0" borderId="0"/>
    <xf numFmtId="0" fontId="65" fillId="0" borderId="0"/>
    <xf numFmtId="0" fontId="65" fillId="0" borderId="0"/>
    <xf numFmtId="0" fontId="11" fillId="0" borderId="0"/>
    <xf numFmtId="0" fontId="65" fillId="0" borderId="0"/>
    <xf numFmtId="0" fontId="6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3" fillId="0" borderId="0"/>
    <xf numFmtId="0" fontId="33" fillId="0" borderId="0"/>
    <xf numFmtId="0" fontId="21" fillId="0" borderId="0"/>
    <xf numFmtId="0" fontId="33" fillId="0" borderId="0"/>
    <xf numFmtId="0" fontId="33" fillId="0" borderId="0"/>
    <xf numFmtId="0" fontId="33" fillId="0" borderId="0"/>
    <xf numFmtId="0" fontId="65" fillId="0" borderId="0"/>
    <xf numFmtId="0" fontId="33" fillId="0" borderId="0"/>
    <xf numFmtId="0" fontId="33" fillId="0" borderId="0"/>
    <xf numFmtId="0" fontId="33" fillId="0" borderId="0"/>
    <xf numFmtId="0" fontId="33" fillId="0" borderId="0"/>
    <xf numFmtId="0" fontId="33"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33" fillId="0" borderId="0"/>
    <xf numFmtId="0" fontId="33" fillId="0" borderId="0"/>
    <xf numFmtId="0" fontId="33" fillId="0" borderId="0"/>
    <xf numFmtId="0" fontId="33" fillId="0" borderId="0"/>
    <xf numFmtId="0" fontId="33" fillId="0" borderId="0"/>
    <xf numFmtId="0" fontId="11" fillId="0" borderId="0"/>
    <xf numFmtId="0" fontId="67" fillId="0" borderId="0"/>
    <xf numFmtId="0" fontId="67" fillId="0" borderId="0"/>
    <xf numFmtId="0" fontId="67" fillId="0" borderId="0"/>
    <xf numFmtId="0" fontId="67"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67" fillId="0" borderId="0"/>
    <xf numFmtId="0" fontId="33" fillId="0" borderId="0"/>
    <xf numFmtId="0" fontId="33" fillId="0" borderId="0"/>
    <xf numFmtId="0" fontId="33" fillId="0" borderId="0"/>
    <xf numFmtId="0" fontId="33"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21" fillId="0" borderId="0"/>
    <xf numFmtId="0" fontId="6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7"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66" fillId="0" borderId="0"/>
    <xf numFmtId="0" fontId="11" fillId="0" borderId="0"/>
    <xf numFmtId="0" fontId="11"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11" fillId="0" borderId="0"/>
    <xf numFmtId="0" fontId="21" fillId="0" borderId="0"/>
    <xf numFmtId="0" fontId="11" fillId="0" borderId="0"/>
    <xf numFmtId="0" fontId="11" fillId="0" borderId="0"/>
    <xf numFmtId="44" fontId="33"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3" fillId="0" borderId="0" applyFont="0" applyFill="0" applyBorder="0" applyAlignment="0" applyProtection="0"/>
    <xf numFmtId="0" fontId="19" fillId="0" borderId="0"/>
    <xf numFmtId="0" fontId="11" fillId="0" borderId="0"/>
    <xf numFmtId="43" fontId="33" fillId="0" borderId="0" applyFont="0" applyFill="0" applyBorder="0" applyAlignment="0" applyProtection="0"/>
    <xf numFmtId="0" fontId="11" fillId="0" borderId="0"/>
    <xf numFmtId="0" fontId="19" fillId="0" borderId="0"/>
    <xf numFmtId="0" fontId="19"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67" fillId="0" borderId="0"/>
    <xf numFmtId="0" fontId="1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21"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0" fontId="66" fillId="0" borderId="0"/>
    <xf numFmtId="0" fontId="19" fillId="0" borderId="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70" fillId="0" borderId="47" applyNumberFormat="0" applyFill="0" applyAlignment="0" applyProtection="0"/>
    <xf numFmtId="0" fontId="71" fillId="0" borderId="48" applyNumberFormat="0" applyFill="0" applyAlignment="0" applyProtection="0"/>
    <xf numFmtId="0" fontId="72" fillId="0" borderId="49" applyNumberFormat="0" applyFill="0" applyAlignment="0" applyProtection="0"/>
    <xf numFmtId="0" fontId="72" fillId="0" borderId="0" applyNumberFormat="0" applyFill="0" applyBorder="0" applyAlignment="0" applyProtection="0"/>
    <xf numFmtId="0" fontId="73" fillId="37" borderId="0" applyNumberFormat="0" applyBorder="0" applyAlignment="0" applyProtection="0"/>
    <xf numFmtId="0" fontId="74" fillId="38" borderId="0" applyNumberFormat="0" applyBorder="0" applyAlignment="0" applyProtection="0"/>
    <xf numFmtId="0" fontId="75" fillId="40" borderId="50" applyNumberFormat="0" applyAlignment="0" applyProtection="0"/>
    <xf numFmtId="0" fontId="76" fillId="41" borderId="51" applyNumberFormat="0" applyAlignment="0" applyProtection="0"/>
    <xf numFmtId="0" fontId="77" fillId="41" borderId="50" applyNumberFormat="0" applyAlignment="0" applyProtection="0"/>
    <xf numFmtId="0" fontId="78" fillId="0" borderId="52" applyNumberFormat="0" applyFill="0" applyAlignment="0" applyProtection="0"/>
    <xf numFmtId="0" fontId="79" fillId="42" borderId="53" applyNumberFormat="0" applyAlignment="0" applyProtection="0"/>
    <xf numFmtId="0" fontId="68" fillId="0" borderId="0" applyNumberFormat="0" applyFill="0" applyBorder="0" applyAlignment="0" applyProtection="0"/>
    <xf numFmtId="0" fontId="39" fillId="0" borderId="55" applyNumberFormat="0" applyFill="0" applyAlignment="0" applyProtection="0"/>
    <xf numFmtId="0" fontId="80" fillId="44" borderId="0" applyNumberFormat="0" applyBorder="0" applyAlignment="0" applyProtection="0"/>
    <xf numFmtId="0" fontId="80" fillId="45" borderId="0" applyNumberFormat="0" applyBorder="0" applyAlignment="0" applyProtection="0"/>
    <xf numFmtId="0" fontId="80" fillId="46" borderId="0" applyNumberFormat="0" applyBorder="0" applyAlignment="0" applyProtection="0"/>
    <xf numFmtId="0" fontId="80" fillId="47" borderId="0" applyNumberFormat="0" applyBorder="0" applyAlignment="0" applyProtection="0"/>
    <xf numFmtId="0" fontId="80" fillId="48" borderId="0" applyNumberFormat="0" applyBorder="0" applyAlignment="0" applyProtection="0"/>
    <xf numFmtId="0" fontId="80" fillId="49" borderId="0" applyNumberFormat="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89" fillId="39" borderId="0" applyNumberFormat="0" applyBorder="0" applyAlignment="0" applyProtection="0"/>
    <xf numFmtId="0" fontId="33" fillId="43" borderId="54" applyNumberFormat="0" applyFont="0" applyAlignment="0" applyProtection="0"/>
    <xf numFmtId="40" fontId="82" fillId="0" borderId="17">
      <alignment horizontal="right"/>
    </xf>
    <xf numFmtId="0" fontId="83" fillId="0" borderId="0">
      <alignment horizontal="left"/>
    </xf>
    <xf numFmtId="49" fontId="11" fillId="0" borderId="0"/>
    <xf numFmtId="0" fontId="83" fillId="0" borderId="0">
      <alignment horizontal="left"/>
    </xf>
    <xf numFmtId="177" fontId="82" fillId="0" borderId="17">
      <alignment horizontal="right"/>
    </xf>
    <xf numFmtId="49" fontId="82"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7" fontId="11" fillId="0" borderId="0">
      <alignment horizontal="right"/>
    </xf>
    <xf numFmtId="49" fontId="11" fillId="0" borderId="0"/>
    <xf numFmtId="49" fontId="81" fillId="50" borderId="0">
      <alignment horizontal="right" vertical="center"/>
    </xf>
    <xf numFmtId="49" fontId="81" fillId="50" borderId="0">
      <alignment horizontal="left" vertical="center"/>
    </xf>
    <xf numFmtId="49" fontId="81" fillId="50" borderId="0">
      <alignment horizontal="center" vertical="center"/>
    </xf>
    <xf numFmtId="49" fontId="81" fillId="50" borderId="0">
      <alignment horizontal="center" vertical="center"/>
    </xf>
    <xf numFmtId="49" fontId="81" fillId="50" borderId="0">
      <alignment horizontal="right" vertical="center"/>
    </xf>
    <xf numFmtId="40" fontId="81" fillId="50" borderId="0">
      <alignment horizontal="right"/>
    </xf>
    <xf numFmtId="49" fontId="81" fillId="50"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7" fontId="11" fillId="0" borderId="0">
      <alignment horizontal="right"/>
    </xf>
    <xf numFmtId="49" fontId="11" fillId="0" borderId="0"/>
    <xf numFmtId="49" fontId="81" fillId="50" borderId="0">
      <alignment horizontal="center" vertical="center"/>
    </xf>
    <xf numFmtId="49" fontId="81" fillId="50" borderId="0">
      <alignment horizontal="center" vertical="center"/>
    </xf>
    <xf numFmtId="177" fontId="81" fillId="50" borderId="0">
      <alignment horizontal="center" vertical="center"/>
    </xf>
    <xf numFmtId="49" fontId="81" fillId="50" borderId="0">
      <alignment horizontal="right"/>
    </xf>
    <xf numFmtId="40" fontId="82" fillId="0" borderId="19">
      <alignment horizontal="right"/>
    </xf>
    <xf numFmtId="0" fontId="83" fillId="0" borderId="0">
      <alignment horizontal="left"/>
    </xf>
    <xf numFmtId="49" fontId="11" fillId="0" borderId="0"/>
    <xf numFmtId="0" fontId="83" fillId="0" borderId="0">
      <alignment horizontal="left"/>
    </xf>
    <xf numFmtId="177" fontId="82" fillId="0" borderId="19">
      <alignment horizontal="right"/>
    </xf>
    <xf numFmtId="49" fontId="82" fillId="0" borderId="0">
      <alignment horizontal="right"/>
    </xf>
    <xf numFmtId="49" fontId="11" fillId="0" borderId="0"/>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81" fillId="50"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82" fillId="51" borderId="0">
      <alignment horizontal="center" vertical="center"/>
    </xf>
    <xf numFmtId="49" fontId="11" fillId="51" borderId="0">
      <alignment horizontal="left" vertical="center"/>
    </xf>
    <xf numFmtId="49" fontId="82" fillId="51" borderId="0">
      <alignment horizontal="center" vertical="center"/>
    </xf>
    <xf numFmtId="0" fontId="82" fillId="52" borderId="0">
      <alignment horizontal="left"/>
    </xf>
    <xf numFmtId="49" fontId="11" fillId="0" borderId="0"/>
    <xf numFmtId="0" fontId="82" fillId="52" borderId="0">
      <alignment horizontal="left"/>
    </xf>
    <xf numFmtId="40" fontId="82" fillId="0" borderId="0">
      <alignment horizontal="right"/>
    </xf>
    <xf numFmtId="49" fontId="81" fillId="50" borderId="0"/>
    <xf numFmtId="49" fontId="81" fillId="50" borderId="0"/>
    <xf numFmtId="49" fontId="11" fillId="0" borderId="0"/>
    <xf numFmtId="0" fontId="84" fillId="53" borderId="0" applyFont="0" applyFill="0">
      <alignment horizontal="left" vertical="top" wrapText="1"/>
    </xf>
    <xf numFmtId="40" fontId="84" fillId="0" borderId="0"/>
    <xf numFmtId="40" fontId="84" fillId="0" borderId="0"/>
    <xf numFmtId="0" fontId="84" fillId="0" borderId="0">
      <alignment horizontal="left"/>
    </xf>
    <xf numFmtId="0" fontId="84" fillId="0" borderId="0">
      <alignment horizontal="center"/>
    </xf>
    <xf numFmtId="0" fontId="85" fillId="0" borderId="0">
      <alignment horizontal="center"/>
    </xf>
    <xf numFmtId="0" fontId="86" fillId="50" borderId="0">
      <alignment horizontal="left"/>
    </xf>
    <xf numFmtId="0" fontId="86" fillId="50" borderId="0">
      <alignment horizontal="left"/>
    </xf>
    <xf numFmtId="0" fontId="85" fillId="0" borderId="0">
      <alignment horizontal="center"/>
    </xf>
    <xf numFmtId="40" fontId="87" fillId="0" borderId="18"/>
    <xf numFmtId="40" fontId="87" fillId="0" borderId="18"/>
    <xf numFmtId="0" fontId="87" fillId="0" borderId="0"/>
    <xf numFmtId="0" fontId="87" fillId="0" borderId="0"/>
    <xf numFmtId="0" fontId="85" fillId="0" borderId="0">
      <alignment horizontal="center"/>
    </xf>
    <xf numFmtId="0" fontId="88" fillId="54" borderId="0">
      <alignment horizontal="left"/>
    </xf>
    <xf numFmtId="0" fontId="88" fillId="54" borderId="0">
      <alignment horizontal="left"/>
    </xf>
    <xf numFmtId="40" fontId="82" fillId="0" borderId="0">
      <alignment horizontal="right"/>
    </xf>
    <xf numFmtId="0" fontId="83" fillId="0" borderId="0">
      <alignment horizontal="left"/>
    </xf>
    <xf numFmtId="49" fontId="11" fillId="0" borderId="0"/>
    <xf numFmtId="0" fontId="83" fillId="0" borderId="0">
      <alignment horizontal="left"/>
    </xf>
    <xf numFmtId="177" fontId="82" fillId="0" borderId="0">
      <alignment horizontal="right"/>
    </xf>
    <xf numFmtId="49" fontId="82" fillId="0" borderId="0" applyBorder="0">
      <alignment horizontal="right"/>
    </xf>
    <xf numFmtId="0" fontId="11" fillId="0" borderId="0"/>
    <xf numFmtId="49" fontId="90" fillId="53" borderId="0">
      <alignment horizontal="left"/>
    </xf>
    <xf numFmtId="49" fontId="90" fillId="53" borderId="0">
      <alignment horizontal="left"/>
    </xf>
    <xf numFmtId="0" fontId="91" fillId="53" borderId="0">
      <alignment horizontal="left"/>
    </xf>
    <xf numFmtId="178" fontId="91" fillId="53" borderId="0">
      <alignment horizontal="left"/>
    </xf>
    <xf numFmtId="40" fontId="82" fillId="0" borderId="0">
      <alignment horizontal="right"/>
    </xf>
    <xf numFmtId="49" fontId="92" fillId="53" borderId="0">
      <alignment horizontal="left"/>
    </xf>
    <xf numFmtId="49" fontId="92" fillId="53" borderId="0">
      <alignment horizontal="left"/>
    </xf>
    <xf numFmtId="49" fontId="11" fillId="0" borderId="0"/>
    <xf numFmtId="40" fontId="82" fillId="0" borderId="14">
      <alignment horizontal="right"/>
    </xf>
    <xf numFmtId="49" fontId="82" fillId="0" borderId="0">
      <alignment horizontal="left"/>
    </xf>
    <xf numFmtId="49" fontId="11" fillId="0" borderId="0"/>
    <xf numFmtId="49" fontId="82" fillId="0" borderId="0">
      <alignment horizontal="left"/>
    </xf>
    <xf numFmtId="177" fontId="82" fillId="0" borderId="14">
      <alignment horizontal="right"/>
    </xf>
    <xf numFmtId="49" fontId="82" fillId="0" borderId="0">
      <alignment horizontal="right"/>
    </xf>
    <xf numFmtId="40" fontId="82" fillId="0" borderId="14">
      <alignment horizontal="right"/>
    </xf>
    <xf numFmtId="0" fontId="82" fillId="52" borderId="0">
      <alignment horizontal="left"/>
    </xf>
    <xf numFmtId="49" fontId="11" fillId="0" borderId="0"/>
    <xf numFmtId="0" fontId="82" fillId="52" borderId="0">
      <alignment horizontal="left"/>
    </xf>
    <xf numFmtId="177" fontId="82" fillId="0" borderId="14">
      <alignment horizontal="right"/>
    </xf>
    <xf numFmtId="49" fontId="82" fillId="0" borderId="0">
      <alignment horizontal="right"/>
    </xf>
    <xf numFmtId="0" fontId="87" fillId="0" borderId="0"/>
    <xf numFmtId="40" fontId="84" fillId="0" borderId="18"/>
    <xf numFmtId="40" fontId="84" fillId="0" borderId="18"/>
    <xf numFmtId="0" fontId="84" fillId="0" borderId="0"/>
    <xf numFmtId="0" fontId="84" fillId="0" borderId="0"/>
    <xf numFmtId="40" fontId="84" fillId="0" borderId="0"/>
    <xf numFmtId="179" fontId="84" fillId="0" borderId="0"/>
    <xf numFmtId="40" fontId="84" fillId="0" borderId="0"/>
    <xf numFmtId="0" fontId="84" fillId="0" borderId="0"/>
    <xf numFmtId="0" fontId="84" fillId="0" borderId="0"/>
    <xf numFmtId="40" fontId="82" fillId="0" borderId="18">
      <alignment horizontal="right"/>
    </xf>
    <xf numFmtId="49" fontId="82" fillId="0" borderId="0">
      <alignment horizontal="left"/>
    </xf>
    <xf numFmtId="49" fontId="11" fillId="0" borderId="0"/>
    <xf numFmtId="49" fontId="82" fillId="0" borderId="0">
      <alignment horizontal="left"/>
    </xf>
    <xf numFmtId="177" fontId="82" fillId="0" borderId="18">
      <alignment horizontal="right"/>
    </xf>
    <xf numFmtId="49" fontId="82" fillId="0" borderId="0">
      <alignment horizontal="right"/>
    </xf>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43" borderId="54"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2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7" fillId="11"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4"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1" fillId="0" borderId="0"/>
    <xf numFmtId="0" fontId="2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7" fillId="13"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7" fillId="7" borderId="0" applyNumberFormat="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21"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11"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4"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9" fontId="3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2" fillId="20" borderId="0" applyFont="0" applyBorder="0" applyAlignment="0">
      <alignment horizontal="center" wrapText="1"/>
    </xf>
    <xf numFmtId="0" fontId="33" fillId="0" borderId="0"/>
    <xf numFmtId="43" fontId="1" fillId="0" borderId="0" applyFont="0" applyFill="0" applyBorder="0" applyAlignment="0" applyProtection="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19" fillId="0" borderId="0"/>
    <xf numFmtId="0" fontId="33" fillId="0" borderId="0"/>
    <xf numFmtId="0" fontId="33" fillId="0" borderId="0"/>
    <xf numFmtId="0" fontId="33"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2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19"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11" fillId="0" borderId="0"/>
    <xf numFmtId="43" fontId="33" fillId="0" borderId="0" applyFont="0" applyFill="0" applyBorder="0" applyAlignment="0" applyProtection="0"/>
    <xf numFmtId="0" fontId="7" fillId="7" borderId="0" applyNumberFormat="0" applyBorder="0" applyAlignment="0" applyProtection="0"/>
    <xf numFmtId="0" fontId="33" fillId="0" borderId="0"/>
    <xf numFmtId="0" fontId="7" fillId="11" borderId="0" applyNumberFormat="0" applyBorder="0" applyAlignment="0" applyProtection="0"/>
    <xf numFmtId="0" fontId="33" fillId="0" borderId="0"/>
    <xf numFmtId="0" fontId="19"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11" fillId="0" borderId="0"/>
    <xf numFmtId="0" fontId="11"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7" borderId="0" applyNumberFormat="0" applyBorder="0" applyAlignment="0" applyProtection="0"/>
    <xf numFmtId="0" fontId="11" fillId="0" borderId="0"/>
    <xf numFmtId="0" fontId="38" fillId="20" borderId="0" applyFont="0" applyBorder="0" applyAlignment="0">
      <alignment horizontal="center" wrapText="1"/>
    </xf>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0" fontId="21" fillId="0" borderId="0"/>
    <xf numFmtId="0" fontId="19" fillId="0" borderId="0"/>
    <xf numFmtId="0" fontId="11" fillId="0" borderId="0"/>
    <xf numFmtId="0" fontId="1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11" fillId="0" borderId="0"/>
    <xf numFmtId="0" fontId="33"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43" fontId="1"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9" fillId="0" borderId="0"/>
    <xf numFmtId="0" fontId="21" fillId="0" borderId="0"/>
    <xf numFmtId="44" fontId="34" fillId="0" borderId="0" applyFont="0" applyFill="0" applyBorder="0" applyAlignment="0" applyProtection="0"/>
    <xf numFmtId="43" fontId="33" fillId="0" borderId="0" applyFont="0" applyFill="0" applyBorder="0" applyAlignment="0" applyProtection="0"/>
    <xf numFmtId="0" fontId="19"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0" fontId="11" fillId="0" borderId="0"/>
    <xf numFmtId="0" fontId="33" fillId="0" borderId="0"/>
    <xf numFmtId="0" fontId="32" fillId="20" borderId="0" applyFont="0" applyBorder="0" applyAlignment="0">
      <alignment horizontal="center" wrapText="1"/>
    </xf>
    <xf numFmtId="0" fontId="33" fillId="0" borderId="0"/>
    <xf numFmtId="0" fontId="3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11" fillId="0" borderId="0"/>
    <xf numFmtId="44" fontId="1"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33" fillId="0" borderId="0"/>
    <xf numFmtId="0" fontId="19" fillId="0" borderId="0"/>
    <xf numFmtId="0" fontId="11"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2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9"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93" fillId="0" borderId="0" applyNumberFormat="0" applyFill="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8" borderId="0" applyNumberFormat="0" applyBorder="0" applyAlignment="0" applyProtection="0"/>
    <xf numFmtId="0" fontId="33" fillId="59" borderId="0" applyNumberFormat="0" applyBorder="0" applyAlignment="0" applyProtection="0"/>
    <xf numFmtId="0" fontId="33" fillId="61" borderId="0" applyNumberFormat="0" applyBorder="0" applyAlignment="0" applyProtection="0"/>
    <xf numFmtId="0" fontId="33" fillId="62" borderId="0" applyNumberFormat="0" applyBorder="0" applyAlignment="0" applyProtection="0"/>
    <xf numFmtId="0" fontId="33" fillId="64" borderId="0" applyNumberFormat="0" applyBorder="0" applyAlignment="0" applyProtection="0"/>
    <xf numFmtId="0" fontId="33" fillId="65" borderId="0" applyNumberFormat="0" applyBorder="0" applyAlignment="0" applyProtection="0"/>
    <xf numFmtId="0" fontId="33" fillId="67" borderId="0" applyNumberFormat="0" applyBorder="0" applyAlignment="0" applyProtection="0"/>
    <xf numFmtId="0" fontId="33" fillId="68" borderId="0" applyNumberFormat="0" applyBorder="0" applyAlignment="0" applyProtection="0"/>
    <xf numFmtId="0" fontId="33" fillId="70" borderId="0" applyNumberFormat="0" applyBorder="0" applyAlignment="0" applyProtection="0"/>
    <xf numFmtId="0" fontId="33" fillId="71" borderId="0" applyNumberFormat="0" applyBorder="0" applyAlignment="0" applyProtection="0"/>
    <xf numFmtId="0" fontId="34" fillId="55" borderId="0" applyNumberFormat="0" applyBorder="0" applyAlignment="0" applyProtection="0"/>
    <xf numFmtId="0" fontId="34" fillId="58" borderId="0" applyNumberFormat="0" applyBorder="0" applyAlignment="0" applyProtection="0"/>
    <xf numFmtId="0" fontId="34" fillId="61" borderId="0" applyNumberFormat="0" applyBorder="0" applyAlignment="0" applyProtection="0"/>
    <xf numFmtId="0" fontId="34" fillId="64" borderId="0" applyNumberFormat="0" applyBorder="0" applyAlignment="0" applyProtection="0"/>
    <xf numFmtId="0" fontId="34" fillId="67" borderId="0" applyNumberFormat="0" applyBorder="0" applyAlignment="0" applyProtection="0"/>
    <xf numFmtId="0" fontId="34" fillId="70"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2" borderId="0" applyNumberFormat="0" applyBorder="0" applyAlignment="0" applyProtection="0"/>
    <xf numFmtId="0" fontId="34" fillId="65" borderId="0" applyNumberFormat="0" applyBorder="0" applyAlignment="0" applyProtection="0"/>
    <xf numFmtId="0" fontId="34" fillId="68" borderId="0" applyNumberFormat="0" applyBorder="0" applyAlignment="0" applyProtection="0"/>
    <xf numFmtId="0" fontId="34" fillId="71" borderId="0" applyNumberFormat="0" applyBorder="0" applyAlignment="0" applyProtection="0"/>
    <xf numFmtId="0" fontId="80" fillId="57" borderId="0" applyNumberFormat="0" applyBorder="0" applyAlignment="0" applyProtection="0"/>
    <xf numFmtId="0" fontId="94" fillId="57" borderId="0" applyNumberFormat="0" applyBorder="0" applyAlignment="0" applyProtection="0"/>
    <xf numFmtId="0" fontId="80" fillId="60" borderId="0" applyNumberFormat="0" applyBorder="0" applyAlignment="0" applyProtection="0"/>
    <xf numFmtId="0" fontId="94" fillId="60" borderId="0" applyNumberFormat="0" applyBorder="0" applyAlignment="0" applyProtection="0"/>
    <xf numFmtId="0" fontId="80" fillId="63" borderId="0" applyNumberFormat="0" applyBorder="0" applyAlignment="0" applyProtection="0"/>
    <xf numFmtId="0" fontId="94" fillId="63" borderId="0" applyNumberFormat="0" applyBorder="0" applyAlignment="0" applyProtection="0"/>
    <xf numFmtId="0" fontId="80" fillId="66" borderId="0" applyNumberFormat="0" applyBorder="0" applyAlignment="0" applyProtection="0"/>
    <xf numFmtId="0" fontId="94" fillId="66" borderId="0" applyNumberFormat="0" applyBorder="0" applyAlignment="0" applyProtection="0"/>
    <xf numFmtId="0" fontId="80" fillId="69" borderId="0" applyNumberFormat="0" applyBorder="0" applyAlignment="0" applyProtection="0"/>
    <xf numFmtId="0" fontId="94" fillId="69" borderId="0" applyNumberFormat="0" applyBorder="0" applyAlignment="0" applyProtection="0"/>
    <xf numFmtId="0" fontId="80" fillId="72" borderId="0" applyNumberFormat="0" applyBorder="0" applyAlignment="0" applyProtection="0"/>
    <xf numFmtId="0" fontId="94" fillId="72"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5" fillId="38" borderId="0" applyNumberFormat="0" applyBorder="0" applyAlignment="0" applyProtection="0"/>
    <xf numFmtId="0" fontId="96" fillId="41" borderId="50" applyNumberFormat="0" applyAlignment="0" applyProtection="0"/>
    <xf numFmtId="0" fontId="97" fillId="42" borderId="53"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98" fillId="0" borderId="0" applyNumberFormat="0" applyFill="0" applyBorder="0" applyAlignment="0" applyProtection="0"/>
    <xf numFmtId="0" fontId="99" fillId="37" borderId="0" applyNumberFormat="0" applyBorder="0" applyAlignment="0" applyProtection="0"/>
    <xf numFmtId="0" fontId="100" fillId="0" borderId="47" applyNumberFormat="0" applyFill="0" applyAlignment="0" applyProtection="0"/>
    <xf numFmtId="0" fontId="101" fillId="0" borderId="48" applyNumberFormat="0" applyFill="0" applyAlignment="0" applyProtection="0"/>
    <xf numFmtId="0" fontId="15" fillId="0" borderId="58" applyNumberFormat="0" applyFill="0" applyAlignment="0" applyProtection="0"/>
    <xf numFmtId="0" fontId="15" fillId="0" borderId="58" applyNumberFormat="0" applyFill="0" applyAlignment="0" applyProtection="0"/>
    <xf numFmtId="0" fontId="102" fillId="0" borderId="49" applyNumberFormat="0" applyFill="0" applyAlignment="0" applyProtection="0"/>
    <xf numFmtId="0" fontId="102" fillId="0" borderId="0" applyNumberFormat="0" applyFill="0" applyBorder="0" applyAlignment="0" applyProtection="0"/>
    <xf numFmtId="0" fontId="103" fillId="40" borderId="50" applyNumberFormat="0" applyAlignment="0" applyProtection="0"/>
    <xf numFmtId="0" fontId="104" fillId="0" borderId="52" applyNumberFormat="0" applyFill="0" applyAlignment="0" applyProtection="0"/>
    <xf numFmtId="0" fontId="105" fillId="39" borderId="0" applyNumberFormat="0" applyBorder="0" applyAlignment="0" applyProtection="0"/>
    <xf numFmtId="0" fontId="6" fillId="0" borderId="0"/>
    <xf numFmtId="0" fontId="34" fillId="0" borderId="0"/>
    <xf numFmtId="0" fontId="34" fillId="0" borderId="0"/>
    <xf numFmtId="0" fontId="34" fillId="0" borderId="0"/>
    <xf numFmtId="0" fontId="34" fillId="0" borderId="0"/>
    <xf numFmtId="0" fontId="6" fillId="0" borderId="0"/>
    <xf numFmtId="0" fontId="6" fillId="0" borderId="0"/>
    <xf numFmtId="0" fontId="11" fillId="0" borderId="0"/>
    <xf numFmtId="0" fontId="19" fillId="0" borderId="0"/>
    <xf numFmtId="0" fontId="11" fillId="0" borderId="0"/>
    <xf numFmtId="0" fontId="34" fillId="0" borderId="0"/>
    <xf numFmtId="0" fontId="33"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34" fillId="43" borderId="54" applyNumberFormat="0" applyFont="0" applyAlignment="0" applyProtection="0"/>
    <xf numFmtId="0" fontId="106" fillId="41" borderId="51" applyNumberFormat="0" applyAlignment="0" applyProtection="0"/>
    <xf numFmtId="9" fontId="6" fillId="0" borderId="0" applyFont="0" applyFill="0" applyBorder="0" applyAlignment="0" applyProtection="0"/>
    <xf numFmtId="0" fontId="107" fillId="0" borderId="0" applyNumberFormat="0" applyFill="0" applyBorder="0" applyAlignment="0" applyProtection="0"/>
    <xf numFmtId="0" fontId="108" fillId="0" borderId="55" applyNumberFormat="0" applyFill="0" applyAlignment="0" applyProtection="0"/>
    <xf numFmtId="0" fontId="109" fillId="0" borderId="0" applyNumberFormat="0" applyFill="0" applyBorder="0" applyAlignment="0" applyProtection="0"/>
    <xf numFmtId="0" fontId="112" fillId="0" borderId="0"/>
    <xf numFmtId="43" fontId="113" fillId="0" borderId="0" applyFont="0" applyFill="0" applyBorder="0" applyAlignment="0" applyProtection="0"/>
    <xf numFmtId="0" fontId="11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6" fillId="0" borderId="0"/>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65" fillId="0" borderId="0"/>
    <xf numFmtId="0" fontId="65" fillId="0" borderId="0"/>
    <xf numFmtId="0" fontId="65" fillId="0" borderId="0"/>
    <xf numFmtId="0" fontId="66" fillId="0" borderId="0"/>
    <xf numFmtId="0" fontId="66" fillId="0" borderId="0"/>
    <xf numFmtId="0" fontId="66" fillId="0" borderId="0"/>
    <xf numFmtId="0" fontId="66" fillId="0" borderId="0"/>
    <xf numFmtId="0" fontId="66" fillId="0" borderId="0"/>
    <xf numFmtId="0" fontId="65" fillId="0" borderId="0"/>
    <xf numFmtId="0" fontId="66" fillId="0" borderId="0"/>
    <xf numFmtId="0" fontId="66" fillId="0" borderId="0"/>
    <xf numFmtId="0" fontId="66" fillId="0" borderId="0"/>
    <xf numFmtId="0" fontId="66" fillId="0" borderId="0"/>
    <xf numFmtId="0" fontId="66" fillId="0" borderId="0"/>
    <xf numFmtId="0" fontId="67" fillId="0" borderId="0"/>
    <xf numFmtId="0" fontId="67" fillId="0" borderId="0"/>
    <xf numFmtId="0" fontId="33" fillId="0" borderId="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4" fillId="0" borderId="0"/>
    <xf numFmtId="0" fontId="11" fillId="0" borderId="0"/>
    <xf numFmtId="0" fontId="11" fillId="0" borderId="0"/>
    <xf numFmtId="0" fontId="33" fillId="0" borderId="0"/>
    <xf numFmtId="0" fontId="11" fillId="0" borderId="0"/>
    <xf numFmtId="0" fontId="19" fillId="0" borderId="0"/>
    <xf numFmtId="0" fontId="21" fillId="0" borderId="0"/>
    <xf numFmtId="0" fontId="11" fillId="0" borderId="0"/>
    <xf numFmtId="0" fontId="11" fillId="0" borderId="0"/>
    <xf numFmtId="0" fontId="19" fillId="0" borderId="0"/>
    <xf numFmtId="0" fontId="113" fillId="0" borderId="0"/>
    <xf numFmtId="0" fontId="11" fillId="0" borderId="0"/>
    <xf numFmtId="0" fontId="113"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33" fillId="0" borderId="0"/>
    <xf numFmtId="43" fontId="33" fillId="0" borderId="0" applyFont="0" applyFill="0" applyBorder="0" applyAlignment="0" applyProtection="0"/>
    <xf numFmtId="0" fontId="19" fillId="0" borderId="0"/>
    <xf numFmtId="0" fontId="21" fillId="0" borderId="0"/>
    <xf numFmtId="43" fontId="33" fillId="0" borderId="0" applyFont="0" applyFill="0" applyBorder="0" applyAlignment="0" applyProtection="0"/>
    <xf numFmtId="44"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3" fillId="0" borderId="0"/>
    <xf numFmtId="0" fontId="123" fillId="0" borderId="0"/>
    <xf numFmtId="43" fontId="112" fillId="0" borderId="0" applyFont="0" applyFill="0" applyBorder="0" applyAlignment="0" applyProtection="0"/>
    <xf numFmtId="0" fontId="112" fillId="0" borderId="0"/>
    <xf numFmtId="0" fontId="124" fillId="0" borderId="0"/>
    <xf numFmtId="0" fontId="33" fillId="0" borderId="0"/>
    <xf numFmtId="0" fontId="124" fillId="0" borderId="0"/>
    <xf numFmtId="43" fontId="112" fillId="0" borderId="0" applyFont="0" applyFill="0" applyBorder="0" applyAlignment="0" applyProtection="0"/>
    <xf numFmtId="0" fontId="112" fillId="0" borderId="0"/>
    <xf numFmtId="0" fontId="112" fillId="0" borderId="0"/>
    <xf numFmtId="0" fontId="112" fillId="0" borderId="0"/>
    <xf numFmtId="0" fontId="125" fillId="0" borderId="0"/>
    <xf numFmtId="0" fontId="125" fillId="0" borderId="0"/>
    <xf numFmtId="0" fontId="126" fillId="0" borderId="0"/>
    <xf numFmtId="0" fontId="125" fillId="0" borderId="0"/>
    <xf numFmtId="0" fontId="124" fillId="0" borderId="0"/>
    <xf numFmtId="0" fontId="125" fillId="0" borderId="0"/>
    <xf numFmtId="0" fontId="124"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5" fillId="0" borderId="0"/>
    <xf numFmtId="0" fontId="124" fillId="0" borderId="0"/>
    <xf numFmtId="0" fontId="124" fillId="0" borderId="0"/>
    <xf numFmtId="0" fontId="125" fillId="0" borderId="0"/>
    <xf numFmtId="0" fontId="124" fillId="0" borderId="0"/>
    <xf numFmtId="0" fontId="124" fillId="0" borderId="0"/>
    <xf numFmtId="0" fontId="126" fillId="0" borderId="0"/>
    <xf numFmtId="0" fontId="124" fillId="5" borderId="7"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12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5" borderId="7" applyNumberFormat="0" applyFont="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4" fillId="0" borderId="0"/>
    <xf numFmtId="0" fontId="126" fillId="0" borderId="0"/>
    <xf numFmtId="0" fontId="124" fillId="0" borderId="0"/>
    <xf numFmtId="0" fontId="126" fillId="0" borderId="0"/>
    <xf numFmtId="0" fontId="124" fillId="0" borderId="0"/>
    <xf numFmtId="0" fontId="127"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27" fillId="0" borderId="0"/>
    <xf numFmtId="0" fontId="125" fillId="0" borderId="0"/>
    <xf numFmtId="0" fontId="125" fillId="0" borderId="0"/>
    <xf numFmtId="0" fontId="125"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4" fillId="0" borderId="0"/>
    <xf numFmtId="0" fontId="126" fillId="0" borderId="0"/>
    <xf numFmtId="0" fontId="126"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27" fillId="0" borderId="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21" fillId="0" borderId="0"/>
    <xf numFmtId="9"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21" fillId="0" borderId="0"/>
    <xf numFmtId="0" fontId="33" fillId="0" borderId="0"/>
    <xf numFmtId="0" fontId="11" fillId="0" borderId="0"/>
    <xf numFmtId="0" fontId="21" fillId="0" borderId="0"/>
    <xf numFmtId="0" fontId="21"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3" fillId="0" borderId="0" applyFont="0" applyFill="0" applyBorder="0" applyAlignment="0" applyProtection="0"/>
    <xf numFmtId="43" fontId="33"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19" fillId="0" borderId="0"/>
    <xf numFmtId="0" fontId="2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3" fillId="43" borderId="54" applyNumberFormat="0" applyFont="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43" borderId="54" applyNumberFormat="0" applyFont="0" applyAlignment="0" applyProtection="0"/>
    <xf numFmtId="0" fontId="19" fillId="0" borderId="0"/>
    <xf numFmtId="0" fontId="21"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21" fillId="0" borderId="0"/>
    <xf numFmtId="43" fontId="34"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0" fontId="11" fillId="0" borderId="0"/>
    <xf numFmtId="0" fontId="33" fillId="0" borderId="0"/>
    <xf numFmtId="0" fontId="11" fillId="0" borderId="0"/>
    <xf numFmtId="0" fontId="11" fillId="0" borderId="0"/>
    <xf numFmtId="0" fontId="34" fillId="43" borderId="54" applyNumberFormat="0" applyFont="0" applyAlignment="0" applyProtection="0"/>
    <xf numFmtId="0" fontId="11" fillId="0" borderId="0"/>
    <xf numFmtId="0" fontId="11" fillId="0" borderId="0"/>
    <xf numFmtId="0" fontId="33" fillId="0" borderId="0"/>
    <xf numFmtId="0" fontId="11" fillId="0" borderId="0"/>
    <xf numFmtId="0" fontId="11" fillId="0" borderId="0"/>
    <xf numFmtId="0" fontId="34" fillId="0" borderId="0"/>
    <xf numFmtId="44" fontId="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0" fontId="19" fillId="0" borderId="0"/>
    <xf numFmtId="0" fontId="19" fillId="0" borderId="0"/>
    <xf numFmtId="0" fontId="11"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3"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12" fillId="0" borderId="0"/>
    <xf numFmtId="43" fontId="112" fillId="0" borderId="0" applyFont="0" applyFill="0" applyBorder="0" applyAlignment="0" applyProtection="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2" fillId="0" borderId="0"/>
    <xf numFmtId="0" fontId="177" fillId="0" borderId="0"/>
    <xf numFmtId="0" fontId="179" fillId="0" borderId="0"/>
    <xf numFmtId="43" fontId="179" fillId="0" borderId="0" applyFont="0" applyFill="0" applyBorder="0" applyAlignment="0" applyProtection="0"/>
    <xf numFmtId="44" fontId="179"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87" fillId="0" borderId="0"/>
    <xf numFmtId="0" fontId="187" fillId="0" borderId="0"/>
    <xf numFmtId="0" fontId="188" fillId="0" borderId="0"/>
    <xf numFmtId="0" fontId="188" fillId="0" borderId="0"/>
    <xf numFmtId="0" fontId="188" fillId="0" borderId="0"/>
    <xf numFmtId="0" fontId="188" fillId="0" borderId="0"/>
    <xf numFmtId="0" fontId="189" fillId="0" borderId="0"/>
    <xf numFmtId="0" fontId="187" fillId="0" borderId="0"/>
    <xf numFmtId="0" fontId="188" fillId="0" borderId="0"/>
    <xf numFmtId="0" fontId="188" fillId="0" borderId="0"/>
    <xf numFmtId="0" fontId="187" fillId="0" borderId="0"/>
    <xf numFmtId="0" fontId="188" fillId="0" borderId="0"/>
    <xf numFmtId="0" fontId="188" fillId="0" borderId="0"/>
    <xf numFmtId="0" fontId="189"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7" fillId="0" borderId="0"/>
    <xf numFmtId="0" fontId="188" fillId="0" borderId="0"/>
    <xf numFmtId="0" fontId="188" fillId="0" borderId="0"/>
    <xf numFmtId="0" fontId="187" fillId="0" borderId="0"/>
    <xf numFmtId="0" fontId="188" fillId="0" borderId="0"/>
    <xf numFmtId="0" fontId="188" fillId="0" borderId="0"/>
    <xf numFmtId="0" fontId="189" fillId="0" borderId="0"/>
    <xf numFmtId="0" fontId="188" fillId="5" borderId="7" applyNumberFormat="0" applyFont="0" applyAlignment="0" applyProtection="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8" fillId="0" borderId="0"/>
    <xf numFmtId="0" fontId="189"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8" fillId="5" borderId="7" applyNumberFormat="0" applyFont="0" applyAlignment="0" applyProtection="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8" fillId="0" borderId="0"/>
    <xf numFmtId="0" fontId="189" fillId="0" borderId="0"/>
    <xf numFmtId="0" fontId="188" fillId="0" borderId="0"/>
    <xf numFmtId="0" fontId="189" fillId="0" borderId="0"/>
    <xf numFmtId="0" fontId="188" fillId="0" borderId="0"/>
    <xf numFmtId="0" fontId="190"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9" fillId="0" borderId="0"/>
    <xf numFmtId="0" fontId="189" fillId="0" borderId="0"/>
    <xf numFmtId="0" fontId="190" fillId="0" borderId="0"/>
    <xf numFmtId="0" fontId="187" fillId="0" borderId="0"/>
    <xf numFmtId="0" fontId="187" fillId="0" borderId="0"/>
    <xf numFmtId="0" fontId="187"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8" fillId="0" borderId="0"/>
    <xf numFmtId="0" fontId="189" fillId="0" borderId="0"/>
    <xf numFmtId="0" fontId="189" fillId="0" borderId="0"/>
    <xf numFmtId="0" fontId="190" fillId="0" borderId="0"/>
    <xf numFmtId="0" fontId="21" fillId="0" borderId="0"/>
    <xf numFmtId="0" fontId="19" fillId="0" borderId="0"/>
    <xf numFmtId="0" fontId="21" fillId="0" borderId="0"/>
    <xf numFmtId="0" fontId="112"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28" fillId="0" borderId="0"/>
  </cellStyleXfs>
  <cellXfs count="1182">
    <xf numFmtId="0" fontId="0" fillId="0" borderId="0" xfId="0"/>
    <xf numFmtId="164" fontId="39" fillId="0" borderId="0" xfId="439" applyNumberFormat="1" applyFont="1" applyFill="1" applyAlignment="1" applyProtection="1">
      <alignment horizontal="center" wrapText="1"/>
    </xf>
    <xf numFmtId="0" fontId="43"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40" fillId="21" borderId="0" xfId="0" applyFont="1" applyFill="1" applyBorder="1" applyAlignment="1" applyProtection="1">
      <alignment horizontal="center" wrapText="1"/>
    </xf>
    <xf numFmtId="0" fontId="47" fillId="24" borderId="10" xfId="0" applyFont="1" applyFill="1" applyBorder="1" applyAlignment="1" applyProtection="1">
      <alignment horizontal="center" wrapText="1"/>
    </xf>
    <xf numFmtId="0" fontId="41" fillId="0" borderId="0" xfId="0" applyFont="1" applyAlignment="1" applyProtection="1">
      <alignment horizontal="left" wrapText="1"/>
    </xf>
    <xf numFmtId="0" fontId="41" fillId="0" borderId="0" xfId="0" applyFont="1" applyAlignment="1" applyProtection="1">
      <alignment horizontal="left" vertical="center" wrapText="1"/>
    </xf>
    <xf numFmtId="0" fontId="41" fillId="24" borderId="0" xfId="0" applyFont="1" applyFill="1" applyBorder="1" applyAlignment="1" applyProtection="1">
      <alignment horizontal="left" wrapText="1"/>
    </xf>
    <xf numFmtId="0" fontId="39" fillId="0" borderId="0" xfId="0" applyFont="1" applyAlignment="1" applyProtection="1">
      <alignment horizontal="center"/>
    </xf>
    <xf numFmtId="167" fontId="39" fillId="23" borderId="0" xfId="545" applyNumberFormat="1" applyFont="1" applyFill="1" applyProtection="1"/>
    <xf numFmtId="0" fontId="50" fillId="25" borderId="0" xfId="0" applyFont="1" applyFill="1" applyAlignment="1" applyProtection="1">
      <alignment horizontal="center" wrapText="1"/>
    </xf>
    <xf numFmtId="0" fontId="51" fillId="21" borderId="10" xfId="0" applyFont="1" applyFill="1" applyBorder="1" applyAlignment="1" applyProtection="1">
      <alignment horizontal="center" wrapText="1"/>
    </xf>
    <xf numFmtId="0" fontId="51"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39" fillId="0" borderId="0" xfId="682" applyFont="1"/>
    <xf numFmtId="0" fontId="51" fillId="0" borderId="0" xfId="0" applyFont="1"/>
    <xf numFmtId="0" fontId="0" fillId="0" borderId="0" xfId="0" applyNumberFormat="1" applyFont="1" applyFill="1" applyAlignment="1" applyProtection="1">
      <alignment vertical="center" wrapText="1"/>
    </xf>
    <xf numFmtId="0" fontId="53"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55" fillId="0" borderId="0" xfId="0" applyNumberFormat="1" applyFont="1" applyFill="1" applyAlignment="1" applyProtection="1">
      <alignment vertical="center" wrapText="1"/>
    </xf>
    <xf numFmtId="0" fontId="39" fillId="0" borderId="0" xfId="0" applyNumberFormat="1" applyFont="1" applyFill="1" applyAlignment="1" applyProtection="1">
      <alignment horizontal="left" vertical="center" wrapText="1" indent="3"/>
    </xf>
    <xf numFmtId="0" fontId="53" fillId="0" borderId="0" xfId="0" applyNumberFormat="1" applyFont="1" applyFill="1" applyAlignment="1" applyProtection="1">
      <alignment vertical="center" wrapText="1"/>
    </xf>
    <xf numFmtId="0" fontId="53" fillId="0" borderId="0" xfId="0" applyNumberFormat="1" applyFont="1" applyFill="1" applyAlignment="1" applyProtection="1">
      <alignment horizontal="left" vertical="center" wrapText="1" indent="3"/>
    </xf>
    <xf numFmtId="0" fontId="53" fillId="0" borderId="14" xfId="0" applyNumberFormat="1" applyFont="1" applyFill="1" applyBorder="1" applyAlignment="1" applyProtection="1">
      <alignment horizontal="left" vertical="center" wrapText="1" indent="3"/>
    </xf>
    <xf numFmtId="0" fontId="53" fillId="0" borderId="0" xfId="0" applyNumberFormat="1" applyFont="1" applyFill="1" applyAlignment="1" applyProtection="1">
      <alignment horizontal="left" vertical="center" wrapText="1" indent="6"/>
    </xf>
    <xf numFmtId="0" fontId="44" fillId="0" borderId="0" xfId="0" applyNumberFormat="1" applyFont="1" applyFill="1" applyAlignment="1" applyProtection="1">
      <alignment horizontal="center" vertical="center"/>
    </xf>
    <xf numFmtId="164" fontId="56" fillId="23" borderId="23"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57" fillId="0" borderId="25" xfId="0" applyNumberFormat="1" applyFont="1" applyFill="1" applyBorder="1" applyAlignment="1" applyProtection="1">
      <alignment horizontal="center" vertical="center"/>
    </xf>
    <xf numFmtId="0" fontId="58" fillId="0" borderId="25" xfId="0" applyNumberFormat="1" applyFont="1" applyFill="1" applyBorder="1" applyAlignment="1" applyProtection="1">
      <alignment horizontal="center" vertical="center"/>
    </xf>
    <xf numFmtId="0" fontId="39" fillId="23" borderId="25" xfId="0" applyNumberFormat="1" applyFont="1" applyFill="1" applyBorder="1" applyAlignment="1" applyProtection="1">
      <alignment horizontal="center" vertical="center"/>
    </xf>
    <xf numFmtId="0" fontId="39" fillId="0" borderId="26" xfId="0" applyNumberFormat="1" applyFont="1" applyFill="1" applyBorder="1" applyAlignment="1" applyProtection="1">
      <alignment horizontal="center" vertical="center"/>
    </xf>
    <xf numFmtId="0" fontId="49" fillId="24" borderId="21"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40" fillId="24" borderId="0" xfId="0" applyFont="1" applyFill="1" applyBorder="1" applyAlignment="1" applyProtection="1">
      <alignment horizontal="center" vertical="center" wrapText="1"/>
    </xf>
    <xf numFmtId="0" fontId="51" fillId="21" borderId="10" xfId="0" applyFont="1" applyFill="1" applyBorder="1" applyAlignment="1" applyProtection="1">
      <alignment horizontal="center" vertical="center" wrapText="1"/>
    </xf>
    <xf numFmtId="164" fontId="56" fillId="0" borderId="31" xfId="439" applyNumberFormat="1" applyFont="1" applyFill="1" applyBorder="1" applyAlignment="1" applyProtection="1">
      <alignment horizontal="center" vertical="center" wrapText="1"/>
    </xf>
    <xf numFmtId="0" fontId="50" fillId="25" borderId="0" xfId="0" applyFont="1" applyFill="1" applyAlignment="1" applyProtection="1">
      <alignment horizontal="center" vertical="center"/>
    </xf>
    <xf numFmtId="0" fontId="40" fillId="23" borderId="0" xfId="0" applyFont="1" applyFill="1" applyAlignment="1" applyProtection="1">
      <alignment vertical="center" wrapText="1"/>
    </xf>
    <xf numFmtId="0" fontId="40"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56" fillId="0" borderId="0" xfId="0" applyFont="1" applyProtection="1"/>
    <xf numFmtId="0" fontId="56" fillId="23" borderId="23" xfId="0" applyNumberFormat="1" applyFont="1" applyFill="1" applyBorder="1" applyAlignment="1" applyProtection="1">
      <alignment horizontal="left" vertical="center" wrapText="1"/>
    </xf>
    <xf numFmtId="0" fontId="56" fillId="0" borderId="31" xfId="0" applyNumberFormat="1" applyFont="1" applyFill="1" applyBorder="1" applyAlignment="1" applyProtection="1">
      <alignment horizontal="left" vertical="center" wrapText="1"/>
    </xf>
    <xf numFmtId="49" fontId="0" fillId="0" borderId="33" xfId="0" applyNumberFormat="1" applyFont="1" applyFill="1" applyBorder="1" applyAlignment="1">
      <alignment horizontal="center"/>
    </xf>
    <xf numFmtId="49" fontId="0" fillId="0" borderId="32" xfId="0" applyNumberFormat="1" applyFont="1" applyFill="1" applyBorder="1" applyAlignment="1">
      <alignment horizontal="center"/>
    </xf>
    <xf numFmtId="164" fontId="56" fillId="0" borderId="23"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59" fillId="0" borderId="0" xfId="0" applyNumberFormat="1" applyFont="1" applyFill="1" applyAlignment="1" applyProtection="1">
      <alignment vertical="center" wrapText="1"/>
    </xf>
    <xf numFmtId="0" fontId="49" fillId="0" borderId="0" xfId="0" applyFont="1" applyAlignment="1" applyProtection="1">
      <alignment wrapText="1"/>
    </xf>
    <xf numFmtId="0" fontId="44" fillId="0" borderId="23" xfId="1243" applyFont="1" applyFill="1" applyBorder="1" applyAlignment="1" applyProtection="1">
      <alignment horizontal="left" vertical="center" wrapText="1"/>
    </xf>
    <xf numFmtId="164" fontId="50" fillId="25" borderId="0" xfId="439" applyNumberFormat="1" applyFont="1" applyFill="1" applyAlignment="1" applyProtection="1">
      <alignment horizontal="center"/>
    </xf>
    <xf numFmtId="0" fontId="60" fillId="0" borderId="0" xfId="0" applyFont="1" applyAlignment="1" applyProtection="1">
      <alignment horizontal="center" vertical="center" wrapText="1"/>
    </xf>
    <xf numFmtId="0" fontId="0" fillId="30" borderId="23" xfId="0" applyFont="1" applyFill="1" applyBorder="1" applyAlignment="1" applyProtection="1">
      <alignment vertical="center" wrapText="1"/>
    </xf>
    <xf numFmtId="164" fontId="56" fillId="22" borderId="23" xfId="439" applyNumberFormat="1" applyFont="1" applyFill="1" applyBorder="1" applyAlignment="1" applyProtection="1">
      <alignment horizontal="center" vertical="center" wrapText="1"/>
    </xf>
    <xf numFmtId="0" fontId="49" fillId="30" borderId="25" xfId="0" applyNumberFormat="1" applyFont="1" applyFill="1" applyBorder="1" applyAlignment="1" applyProtection="1">
      <alignment horizontal="center" vertical="center" wrapText="1"/>
    </xf>
    <xf numFmtId="164" fontId="49" fillId="24" borderId="10" xfId="439" applyNumberFormat="1" applyFont="1" applyFill="1" applyBorder="1" applyAlignment="1" applyProtection="1">
      <alignment horizontal="center" wrapText="1"/>
    </xf>
    <xf numFmtId="0" fontId="61" fillId="0" borderId="0" xfId="720" applyNumberFormat="1" applyFont="1" applyFill="1" applyAlignment="1" applyProtection="1">
      <alignment horizontal="left" vertical="center" wrapText="1"/>
    </xf>
    <xf numFmtId="39" fontId="39" fillId="0" borderId="0" xfId="0" applyNumberFormat="1" applyFont="1" applyAlignment="1" applyProtection="1">
      <alignment horizontal="center"/>
    </xf>
    <xf numFmtId="39" fontId="40" fillId="21" borderId="0" xfId="0" applyNumberFormat="1" applyFont="1" applyFill="1" applyBorder="1" applyAlignment="1" applyProtection="1">
      <alignment horizontal="center" wrapText="1"/>
    </xf>
    <xf numFmtId="39" fontId="56" fillId="0" borderId="29" xfId="439" applyNumberFormat="1" applyFont="1" applyFill="1" applyBorder="1" applyAlignment="1" applyProtection="1">
      <alignment horizontal="center" vertical="center" wrapText="1"/>
    </xf>
    <xf numFmtId="39" fontId="56" fillId="23" borderId="28" xfId="439" applyNumberFormat="1" applyFont="1" applyFill="1" applyBorder="1" applyAlignment="1" applyProtection="1">
      <alignment horizontal="center" vertical="center" wrapText="1"/>
    </xf>
    <xf numFmtId="0" fontId="40" fillId="0" borderId="0" xfId="0" applyFont="1" applyFill="1" applyAlignment="1" applyProtection="1">
      <alignment vertical="center" wrapText="1"/>
    </xf>
    <xf numFmtId="39" fontId="51" fillId="31" borderId="0" xfId="0" applyNumberFormat="1" applyFont="1" applyFill="1" applyBorder="1" applyAlignment="1" applyProtection="1">
      <alignment horizontal="center" wrapText="1"/>
    </xf>
    <xf numFmtId="0" fontId="39" fillId="32" borderId="25"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60" fillId="32" borderId="0" xfId="0" applyFont="1" applyFill="1" applyAlignment="1" applyProtection="1">
      <alignment horizontal="center" vertical="center" wrapText="1"/>
    </xf>
    <xf numFmtId="0" fontId="0" fillId="0" borderId="0" xfId="0" applyFont="1" applyProtection="1">
      <protection locked="0"/>
    </xf>
    <xf numFmtId="0" fontId="52" fillId="0" borderId="25" xfId="0" applyNumberFormat="1" applyFont="1" applyFill="1" applyBorder="1" applyAlignment="1" applyProtection="1">
      <alignment horizontal="left" vertical="center" wrapText="1"/>
    </xf>
    <xf numFmtId="0" fontId="41" fillId="0" borderId="25" xfId="0" applyNumberFormat="1" applyFont="1" applyFill="1" applyBorder="1" applyAlignment="1" applyProtection="1">
      <alignment horizontal="left" vertical="center" wrapText="1"/>
    </xf>
    <xf numFmtId="41" fontId="56" fillId="0" borderId="23" xfId="439" applyNumberFormat="1" applyFont="1" applyFill="1" applyBorder="1" applyAlignment="1" applyProtection="1">
      <alignment horizontal="center" vertical="center" wrapText="1"/>
    </xf>
    <xf numFmtId="0" fontId="47" fillId="0" borderId="23" xfId="439" applyNumberFormat="1" applyFont="1" applyFill="1" applyBorder="1" applyAlignment="1" applyProtection="1">
      <alignment horizontal="center" vertical="center" wrapText="1"/>
    </xf>
    <xf numFmtId="41" fontId="63" fillId="0" borderId="0" xfId="0" applyNumberFormat="1" applyFont="1" applyFill="1" applyAlignment="1" applyProtection="1">
      <alignment wrapText="1"/>
    </xf>
    <xf numFmtId="0" fontId="62" fillId="0" borderId="0" xfId="0" applyFont="1" applyFill="1" applyAlignment="1" applyProtection="1">
      <alignment horizontal="center" vertical="center"/>
    </xf>
    <xf numFmtId="0" fontId="49" fillId="0" borderId="0" xfId="0" applyFont="1" applyFill="1" applyAlignment="1" applyProtection="1">
      <alignment horizontal="center" vertical="center" wrapText="1"/>
    </xf>
    <xf numFmtId="0" fontId="56" fillId="0" borderId="23"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170" fontId="56" fillId="29" borderId="23" xfId="439" applyNumberFormat="1" applyFont="1" applyFill="1" applyBorder="1" applyAlignment="1" applyProtection="1">
      <alignment horizontal="center" vertical="center" wrapText="1"/>
      <protection locked="0"/>
    </xf>
    <xf numFmtId="37" fontId="57" fillId="33" borderId="28" xfId="439" applyNumberFormat="1" applyFont="1" applyFill="1" applyBorder="1" applyAlignment="1" applyProtection="1">
      <alignment horizontal="center" vertical="center" wrapText="1"/>
    </xf>
    <xf numFmtId="37" fontId="39" fillId="0" borderId="28" xfId="439" applyNumberFormat="1" applyFont="1" applyFill="1" applyBorder="1" applyAlignment="1" applyProtection="1">
      <alignment horizontal="center" vertical="center" wrapText="1"/>
    </xf>
    <xf numFmtId="37" fontId="57" fillId="0" borderId="28"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vertical="center" wrapText="1"/>
    </xf>
    <xf numFmtId="0" fontId="0" fillId="0" borderId="0" xfId="0" applyFont="1" applyFill="1" applyAlignment="1">
      <alignment vertical="center" wrapText="1"/>
    </xf>
    <xf numFmtId="165" fontId="56" fillId="29" borderId="23"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56" fillId="22" borderId="25" xfId="0" applyNumberFormat="1" applyFont="1" applyFill="1" applyBorder="1" applyAlignment="1" applyProtection="1">
      <alignment horizontal="left" vertical="center" wrapText="1"/>
    </xf>
    <xf numFmtId="164" fontId="0" fillId="0" borderId="0" xfId="0" applyNumberFormat="1" applyFont="1" applyFill="1" applyProtection="1"/>
    <xf numFmtId="169" fontId="39" fillId="0" borderId="0" xfId="439" applyNumberFormat="1" applyFont="1" applyFill="1" applyAlignment="1" applyProtection="1">
      <alignment horizontal="center" vertical="center"/>
      <protection locked="0"/>
    </xf>
    <xf numFmtId="38" fontId="44" fillId="0" borderId="14" xfId="439" applyNumberFormat="1" applyFon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71" fontId="56" fillId="0" borderId="29" xfId="439" applyNumberFormat="1" applyFont="1" applyFill="1" applyBorder="1" applyAlignment="1" applyProtection="1">
      <alignment horizontal="center" vertical="center" wrapText="1"/>
    </xf>
    <xf numFmtId="172" fontId="56" fillId="0" borderId="23" xfId="439" applyNumberFormat="1" applyFont="1" applyFill="1" applyBorder="1" applyAlignment="1" applyProtection="1">
      <alignment horizontal="center" vertical="center" wrapText="1"/>
    </xf>
    <xf numFmtId="0" fontId="39" fillId="0" borderId="24" xfId="0" applyNumberFormat="1" applyFont="1" applyFill="1" applyBorder="1" applyAlignment="1" applyProtection="1">
      <alignment horizontal="center" vertical="center"/>
    </xf>
    <xf numFmtId="0" fontId="53" fillId="0" borderId="0" xfId="0" applyFont="1" applyFill="1" applyAlignment="1" applyProtection="1">
      <alignment vertical="center" wrapText="1"/>
    </xf>
    <xf numFmtId="0" fontId="53"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0" fontId="0" fillId="0" borderId="23" xfId="0" applyFont="1" applyFill="1" applyBorder="1" applyAlignment="1" applyProtection="1">
      <alignment vertical="center" wrapText="1"/>
      <protection locked="0"/>
    </xf>
    <xf numFmtId="164" fontId="56" fillId="29" borderId="44" xfId="439" applyNumberFormat="1" applyFont="1" applyFill="1" applyBorder="1" applyAlignment="1" applyProtection="1">
      <alignment horizontal="center" vertical="center" wrapText="1"/>
      <protection locked="0"/>
    </xf>
    <xf numFmtId="164" fontId="56" fillId="0" borderId="30" xfId="439" applyNumberFormat="1" applyFont="1" applyFill="1" applyBorder="1" applyAlignment="1" applyProtection="1">
      <alignment horizontal="center" vertical="center" wrapText="1"/>
    </xf>
    <xf numFmtId="39" fontId="56" fillId="0" borderId="27" xfId="439" applyNumberFormat="1" applyFont="1" applyFill="1" applyBorder="1" applyAlignment="1" applyProtection="1">
      <alignment horizontal="center" vertical="center" wrapText="1"/>
    </xf>
    <xf numFmtId="164" fontId="56" fillId="0" borderId="46" xfId="439" applyNumberFormat="1" applyFont="1" applyFill="1" applyBorder="1" applyAlignment="1" applyProtection="1">
      <alignment horizontal="center" vertical="center" wrapText="1"/>
    </xf>
    <xf numFmtId="0" fontId="39"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164" fontId="56" fillId="29" borderId="45" xfId="439" applyNumberFormat="1" applyFont="1" applyFill="1" applyBorder="1" applyAlignment="1" applyProtection="1">
      <alignment horizontal="center" vertical="center" wrapText="1"/>
      <protection locked="0"/>
    </xf>
    <xf numFmtId="0" fontId="56" fillId="0" borderId="30" xfId="0" applyNumberFormat="1" applyFont="1" applyFill="1" applyBorder="1" applyAlignment="1" applyProtection="1">
      <alignment horizontal="left" vertical="center" wrapText="1"/>
    </xf>
    <xf numFmtId="0" fontId="56" fillId="23" borderId="31" xfId="0" applyNumberFormat="1" applyFont="1" applyFill="1" applyBorder="1" applyAlignment="1" applyProtection="1">
      <alignment horizontal="left" vertical="center" wrapText="1"/>
    </xf>
    <xf numFmtId="0" fontId="56" fillId="23" borderId="31" xfId="439" applyNumberFormat="1" applyFont="1" applyFill="1" applyBorder="1" applyAlignment="1" applyProtection="1">
      <alignment horizontal="center" vertical="center" wrapText="1"/>
    </xf>
    <xf numFmtId="37" fontId="39" fillId="23" borderId="29" xfId="439" applyNumberFormat="1" applyFont="1" applyFill="1" applyBorder="1" applyAlignment="1" applyProtection="1">
      <alignment horizontal="center" vertical="center" wrapText="1"/>
    </xf>
    <xf numFmtId="0" fontId="39" fillId="23" borderId="26" xfId="0" applyNumberFormat="1" applyFont="1" applyFill="1" applyBorder="1" applyAlignment="1" applyProtection="1">
      <alignment horizontal="center" vertical="center"/>
    </xf>
    <xf numFmtId="37" fontId="39" fillId="0" borderId="27" xfId="439" applyNumberFormat="1" applyFont="1" applyFill="1" applyBorder="1" applyAlignment="1" applyProtection="1">
      <alignment horizontal="center" vertical="center" wrapText="1"/>
    </xf>
    <xf numFmtId="0" fontId="39" fillId="34" borderId="0" xfId="0" applyFont="1" applyFill="1" applyProtection="1"/>
    <xf numFmtId="0" fontId="0" fillId="0" borderId="36"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center" vertical="center" wrapText="1"/>
    </xf>
    <xf numFmtId="0" fontId="0" fillId="34" borderId="23" xfId="0" applyFont="1" applyFill="1" applyBorder="1" applyAlignment="1" applyProtection="1">
      <alignment vertical="center" wrapText="1"/>
    </xf>
    <xf numFmtId="0" fontId="39" fillId="34" borderId="43" xfId="0" applyNumberFormat="1" applyFont="1" applyFill="1" applyBorder="1" applyAlignment="1" applyProtection="1">
      <alignment horizontal="center" vertical="center"/>
    </xf>
    <xf numFmtId="39" fontId="0"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vertical="center" wrapText="1"/>
    </xf>
    <xf numFmtId="164" fontId="0" fillId="0" borderId="0" xfId="439" applyNumberFormat="1" applyFont="1"/>
    <xf numFmtId="0" fontId="68" fillId="0" borderId="0" xfId="0" applyNumberFormat="1" applyFont="1" applyFill="1" applyAlignment="1" applyProtection="1">
      <alignment horizontal="left" vertical="center" wrapText="1" indent="6"/>
    </xf>
    <xf numFmtId="0" fontId="56" fillId="0" borderId="25" xfId="0" applyNumberFormat="1" applyFont="1" applyFill="1" applyBorder="1" applyAlignment="1" applyProtection="1">
      <alignment horizontal="left" vertical="center" wrapText="1"/>
    </xf>
    <xf numFmtId="0" fontId="0" fillId="23" borderId="23" xfId="0" applyFont="1" applyFill="1" applyBorder="1" applyAlignment="1" applyProtection="1">
      <alignment vertical="center" wrapText="1"/>
    </xf>
    <xf numFmtId="41" fontId="64" fillId="0" borderId="0" xfId="0" applyNumberFormat="1" applyFont="1" applyFill="1" applyAlignment="1" applyProtection="1">
      <alignment wrapText="1"/>
    </xf>
    <xf numFmtId="37" fontId="0" fillId="0" borderId="0" xfId="0" applyNumberFormat="1" applyFont="1" applyFill="1" applyAlignment="1" applyProtection="1">
      <alignment horizontal="center" vertical="center"/>
    </xf>
    <xf numFmtId="164" fontId="49" fillId="0" borderId="0" xfId="0" applyNumberFormat="1" applyFont="1" applyAlignment="1" applyProtection="1">
      <alignment wrapText="1"/>
    </xf>
    <xf numFmtId="164" fontId="56" fillId="22" borderId="23" xfId="439" applyNumberFormat="1" applyFont="1" applyFill="1" applyBorder="1" applyAlignment="1" applyProtection="1">
      <alignment horizontal="center" vertical="center" wrapText="1"/>
      <protection locked="0"/>
    </xf>
    <xf numFmtId="172" fontId="56" fillId="22" borderId="23" xfId="439" applyNumberFormat="1" applyFont="1" applyFill="1" applyBorder="1" applyAlignment="1" applyProtection="1">
      <alignment horizontal="center" vertical="center" wrapText="1"/>
    </xf>
    <xf numFmtId="39" fontId="56" fillId="22" borderId="28" xfId="439" applyNumberFormat="1" applyFont="1" applyFill="1" applyBorder="1" applyAlignment="1" applyProtection="1">
      <alignment horizontal="center" vertical="center" wrapText="1"/>
    </xf>
    <xf numFmtId="164" fontId="56" fillId="22" borderId="29" xfId="439" applyNumberFormat="1" applyFont="1" applyFill="1" applyBorder="1" applyAlignment="1" applyProtection="1">
      <alignment horizontal="center" vertical="center" wrapText="1"/>
    </xf>
    <xf numFmtId="0" fontId="39" fillId="22" borderId="24" xfId="0" applyNumberFormat="1" applyFont="1" applyFill="1" applyBorder="1" applyAlignment="1" applyProtection="1">
      <alignment horizontal="center" vertical="center"/>
    </xf>
    <xf numFmtId="164" fontId="56" fillId="29" borderId="31" xfId="439" applyNumberFormat="1" applyFont="1" applyFill="1" applyBorder="1" applyAlignment="1" applyProtection="1">
      <alignment horizontal="center" vertical="center" wrapText="1"/>
      <protection locked="0"/>
    </xf>
    <xf numFmtId="0" fontId="48" fillId="0" borderId="0" xfId="0" applyFont="1" applyAlignment="1" applyProtection="1">
      <alignment horizontal="center"/>
    </xf>
    <xf numFmtId="0" fontId="41" fillId="22" borderId="0" xfId="0" applyFont="1" applyFill="1" applyAlignment="1" applyProtection="1">
      <alignment horizontal="left" wrapText="1"/>
    </xf>
    <xf numFmtId="172" fontId="56" fillId="22" borderId="30" xfId="439" applyNumberFormat="1" applyFont="1" applyFill="1" applyBorder="1" applyAlignment="1" applyProtection="1">
      <alignment horizontal="center" vertical="center" wrapText="1"/>
    </xf>
    <xf numFmtId="175" fontId="56" fillId="75" borderId="23" xfId="439" applyNumberFormat="1" applyFont="1" applyFill="1" applyBorder="1" applyAlignment="1" applyProtection="1">
      <alignment horizontal="center" vertical="center" wrapText="1"/>
    </xf>
    <xf numFmtId="3" fontId="56" fillId="0" borderId="23" xfId="439" applyNumberFormat="1" applyFont="1" applyFill="1" applyBorder="1" applyAlignment="1" applyProtection="1">
      <alignment horizontal="center" vertical="center" wrapText="1"/>
      <protection locked="0"/>
    </xf>
    <xf numFmtId="180" fontId="56" fillId="75" borderId="23" xfId="439" applyNumberFormat="1" applyFont="1" applyFill="1" applyBorder="1" applyAlignment="1" applyProtection="1">
      <alignment horizontal="center" vertical="center" wrapText="1"/>
    </xf>
    <xf numFmtId="39" fontId="56" fillId="0" borderId="23" xfId="439" applyNumberFormat="1" applyFont="1" applyFill="1" applyBorder="1" applyAlignment="1" applyProtection="1">
      <alignment horizontal="center" vertical="center" wrapText="1"/>
    </xf>
    <xf numFmtId="3" fontId="56" fillId="0" borderId="31" xfId="439" applyNumberFormat="1" applyFont="1" applyFill="1" applyBorder="1" applyAlignment="1" applyProtection="1">
      <alignment horizontal="center" vertical="center" wrapText="1"/>
    </xf>
    <xf numFmtId="3" fontId="56" fillId="23" borderId="31" xfId="439" applyNumberFormat="1" applyFont="1" applyFill="1" applyBorder="1" applyAlignment="1" applyProtection="1">
      <alignment horizontal="center" vertical="center" wrapText="1"/>
    </xf>
    <xf numFmtId="3" fontId="56" fillId="23" borderId="23" xfId="439" applyNumberFormat="1" applyFont="1" applyFill="1" applyBorder="1" applyAlignment="1" applyProtection="1">
      <alignment horizontal="center" vertical="center" wrapText="1"/>
    </xf>
    <xf numFmtId="3" fontId="56" fillId="0" borderId="30" xfId="439" applyNumberFormat="1" applyFont="1" applyFill="1" applyBorder="1" applyAlignment="1" applyProtection="1">
      <alignment horizontal="center" vertical="center" wrapText="1"/>
    </xf>
    <xf numFmtId="37" fontId="56" fillId="0" borderId="23" xfId="439" applyNumberFormat="1" applyFont="1" applyFill="1" applyBorder="1" applyAlignment="1" applyProtection="1">
      <alignment horizontal="center" vertical="center" wrapText="1"/>
    </xf>
    <xf numFmtId="0" fontId="39" fillId="0" borderId="0" xfId="0" applyFont="1" applyAlignment="1" applyProtection="1">
      <alignment horizontal="left" vertical="center" wrapText="1"/>
    </xf>
    <xf numFmtId="0" fontId="62" fillId="0" borderId="0" xfId="0" applyFont="1" applyProtection="1"/>
    <xf numFmtId="0" fontId="39" fillId="0" borderId="57" xfId="0" applyFont="1" applyBorder="1"/>
    <xf numFmtId="0" fontId="39" fillId="26" borderId="16" xfId="0" applyFont="1" applyFill="1" applyBorder="1" applyAlignment="1" applyProtection="1">
      <alignment horizontal="left"/>
    </xf>
    <xf numFmtId="0" fontId="39" fillId="0" borderId="17" xfId="0" applyFont="1" applyBorder="1" applyAlignment="1">
      <alignment vertical="center"/>
    </xf>
    <xf numFmtId="0" fontId="39" fillId="0" borderId="0" xfId="0" applyFont="1" applyBorder="1" applyAlignment="1">
      <alignment vertical="center"/>
    </xf>
    <xf numFmtId="0" fontId="39" fillId="0" borderId="15" xfId="0" applyFont="1" applyBorder="1" applyAlignment="1">
      <alignment vertical="center"/>
    </xf>
    <xf numFmtId="3" fontId="39" fillId="0" borderId="0" xfId="439" applyNumberFormat="1" applyFont="1" applyFill="1" applyAlignment="1" applyProtection="1">
      <alignment horizontal="center" vertical="center" wrapText="1"/>
      <protection locked="0"/>
    </xf>
    <xf numFmtId="0" fontId="0" fillId="0" borderId="0" xfId="0" applyAlignment="1">
      <alignment horizontal="center"/>
    </xf>
    <xf numFmtId="0" fontId="0" fillId="0" borderId="61" xfId="0" applyNumberFormat="1" applyFont="1" applyFill="1" applyBorder="1" applyAlignment="1">
      <alignment horizontal="center"/>
    </xf>
    <xf numFmtId="0" fontId="80" fillId="0" borderId="0" xfId="0" applyFont="1" applyAlignment="1">
      <alignment horizontal="center"/>
    </xf>
    <xf numFmtId="0" fontId="39" fillId="0" borderId="24" xfId="0" applyFont="1" applyBorder="1" applyAlignment="1">
      <alignment horizontal="center" vertical="center"/>
    </xf>
    <xf numFmtId="0" fontId="39" fillId="0" borderId="0" xfId="0" applyFont="1" applyAlignment="1">
      <alignment vertical="center"/>
    </xf>
    <xf numFmtId="171" fontId="56" fillId="75" borderId="29" xfId="439" applyNumberFormat="1" applyFont="1" applyFill="1" applyBorder="1" applyAlignment="1" applyProtection="1">
      <alignment horizontal="center" vertical="center" wrapText="1"/>
    </xf>
    <xf numFmtId="0" fontId="39" fillId="74" borderId="64" xfId="0" applyNumberFormat="1" applyFont="1" applyFill="1" applyBorder="1" applyAlignment="1" applyProtection="1">
      <alignment horizontal="center" vertical="center"/>
    </xf>
    <xf numFmtId="0" fontId="0" fillId="73" borderId="0" xfId="0" applyFill="1"/>
    <xf numFmtId="0" fontId="116" fillId="73" borderId="0" xfId="0" applyFont="1" applyFill="1" applyAlignment="1">
      <alignment vertical="center" wrapText="1"/>
    </xf>
    <xf numFmtId="0" fontId="46" fillId="73" borderId="0" xfId="0" applyFont="1" applyFill="1" applyAlignment="1">
      <alignment horizontal="justify" vertical="center"/>
    </xf>
    <xf numFmtId="0" fontId="121" fillId="77" borderId="0" xfId="0" applyFont="1" applyFill="1" applyAlignment="1">
      <alignment vertical="center"/>
    </xf>
    <xf numFmtId="0" fontId="60" fillId="0" borderId="45" xfId="0" applyFont="1" applyFill="1" applyBorder="1" applyAlignment="1" applyProtection="1">
      <alignment horizontal="center" vertical="center" wrapText="1"/>
    </xf>
    <xf numFmtId="0" fontId="60" fillId="32" borderId="45" xfId="0" applyFont="1" applyFill="1" applyBorder="1" applyAlignment="1" applyProtection="1">
      <alignment horizontal="center" vertical="center" wrapText="1"/>
    </xf>
    <xf numFmtId="0" fontId="56" fillId="31" borderId="25" xfId="0" applyNumberFormat="1" applyFont="1" applyFill="1" applyBorder="1" applyAlignment="1" applyProtection="1">
      <alignment horizontal="left" vertical="center" wrapText="1"/>
    </xf>
    <xf numFmtId="0" fontId="41" fillId="31" borderId="66" xfId="0" applyFont="1" applyFill="1" applyBorder="1" applyAlignment="1">
      <alignment wrapText="1"/>
    </xf>
    <xf numFmtId="14" fontId="41" fillId="31" borderId="66" xfId="0" applyNumberFormat="1" applyFont="1" applyFill="1" applyBorder="1" applyAlignment="1">
      <alignment wrapText="1"/>
    </xf>
    <xf numFmtId="0" fontId="39" fillId="31" borderId="64" xfId="0" applyNumberFormat="1" applyFont="1" applyFill="1" applyBorder="1" applyAlignment="1" applyProtection="1">
      <alignment horizontal="center" vertical="center"/>
    </xf>
    <xf numFmtId="49" fontId="56" fillId="0" borderId="23" xfId="439" applyNumberFormat="1" applyFont="1" applyFill="1" applyBorder="1" applyAlignment="1" applyProtection="1">
      <alignment horizontal="center" vertical="center" wrapText="1"/>
    </xf>
    <xf numFmtId="0" fontId="117" fillId="73" borderId="0" xfId="0" applyFont="1" applyFill="1" applyAlignment="1">
      <alignment horizontal="left" vertical="center" wrapText="1"/>
    </xf>
    <xf numFmtId="0" fontId="33" fillId="73" borderId="0" xfId="30098" applyFill="1"/>
    <xf numFmtId="0" fontId="120" fillId="77" borderId="0" xfId="30098" applyFont="1" applyFill="1" applyAlignment="1">
      <alignment horizontal="center" vertical="center" wrapText="1"/>
    </xf>
    <xf numFmtId="0" fontId="116" fillId="73" borderId="0" xfId="30098" applyFont="1" applyFill="1" applyAlignment="1">
      <alignment vertical="center" wrapText="1"/>
    </xf>
    <xf numFmtId="0" fontId="46" fillId="73" borderId="0" xfId="30098" applyFont="1" applyFill="1" applyAlignment="1">
      <alignment vertical="center" wrapText="1"/>
    </xf>
    <xf numFmtId="0" fontId="121" fillId="77" borderId="0" xfId="30098" applyFont="1" applyFill="1" applyAlignment="1">
      <alignment vertical="center"/>
    </xf>
    <xf numFmtId="0" fontId="0" fillId="0" borderId="0" xfId="0" applyNumberFormat="1" applyFont="1" applyFill="1" applyBorder="1" applyAlignment="1" applyProtection="1">
      <alignment horizontal="left" vertical="center" wrapText="1"/>
    </xf>
    <xf numFmtId="0" fontId="0" fillId="0" borderId="0" xfId="0"/>
    <xf numFmtId="38" fontId="44" fillId="29" borderId="0" xfId="439" applyNumberFormat="1" applyFont="1" applyFill="1" applyAlignment="1" applyProtection="1">
      <alignment horizontal="center" vertical="center" wrapText="1"/>
      <protection locked="0"/>
    </xf>
    <xf numFmtId="0" fontId="39" fillId="0" borderId="43" xfId="0" applyNumberFormat="1" applyFont="1" applyFill="1" applyBorder="1" applyAlignment="1" applyProtection="1">
      <alignment horizontal="center" vertical="center"/>
    </xf>
    <xf numFmtId="0" fontId="39" fillId="0" borderId="0" xfId="0" applyFont="1" applyAlignment="1">
      <alignment horizontal="center"/>
    </xf>
    <xf numFmtId="0" fontId="39" fillId="0" borderId="0" xfId="0" applyFont="1" applyAlignment="1">
      <alignment horizontal="center" wrapText="1"/>
    </xf>
    <xf numFmtId="3" fontId="39" fillId="29" borderId="0" xfId="439" applyNumberFormat="1" applyFont="1" applyFill="1" applyAlignment="1" applyProtection="1">
      <alignment horizontal="center" vertical="center"/>
      <protection locked="0"/>
    </xf>
    <xf numFmtId="37" fontId="39" fillId="29" borderId="0" xfId="439" applyNumberFormat="1" applyFont="1" applyFill="1" applyAlignment="1" applyProtection="1">
      <alignment horizontal="center" vertical="center"/>
      <protection locked="0"/>
    </xf>
    <xf numFmtId="0" fontId="0" fillId="0" borderId="0" xfId="0" applyFont="1"/>
    <xf numFmtId="0" fontId="0" fillId="0" borderId="0" xfId="0" applyFont="1" applyFill="1"/>
    <xf numFmtId="0" fontId="129" fillId="0" borderId="0" xfId="0" applyFont="1"/>
    <xf numFmtId="0" fontId="0" fillId="0" borderId="45" xfId="0" applyNumberFormat="1" applyFont="1" applyFill="1" applyBorder="1" applyAlignment="1" applyProtection="1">
      <alignment horizontal="left" vertical="center" wrapText="1"/>
    </xf>
    <xf numFmtId="0" fontId="0" fillId="0" borderId="45" xfId="0" applyNumberFormat="1" applyFont="1" applyFill="1" applyBorder="1" applyAlignment="1" applyProtection="1">
      <alignment horizontal="center" vertical="center"/>
    </xf>
    <xf numFmtId="0" fontId="0" fillId="0" borderId="45" xfId="0" applyNumberFormat="1" applyFont="1" applyFill="1" applyBorder="1" applyAlignment="1" applyProtection="1">
      <alignment horizontal="center" vertical="center" wrapText="1"/>
    </xf>
    <xf numFmtId="0" fontId="0" fillId="0" borderId="45" xfId="0" applyFont="1" applyFill="1" applyBorder="1" applyAlignment="1" applyProtection="1">
      <alignment vertical="center" wrapText="1"/>
    </xf>
    <xf numFmtId="0" fontId="0" fillId="0" borderId="45" xfId="0" applyFont="1" applyFill="1" applyBorder="1" applyAlignment="1" applyProtection="1">
      <alignment horizontal="left" vertical="center" wrapText="1"/>
    </xf>
    <xf numFmtId="0" fontId="39" fillId="0" borderId="26"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45" xfId="0" applyFont="1" applyFill="1" applyBorder="1" applyAlignment="1">
      <alignment horizontal="center" vertical="center"/>
    </xf>
    <xf numFmtId="0" fontId="39" fillId="0" borderId="43" xfId="0" applyFont="1" applyFill="1" applyBorder="1" applyAlignment="1">
      <alignment horizontal="center" vertical="center"/>
    </xf>
    <xf numFmtId="0" fontId="58" fillId="0" borderId="25" xfId="0" applyFont="1" applyFill="1" applyBorder="1" applyAlignment="1">
      <alignment horizontal="center" vertical="center"/>
    </xf>
    <xf numFmtId="0" fontId="49" fillId="0" borderId="25" xfId="0" applyFont="1" applyFill="1" applyBorder="1" applyAlignment="1">
      <alignment horizontal="center" vertical="center" wrapText="1"/>
    </xf>
    <xf numFmtId="0" fontId="57" fillId="0" borderId="25" xfId="0" applyFont="1" applyFill="1" applyBorder="1" applyAlignment="1">
      <alignment horizontal="center" vertical="center"/>
    </xf>
    <xf numFmtId="0" fontId="39" fillId="0" borderId="64" xfId="0" applyFont="1" applyFill="1" applyBorder="1" applyAlignment="1">
      <alignment horizontal="center" vertical="center"/>
    </xf>
    <xf numFmtId="0" fontId="68" fillId="0" borderId="0" xfId="0" applyFont="1" applyFill="1"/>
    <xf numFmtId="0" fontId="39" fillId="0" borderId="0" xfId="0" applyFont="1" applyFill="1" applyBorder="1" applyAlignment="1">
      <alignment horizontal="center" vertical="center"/>
    </xf>
    <xf numFmtId="0" fontId="52" fillId="0" borderId="30" xfId="0" applyNumberFormat="1" applyFont="1" applyFill="1" applyBorder="1" applyAlignment="1" applyProtection="1">
      <alignment horizontal="left" vertical="center" wrapText="1"/>
    </xf>
    <xf numFmtId="39" fontId="56" fillId="0" borderId="45" xfId="439" applyNumberFormat="1" applyFont="1" applyFill="1" applyBorder="1" applyAlignment="1" applyProtection="1">
      <alignment horizontal="center" vertical="center" wrapText="1"/>
    </xf>
    <xf numFmtId="0" fontId="61" fillId="0" borderId="0" xfId="0" applyNumberFormat="1" applyFont="1" applyFill="1" applyAlignment="1" applyProtection="1">
      <alignment horizontal="left" vertical="center" wrapText="1"/>
    </xf>
    <xf numFmtId="0" fontId="56" fillId="34" borderId="25" xfId="0" applyNumberFormat="1" applyFont="1" applyFill="1" applyBorder="1" applyAlignment="1" applyProtection="1">
      <alignment horizontal="left" vertical="center" wrapText="1"/>
    </xf>
    <xf numFmtId="180" fontId="56" fillId="0" borderId="23" xfId="439"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left" vertical="center" wrapText="1"/>
    </xf>
    <xf numFmtId="0" fontId="0" fillId="0" borderId="25"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5" xfId="0" applyNumberFormat="1" applyFont="1" applyFill="1" applyBorder="1" applyAlignment="1" applyProtection="1">
      <alignment horizontal="center" vertical="center" wrapText="1"/>
    </xf>
    <xf numFmtId="37" fontId="39" fillId="0" borderId="45" xfId="439" applyNumberFormat="1" applyFont="1" applyFill="1" applyBorder="1" applyAlignment="1" applyProtection="1">
      <alignment horizontal="center" vertical="center" wrapText="1"/>
    </xf>
    <xf numFmtId="0" fontId="61" fillId="0" borderId="45" xfId="0" applyNumberFormat="1" applyFont="1" applyFill="1" applyBorder="1" applyAlignment="1" applyProtection="1">
      <alignment horizontal="left" vertical="center" wrapText="1"/>
    </xf>
    <xf numFmtId="0" fontId="56" fillId="0" borderId="28" xfId="0" applyNumberFormat="1" applyFont="1" applyFill="1" applyBorder="1" applyAlignment="1" applyProtection="1">
      <alignment horizontal="left" vertical="center" wrapText="1"/>
    </xf>
    <xf numFmtId="0" fontId="39" fillId="0" borderId="45" xfId="0" applyNumberFormat="1" applyFont="1" applyFill="1" applyBorder="1" applyAlignment="1" applyProtection="1">
      <alignment horizontal="center" vertical="center"/>
    </xf>
    <xf numFmtId="164" fontId="56" fillId="0" borderId="45" xfId="439" applyNumberFormat="1" applyFont="1" applyFill="1" applyBorder="1" applyAlignment="1" applyProtection="1">
      <alignment horizontal="center" vertical="center" wrapText="1"/>
    </xf>
    <xf numFmtId="41" fontId="42" fillId="0" borderId="0" xfId="0" applyNumberFormat="1" applyFont="1" applyFill="1" applyAlignment="1" applyProtection="1">
      <alignment wrapText="1"/>
    </xf>
    <xf numFmtId="0" fontId="0" fillId="0" borderId="23" xfId="0" applyFont="1" applyFill="1" applyBorder="1" applyAlignment="1" applyProtection="1">
      <alignment vertical="center" wrapText="1"/>
    </xf>
    <xf numFmtId="0" fontId="39" fillId="0" borderId="25" xfId="0" applyNumberFormat="1" applyFont="1" applyFill="1" applyBorder="1" applyAlignment="1" applyProtection="1">
      <alignment horizontal="center" vertical="center"/>
    </xf>
    <xf numFmtId="164" fontId="56" fillId="0" borderId="29" xfId="439" applyNumberFormat="1" applyFont="1" applyFill="1" applyBorder="1" applyAlignment="1" applyProtection="1">
      <alignment horizontal="center" vertical="center" wrapText="1"/>
    </xf>
    <xf numFmtId="164" fontId="56" fillId="0" borderId="23" xfId="439" applyNumberFormat="1" applyFont="1" applyFill="1" applyBorder="1" applyAlignment="1" applyProtection="1">
      <alignment horizontal="center" vertical="center" wrapText="1"/>
    </xf>
    <xf numFmtId="0" fontId="56" fillId="0" borderId="23" xfId="0" applyNumberFormat="1" applyFont="1" applyFill="1" applyBorder="1" applyAlignment="1" applyProtection="1">
      <alignment horizontal="left" vertical="center" wrapText="1"/>
    </xf>
    <xf numFmtId="39" fontId="56" fillId="0" borderId="28" xfId="439" applyNumberFormat="1" applyFont="1" applyFill="1" applyBorder="1" applyAlignment="1" applyProtection="1">
      <alignment horizontal="center" vertical="center" wrapText="1"/>
    </xf>
    <xf numFmtId="164" fontId="56" fillId="0" borderId="0"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0" fontId="56" fillId="34" borderId="23" xfId="0" applyNumberFormat="1" applyFont="1" applyFill="1" applyBorder="1" applyAlignment="1" applyProtection="1">
      <alignment horizontal="left" vertical="center" wrapText="1"/>
    </xf>
    <xf numFmtId="164" fontId="56" fillId="29" borderId="23" xfId="439" applyNumberFormat="1" applyFont="1" applyFill="1" applyBorder="1" applyAlignment="1" applyProtection="1">
      <alignment horizontal="center" vertical="center" wrapText="1"/>
      <protection locked="0"/>
    </xf>
    <xf numFmtId="3" fontId="56" fillId="0" borderId="23" xfId="439" applyNumberFormat="1" applyFont="1" applyFill="1" applyBorder="1" applyAlignment="1" applyProtection="1">
      <alignment horizontal="center" vertical="center" wrapText="1"/>
    </xf>
    <xf numFmtId="3" fontId="56" fillId="34" borderId="23" xfId="439" applyNumberFormat="1" applyFont="1" applyFill="1" applyBorder="1" applyAlignment="1" applyProtection="1">
      <alignment horizontal="center" vertical="center" wrapText="1"/>
    </xf>
    <xf numFmtId="0" fontId="56" fillId="22" borderId="23" xfId="439" applyNumberFormat="1" applyFont="1" applyFill="1" applyBorder="1" applyAlignment="1" applyProtection="1">
      <alignment horizontal="center" vertical="center" wrapText="1"/>
      <protection locked="0"/>
    </xf>
    <xf numFmtId="3" fontId="56" fillId="0" borderId="45" xfId="439" applyNumberFormat="1" applyFont="1" applyFill="1" applyBorder="1" applyAlignment="1" applyProtection="1">
      <alignment horizontal="center" vertical="center" wrapText="1"/>
    </xf>
    <xf numFmtId="0" fontId="56" fillId="0" borderId="45" xfId="0" applyNumberFormat="1" applyFont="1" applyFill="1" applyBorder="1" applyAlignment="1" applyProtection="1">
      <alignment horizontal="left" vertical="center" wrapText="1"/>
    </xf>
    <xf numFmtId="14" fontId="0" fillId="0" borderId="0" xfId="0" applyNumberFormat="1" applyFont="1" applyFill="1" applyAlignment="1" applyProtection="1">
      <alignment horizontal="center" vertical="center"/>
    </xf>
    <xf numFmtId="0" fontId="56" fillId="78" borderId="25" xfId="0" applyNumberFormat="1" applyFont="1" applyFill="1" applyBorder="1" applyAlignment="1" applyProtection="1">
      <alignment horizontal="left" vertical="center" wrapText="1"/>
    </xf>
    <xf numFmtId="0" fontId="56" fillId="78" borderId="23" xfId="0" applyNumberFormat="1" applyFont="1" applyFill="1" applyBorder="1" applyAlignment="1" applyProtection="1">
      <alignment horizontal="left" vertical="center" wrapText="1"/>
    </xf>
    <xf numFmtId="0" fontId="39" fillId="78" borderId="43" xfId="0" applyNumberFormat="1" applyFont="1" applyFill="1" applyBorder="1" applyAlignment="1" applyProtection="1">
      <alignment horizontal="center" vertical="center"/>
    </xf>
    <xf numFmtId="0" fontId="39" fillId="78" borderId="26" xfId="0" applyNumberFormat="1" applyFont="1" applyFill="1" applyBorder="1" applyAlignment="1" applyProtection="1">
      <alignment horizontal="center" vertical="center"/>
    </xf>
    <xf numFmtId="0" fontId="0" fillId="78" borderId="31" xfId="0" applyFont="1" applyFill="1" applyBorder="1" applyAlignment="1" applyProtection="1">
      <alignment vertical="center" wrapText="1"/>
    </xf>
    <xf numFmtId="0" fontId="39" fillId="78" borderId="25" xfId="0" applyNumberFormat="1" applyFont="1" applyFill="1" applyBorder="1" applyAlignment="1" applyProtection="1">
      <alignment horizontal="center" vertical="center"/>
    </xf>
    <xf numFmtId="0" fontId="0" fillId="78" borderId="23" xfId="0" applyFont="1" applyFill="1" applyBorder="1" applyAlignment="1" applyProtection="1">
      <alignment vertical="center" wrapText="1"/>
    </xf>
    <xf numFmtId="0" fontId="68" fillId="0" borderId="0" xfId="0" applyFont="1" applyAlignment="1" applyProtection="1">
      <alignment wrapText="1"/>
      <protection locked="0"/>
    </xf>
    <xf numFmtId="3" fontId="39" fillId="0" borderId="0" xfId="439" applyNumberFormat="1" applyFont="1" applyFill="1" applyAlignment="1" applyProtection="1">
      <alignment horizontal="center" vertical="center" wrapText="1"/>
    </xf>
    <xf numFmtId="164" fontId="49" fillId="0" borderId="0" xfId="0" applyNumberFormat="1" applyFont="1" applyFill="1" applyAlignment="1" applyProtection="1">
      <alignment wrapText="1"/>
    </xf>
    <xf numFmtId="164" fontId="49" fillId="78" borderId="10" xfId="0" applyNumberFormat="1" applyFont="1" applyFill="1" applyBorder="1" applyAlignment="1" applyProtection="1">
      <alignment horizontal="center" vertical="center" wrapText="1"/>
    </xf>
    <xf numFmtId="0" fontId="41" fillId="78" borderId="0" xfId="0" applyFont="1" applyFill="1" applyBorder="1" applyAlignment="1">
      <alignment wrapText="1"/>
    </xf>
    <xf numFmtId="0" fontId="39" fillId="78" borderId="64" xfId="0" applyNumberFormat="1" applyFont="1" applyFill="1" applyBorder="1" applyAlignment="1" applyProtection="1">
      <alignment horizontal="center" vertical="center"/>
    </xf>
    <xf numFmtId="0" fontId="41" fillId="78" borderId="23" xfId="0" applyNumberFormat="1" applyFont="1" applyFill="1" applyBorder="1" applyAlignment="1" applyProtection="1">
      <alignment horizontal="left" vertical="center" wrapText="1"/>
    </xf>
    <xf numFmtId="43" fontId="0" fillId="0" borderId="0" xfId="439" applyFont="1" applyFill="1"/>
    <xf numFmtId="38" fontId="0" fillId="0" borderId="0" xfId="0" applyNumberFormat="1" applyFont="1" applyFill="1"/>
    <xf numFmtId="40" fontId="0" fillId="0" borderId="0" xfId="0" applyNumberFormat="1" applyFont="1" applyFill="1"/>
    <xf numFmtId="38" fontId="44" fillId="79" borderId="0" xfId="29549" applyNumberFormat="1" applyFont="1" applyFill="1" applyProtection="1"/>
    <xf numFmtId="38" fontId="44" fillId="0" borderId="0" xfId="29549" applyNumberFormat="1" applyFont="1" applyFill="1" applyProtection="1"/>
    <xf numFmtId="164" fontId="44" fillId="0" borderId="0" xfId="29549" applyNumberFormat="1" applyFont="1" applyFill="1" applyBorder="1" applyProtection="1"/>
    <xf numFmtId="172" fontId="44" fillId="0" borderId="0" xfId="29549" applyNumberFormat="1" applyFont="1" applyFill="1" applyBorder="1" applyAlignment="1" applyProtection="1">
      <alignment horizontal="left"/>
    </xf>
    <xf numFmtId="164" fontId="44" fillId="0" borderId="0" xfId="29549" applyNumberFormat="1" applyFont="1" applyBorder="1" applyProtection="1"/>
    <xf numFmtId="167" fontId="44" fillId="0" borderId="0" xfId="29549" applyNumberFormat="1" applyFont="1" applyProtection="1"/>
    <xf numFmtId="43" fontId="44" fillId="0" borderId="68" xfId="29549" applyFont="1" applyBorder="1" applyAlignment="1" applyProtection="1">
      <alignment horizontal="right"/>
    </xf>
    <xf numFmtId="0" fontId="0" fillId="0" borderId="0" xfId="682" applyFont="1"/>
    <xf numFmtId="0" fontId="133" fillId="26" borderId="0" xfId="682" applyFont="1" applyFill="1"/>
    <xf numFmtId="0" fontId="49" fillId="0" borderId="17" xfId="682" applyFont="1" applyBorder="1" applyAlignment="1">
      <alignment horizontal="center"/>
    </xf>
    <xf numFmtId="0" fontId="134" fillId="0" borderId="0" xfId="682" applyFont="1"/>
    <xf numFmtId="0" fontId="134" fillId="0" borderId="0" xfId="682" applyFont="1" applyAlignment="1">
      <alignment vertical="center"/>
    </xf>
    <xf numFmtId="0" fontId="49" fillId="0" borderId="14" xfId="682" applyFont="1" applyBorder="1" applyAlignment="1">
      <alignment horizontal="center" vertical="center" wrapText="1"/>
    </xf>
    <xf numFmtId="0" fontId="135" fillId="0" borderId="0" xfId="682" applyFont="1"/>
    <xf numFmtId="0" fontId="52" fillId="0" borderId="0" xfId="682" applyFont="1"/>
    <xf numFmtId="167" fontId="52" fillId="0" borderId="0" xfId="546" applyNumberFormat="1" applyFont="1"/>
    <xf numFmtId="38" fontId="52" fillId="0" borderId="0" xfId="682" applyNumberFormat="1" applyFont="1"/>
    <xf numFmtId="38" fontId="52" fillId="0" borderId="0" xfId="449" applyNumberFormat="1" applyFont="1"/>
    <xf numFmtId="0" fontId="135" fillId="0" borderId="0" xfId="682" applyFont="1" applyAlignment="1">
      <alignment vertical="center"/>
    </xf>
    <xf numFmtId="0" fontId="137" fillId="0" borderId="0" xfId="682" applyFont="1"/>
    <xf numFmtId="0" fontId="49" fillId="0" borderId="0" xfId="682" applyFont="1"/>
    <xf numFmtId="0" fontId="49" fillId="0" borderId="0" xfId="682" applyFont="1" applyAlignment="1">
      <alignment horizontal="center"/>
    </xf>
    <xf numFmtId="10" fontId="49" fillId="0" borderId="19" xfId="682" applyNumberFormat="1" applyFont="1" applyBorder="1"/>
    <xf numFmtId="39" fontId="0" fillId="0" borderId="0" xfId="0" applyNumberFormat="1" applyFont="1" applyProtection="1"/>
    <xf numFmtId="0" fontId="0" fillId="22" borderId="0" xfId="0" applyFont="1" applyFill="1" applyBorder="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56"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56" fillId="21" borderId="0" xfId="0" applyFont="1" applyFill="1" applyBorder="1" applyAlignment="1" applyProtection="1">
      <alignment horizontal="center" vertical="center" wrapText="1"/>
    </xf>
    <xf numFmtId="3" fontId="0" fillId="0" borderId="0" xfId="0" applyNumberFormat="1" applyFont="1" applyProtection="1"/>
    <xf numFmtId="0" fontId="0" fillId="0" borderId="26" xfId="0" applyNumberFormat="1" applyFont="1" applyFill="1" applyBorder="1" applyAlignment="1" applyProtection="1">
      <alignment horizontal="left" vertical="center" wrapText="1"/>
    </xf>
    <xf numFmtId="0" fontId="0" fillId="0" borderId="31" xfId="0" applyNumberFormat="1" applyFont="1" applyFill="1" applyBorder="1" applyAlignment="1" applyProtection="1">
      <alignment horizontal="left" vertical="center" wrapText="1"/>
    </xf>
    <xf numFmtId="37" fontId="0" fillId="0" borderId="29" xfId="439" applyNumberFormat="1" applyFont="1" applyBorder="1" applyAlignment="1" applyProtection="1">
      <alignment vertical="center"/>
    </xf>
    <xf numFmtId="37" fontId="0" fillId="32" borderId="29" xfId="439" applyNumberFormat="1" applyFont="1" applyFill="1" applyBorder="1" applyAlignment="1" applyProtection="1">
      <alignment vertical="center"/>
    </xf>
    <xf numFmtId="0" fontId="0" fillId="0" borderId="30" xfId="0" applyNumberFormat="1" applyFont="1" applyFill="1" applyBorder="1" applyAlignment="1" applyProtection="1">
      <alignment horizontal="left" vertical="center" wrapText="1"/>
    </xf>
    <xf numFmtId="0" fontId="0" fillId="0" borderId="45" xfId="0" applyFont="1" applyFill="1" applyBorder="1" applyProtection="1"/>
    <xf numFmtId="0" fontId="0" fillId="0" borderId="45" xfId="0" applyFont="1" applyFill="1" applyBorder="1" applyAlignment="1" applyProtection="1">
      <alignment horizontal="center" vertical="center"/>
    </xf>
    <xf numFmtId="3" fontId="0" fillId="0" borderId="0" xfId="0" applyNumberFormat="1" applyFont="1" applyFill="1" applyProtection="1"/>
    <xf numFmtId="37" fontId="0" fillId="0" borderId="29"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0" fontId="0" fillId="23" borderId="23" xfId="0" applyNumberFormat="1" applyFont="1" applyFill="1" applyBorder="1" applyAlignment="1" applyProtection="1">
      <alignment horizontal="left" vertical="center" wrapText="1"/>
    </xf>
    <xf numFmtId="37" fontId="0" fillId="23" borderId="28" xfId="439" applyNumberFormat="1" applyFont="1" applyFill="1" applyBorder="1" applyAlignment="1" applyProtection="1">
      <alignment vertical="center"/>
    </xf>
    <xf numFmtId="0" fontId="0" fillId="0" borderId="24" xfId="0" applyNumberFormat="1" applyFont="1" applyFill="1" applyBorder="1" applyAlignment="1" applyProtection="1">
      <alignment horizontal="left" vertical="center" wrapText="1"/>
    </xf>
    <xf numFmtId="0" fontId="0" fillId="22" borderId="45" xfId="0" applyFont="1" applyFill="1" applyBorder="1" applyAlignment="1" applyProtection="1">
      <alignment vertical="center"/>
    </xf>
    <xf numFmtId="37" fontId="0" fillId="0" borderId="27" xfId="439" applyNumberFormat="1" applyFont="1" applyFill="1" applyBorder="1" applyAlignment="1" applyProtection="1">
      <alignment vertical="center"/>
    </xf>
    <xf numFmtId="0" fontId="0" fillId="23" borderId="31" xfId="0" applyNumberFormat="1" applyFont="1" applyFill="1" applyBorder="1" applyAlignment="1" applyProtection="1">
      <alignment horizontal="left" vertical="center" wrapText="1"/>
    </xf>
    <xf numFmtId="0" fontId="0" fillId="34" borderId="25" xfId="0" applyNumberFormat="1" applyFont="1" applyFill="1" applyBorder="1" applyAlignment="1" applyProtection="1">
      <alignment horizontal="left" vertical="center" wrapText="1"/>
    </xf>
    <xf numFmtId="0" fontId="0" fillId="34" borderId="23" xfId="0" applyNumberFormat="1" applyFont="1" applyFill="1" applyBorder="1" applyAlignment="1" applyProtection="1">
      <alignment horizontal="left" vertical="center" wrapText="1"/>
    </xf>
    <xf numFmtId="37" fontId="0" fillId="34" borderId="29" xfId="439" applyNumberFormat="1" applyFont="1" applyFill="1" applyBorder="1" applyAlignment="1" applyProtection="1">
      <alignment vertical="center"/>
    </xf>
    <xf numFmtId="3" fontId="44" fillId="0" borderId="23" xfId="1540" applyFont="1" applyFill="1" applyBorder="1" applyAlignment="1" applyProtection="1">
      <alignment vertical="center" wrapText="1"/>
    </xf>
    <xf numFmtId="38" fontId="0" fillId="0" borderId="45" xfId="0" applyNumberFormat="1" applyFont="1" applyFill="1" applyBorder="1" applyProtection="1"/>
    <xf numFmtId="0" fontId="0" fillId="0" borderId="0" xfId="0" applyFont="1" applyFill="1" applyBorder="1" applyProtection="1"/>
    <xf numFmtId="0" fontId="0" fillId="0" borderId="0" xfId="0" applyFont="1" applyFill="1" applyBorder="1" applyAlignment="1" applyProtection="1">
      <alignment horizontal="center" vertical="center"/>
    </xf>
    <xf numFmtId="0" fontId="0" fillId="0" borderId="0" xfId="0" applyFont="1" applyAlignment="1" applyProtection="1">
      <alignment wrapText="1"/>
    </xf>
    <xf numFmtId="0" fontId="0" fillId="0" borderId="34" xfId="0" applyNumberFormat="1" applyFont="1" applyFill="1" applyBorder="1" applyAlignment="1" applyProtection="1">
      <alignment horizontal="left" vertical="center" wrapText="1"/>
    </xf>
    <xf numFmtId="37" fontId="0" fillId="0" borderId="28" xfId="439" applyNumberFormat="1" applyFont="1" applyFill="1" applyBorder="1" applyAlignment="1" applyProtection="1">
      <alignment vertical="center"/>
    </xf>
    <xf numFmtId="0" fontId="0" fillId="0" borderId="0" xfId="0" applyFont="1" applyFill="1" applyBorder="1" applyAlignment="1" applyProtection="1">
      <alignment vertical="center" wrapText="1"/>
      <protection locked="0"/>
    </xf>
    <xf numFmtId="0" fontId="0" fillId="0" borderId="35" xfId="0" applyNumberFormat="1" applyFont="1" applyFill="1" applyBorder="1" applyAlignment="1" applyProtection="1">
      <alignment horizontal="left" vertical="center" wrapText="1"/>
    </xf>
    <xf numFmtId="0" fontId="0" fillId="0" borderId="0" xfId="0" applyFont="1" applyBorder="1" applyProtection="1"/>
    <xf numFmtId="0" fontId="0" fillId="0" borderId="25" xfId="0" applyFont="1" applyFill="1" applyBorder="1" applyAlignment="1">
      <alignment horizontal="center" vertical="center" wrapText="1"/>
    </xf>
    <xf numFmtId="0" fontId="0" fillId="35" borderId="0" xfId="0" applyFont="1" applyFill="1" applyAlignment="1" applyProtection="1">
      <alignment horizontal="center" vertical="center"/>
    </xf>
    <xf numFmtId="0" fontId="0" fillId="0" borderId="0" xfId="0" applyFont="1" applyFill="1" applyAlignment="1">
      <alignment horizontal="left" vertical="center" wrapText="1"/>
    </xf>
    <xf numFmtId="37" fontId="0" fillId="0" borderId="28" xfId="439" applyNumberFormat="1" applyFont="1" applyFill="1" applyBorder="1" applyAlignment="1" applyProtection="1">
      <alignment horizontal="center" vertical="center" wrapText="1"/>
    </xf>
    <xf numFmtId="0" fontId="0" fillId="0" borderId="23" xfId="0" applyFont="1" applyFill="1" applyBorder="1" applyAlignment="1">
      <alignment vertical="center" wrapText="1"/>
    </xf>
    <xf numFmtId="39" fontId="139" fillId="76" borderId="63" xfId="1562" applyNumberFormat="1" applyFont="1" applyFill="1" applyBorder="1" applyAlignment="1">
      <alignment horizontal="center" vertical="center" wrapText="1"/>
    </xf>
    <xf numFmtId="0" fontId="0" fillId="23" borderId="25" xfId="0" applyNumberFormat="1" applyFont="1" applyFill="1" applyBorder="1" applyAlignment="1" applyProtection="1">
      <alignment horizontal="left" vertical="center" wrapText="1"/>
    </xf>
    <xf numFmtId="3" fontId="44" fillId="0" borderId="0" xfId="1540" applyFont="1" applyFill="1" applyAlignment="1" applyProtection="1">
      <alignment vertical="center" wrapText="1"/>
    </xf>
    <xf numFmtId="181" fontId="0" fillId="75" borderId="28" xfId="439" applyNumberFormat="1" applyFont="1" applyFill="1" applyBorder="1" applyAlignment="1" applyProtection="1">
      <alignment vertical="center"/>
    </xf>
    <xf numFmtId="0" fontId="0" fillId="0" borderId="0" xfId="0" applyFont="1" applyAlignment="1">
      <alignment wrapText="1"/>
    </xf>
    <xf numFmtId="0" fontId="0" fillId="78" borderId="25" xfId="0" applyNumberFormat="1" applyFont="1" applyFill="1" applyBorder="1" applyAlignment="1" applyProtection="1">
      <alignment horizontal="left" vertical="center" wrapText="1"/>
    </xf>
    <xf numFmtId="0" fontId="139" fillId="78" borderId="0" xfId="0" applyFont="1" applyFill="1" applyAlignment="1" applyProtection="1">
      <alignment horizontal="left" vertical="center" wrapText="1"/>
    </xf>
    <xf numFmtId="164" fontId="0" fillId="78" borderId="23" xfId="439" applyNumberFormat="1" applyFont="1" applyFill="1" applyBorder="1" applyAlignment="1" applyProtection="1">
      <alignment horizontal="center" vertical="center" wrapText="1"/>
    </xf>
    <xf numFmtId="0" fontId="0" fillId="78" borderId="24" xfId="0" quotePrefix="1" applyNumberFormat="1" applyFont="1" applyFill="1" applyBorder="1" applyAlignment="1" applyProtection="1">
      <alignment horizontal="center" vertical="center" wrapText="1"/>
    </xf>
    <xf numFmtId="0" fontId="0" fillId="78" borderId="23" xfId="0" applyFont="1" applyFill="1" applyBorder="1" applyAlignment="1">
      <alignment vertical="center" wrapText="1"/>
    </xf>
    <xf numFmtId="37" fontId="0" fillId="78" borderId="29" xfId="439" applyNumberFormat="1" applyFont="1" applyFill="1" applyBorder="1" applyAlignment="1" applyProtection="1">
      <alignment vertical="center"/>
    </xf>
    <xf numFmtId="0" fontId="0" fillId="78" borderId="0" xfId="0" quotePrefix="1" applyFont="1" applyFill="1" applyAlignment="1" applyProtection="1">
      <alignment horizontal="center"/>
    </xf>
    <xf numFmtId="0" fontId="0" fillId="22" borderId="25" xfId="0" applyNumberFormat="1" applyFont="1" applyFill="1" applyBorder="1" applyAlignment="1" applyProtection="1">
      <alignment horizontal="left" vertical="center" wrapText="1"/>
    </xf>
    <xf numFmtId="0" fontId="0" fillId="22" borderId="23" xfId="0" applyNumberFormat="1" applyFont="1" applyFill="1" applyBorder="1" applyAlignment="1" applyProtection="1">
      <alignment horizontal="left" vertical="center" wrapText="1"/>
    </xf>
    <xf numFmtId="37" fontId="0" fillId="78" borderId="28" xfId="439" applyNumberFormat="1" applyFont="1" applyFill="1" applyBorder="1" applyAlignment="1" applyProtection="1">
      <alignment vertical="center"/>
    </xf>
    <xf numFmtId="0" fontId="0" fillId="22" borderId="23" xfId="0" applyFont="1" applyFill="1" applyBorder="1" applyAlignment="1" applyProtection="1">
      <alignment vertical="center"/>
      <protection locked="0"/>
    </xf>
    <xf numFmtId="0" fontId="0" fillId="22" borderId="30" xfId="0" applyFont="1" applyFill="1" applyBorder="1" applyAlignment="1" applyProtection="1">
      <alignment vertical="center"/>
    </xf>
    <xf numFmtId="0" fontId="0" fillId="22" borderId="23" xfId="0" applyFont="1" applyFill="1" applyBorder="1" applyAlignment="1" applyProtection="1">
      <alignment vertical="center"/>
    </xf>
    <xf numFmtId="39" fontId="0" fillId="22" borderId="28" xfId="0" applyNumberFormat="1" applyFont="1" applyFill="1" applyBorder="1" applyAlignment="1" applyProtection="1">
      <alignment vertical="center"/>
    </xf>
    <xf numFmtId="0" fontId="0" fillId="22" borderId="28" xfId="0" applyFont="1" applyFill="1" applyBorder="1" applyAlignment="1" applyProtection="1">
      <alignment vertical="center"/>
    </xf>
    <xf numFmtId="0" fontId="0" fillId="22" borderId="29"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5" xfId="0" applyFont="1" applyFill="1" applyBorder="1" applyAlignment="1">
      <alignment vertical="center" wrapText="1"/>
    </xf>
    <xf numFmtId="0" fontId="0" fillId="22" borderId="0" xfId="0" applyFont="1" applyFill="1" applyAlignment="1" applyProtection="1">
      <alignment vertical="center" wrapText="1"/>
      <protection locked="0"/>
    </xf>
    <xf numFmtId="164" fontId="0" fillId="22" borderId="28" xfId="439" applyNumberFormat="1" applyFont="1" applyFill="1" applyBorder="1" applyAlignment="1" applyProtection="1">
      <alignment vertical="center"/>
    </xf>
    <xf numFmtId="0" fontId="0" fillId="74" borderId="23" xfId="0" applyNumberFormat="1" applyFont="1" applyFill="1" applyBorder="1" applyAlignment="1" applyProtection="1">
      <alignment horizontal="left" vertical="center" wrapText="1"/>
    </xf>
    <xf numFmtId="49" fontId="0" fillId="74" borderId="65"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4" borderId="65" xfId="439" applyNumberFormat="1" applyFont="1" applyFill="1" applyBorder="1" applyAlignment="1" applyProtection="1">
      <alignment horizontal="center" vertical="center"/>
    </xf>
    <xf numFmtId="0" fontId="0" fillId="31" borderId="66" xfId="0" applyFont="1" applyFill="1" applyBorder="1"/>
    <xf numFmtId="49" fontId="0" fillId="31" borderId="0" xfId="0" applyNumberFormat="1" applyFont="1" applyFill="1" applyAlignment="1" applyProtection="1">
      <alignment horizontal="center"/>
    </xf>
    <xf numFmtId="41" fontId="0" fillId="0" borderId="66" xfId="0" applyNumberFormat="1" applyFont="1" applyFill="1" applyBorder="1" applyAlignment="1">
      <alignment horizontal="center" vertical="center" wrapText="1"/>
    </xf>
    <xf numFmtId="0" fontId="0" fillId="31" borderId="23" xfId="0" applyNumberFormat="1" applyFont="1" applyFill="1" applyBorder="1" applyAlignment="1" applyProtection="1">
      <alignment horizontal="left" vertical="center" wrapText="1"/>
    </xf>
    <xf numFmtId="49" fontId="0" fillId="31" borderId="64" xfId="439" applyNumberFormat="1" applyFont="1" applyFill="1" applyBorder="1" applyAlignment="1" applyProtection="1">
      <alignment horizontal="center" vertical="center"/>
    </xf>
    <xf numFmtId="14" fontId="0" fillId="31" borderId="0" xfId="0" applyNumberFormat="1" applyFont="1" applyFill="1" applyAlignment="1" applyProtection="1">
      <alignment horizontal="center"/>
    </xf>
    <xf numFmtId="14" fontId="0" fillId="31" borderId="64" xfId="439" applyNumberFormat="1" applyFont="1" applyFill="1" applyBorder="1" applyAlignment="1" applyProtection="1">
      <alignment horizontal="center" vertical="center"/>
    </xf>
    <xf numFmtId="0" fontId="0" fillId="78" borderId="0" xfId="0" applyFont="1" applyFill="1" applyBorder="1"/>
    <xf numFmtId="41" fontId="0" fillId="78" borderId="0" xfId="0" applyNumberFormat="1" applyFont="1" applyFill="1" applyBorder="1" applyAlignment="1">
      <alignment horizontal="center" vertical="center" wrapText="1"/>
    </xf>
    <xf numFmtId="14" fontId="0" fillId="78" borderId="64" xfId="439" applyNumberFormat="1" applyFont="1" applyFill="1" applyBorder="1" applyAlignment="1" applyProtection="1">
      <alignment horizontal="center" vertical="center"/>
    </xf>
    <xf numFmtId="169" fontId="0" fillId="74" borderId="65" xfId="439" applyNumberFormat="1" applyFont="1" applyFill="1" applyBorder="1" applyAlignment="1" applyProtection="1">
      <alignment vertical="center"/>
    </xf>
    <xf numFmtId="0" fontId="0" fillId="78"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0" xfId="439" applyNumberFormat="1" applyFont="1" applyAlignment="1" applyProtection="1">
      <alignment vertical="center"/>
    </xf>
    <xf numFmtId="0" fontId="56"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4" fillId="0" borderId="0" xfId="439" applyNumberFormat="1" applyFont="1" applyFill="1" applyAlignment="1" applyProtection="1">
      <alignment horizontal="center" vertical="center" wrapText="1"/>
    </xf>
    <xf numFmtId="0" fontId="0" fillId="0" borderId="0" xfId="0" applyNumberFormat="1" applyFont="1" applyFill="1" applyAlignment="1" applyProtection="1">
      <alignment wrapText="1"/>
    </xf>
    <xf numFmtId="0" fontId="0" fillId="0" borderId="0" xfId="0" applyFont="1" applyFill="1" applyAlignment="1" applyProtection="1">
      <alignment horizontal="center" vertical="center" wrapText="1"/>
    </xf>
    <xf numFmtId="0" fontId="39" fillId="0" borderId="59" xfId="0" applyFont="1" applyFill="1" applyBorder="1" applyAlignment="1">
      <alignment vertical="center"/>
    </xf>
    <xf numFmtId="174" fontId="39" fillId="28" borderId="0" xfId="439" applyNumberFormat="1" applyFont="1" applyFill="1" applyAlignment="1" applyProtection="1">
      <alignment horizontal="center" vertical="center"/>
      <protection locked="0"/>
    </xf>
    <xf numFmtId="0" fontId="44" fillId="0" borderId="0" xfId="0" applyNumberFormat="1" applyFont="1" applyFill="1" applyAlignment="1" applyProtection="1">
      <alignment horizontal="left" vertical="center" wrapText="1"/>
    </xf>
    <xf numFmtId="0" fontId="53" fillId="0" borderId="0" xfId="0" applyFont="1" applyFill="1" applyAlignment="1" applyProtection="1">
      <alignment horizontal="left" vertical="center" wrapText="1"/>
    </xf>
    <xf numFmtId="0" fontId="0" fillId="0" borderId="32" xfId="0" applyFont="1" applyFill="1" applyBorder="1" applyAlignment="1">
      <alignment horizontal="center" wrapText="1"/>
    </xf>
    <xf numFmtId="0" fontId="44" fillId="0" borderId="0" xfId="0" applyFont="1" applyFill="1" applyAlignment="1" applyProtection="1">
      <alignment horizontal="left" vertical="center" wrapText="1"/>
      <protection hidden="1"/>
    </xf>
    <xf numFmtId="0" fontId="44" fillId="0" borderId="62" xfId="0" applyFont="1" applyFill="1" applyBorder="1" applyAlignment="1">
      <alignment vertical="center" wrapText="1"/>
    </xf>
    <xf numFmtId="0" fontId="61" fillId="0" borderId="62" xfId="0" applyFont="1" applyFill="1" applyBorder="1" applyAlignment="1">
      <alignment vertical="center" wrapText="1"/>
    </xf>
    <xf numFmtId="0" fontId="0" fillId="0" borderId="0" xfId="0" applyFont="1" applyProtection="1"/>
    <xf numFmtId="0" fontId="0" fillId="0" borderId="0" xfId="0" applyNumberFormat="1" applyFont="1" applyFill="1" applyAlignment="1" applyProtection="1">
      <alignment horizontal="left" vertical="center" wrapText="1"/>
    </xf>
    <xf numFmtId="0" fontId="0" fillId="0" borderId="0" xfId="0" applyFont="1" applyProtection="1"/>
    <xf numFmtId="0" fontId="39" fillId="0" borderId="0" xfId="0" applyFont="1" applyFill="1" applyAlignment="1" applyProtection="1">
      <alignment horizontal="right"/>
    </xf>
    <xf numFmtId="0" fontId="39" fillId="0" borderId="0" xfId="0" applyFont="1" applyFill="1" applyBorder="1" applyAlignment="1" applyProtection="1">
      <alignment horizontal="center"/>
    </xf>
    <xf numFmtId="0" fontId="0" fillId="34" borderId="0" xfId="0" applyFont="1" applyFill="1" applyAlignment="1" applyProtection="1">
      <alignment wrapText="1"/>
    </xf>
    <xf numFmtId="0" fontId="0" fillId="34" borderId="0" xfId="0" applyFont="1" applyFill="1" applyProtection="1"/>
    <xf numFmtId="14" fontId="0" fillId="0" borderId="0" xfId="0" applyNumberFormat="1" applyFont="1" applyFill="1" applyProtection="1"/>
    <xf numFmtId="164" fontId="39"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4" fillId="21" borderId="16" xfId="0" applyNumberFormat="1" applyFont="1" applyFill="1" applyBorder="1" applyProtection="1"/>
    <xf numFmtId="41" fontId="0" fillId="21" borderId="12" xfId="0" applyNumberFormat="1" applyFont="1" applyFill="1" applyBorder="1" applyAlignment="1" applyProtection="1">
      <alignment wrapText="1"/>
    </xf>
    <xf numFmtId="0" fontId="39" fillId="21" borderId="0" xfId="0" applyFont="1" applyFill="1" applyBorder="1" applyAlignment="1" applyProtection="1">
      <alignment horizontal="center"/>
    </xf>
    <xf numFmtId="0" fontId="39" fillId="21" borderId="22" xfId="0" applyFont="1" applyFill="1" applyBorder="1" applyAlignment="1" applyProtection="1">
      <alignment horizontal="center" wrapText="1"/>
    </xf>
    <xf numFmtId="41" fontId="68" fillId="28" borderId="0" xfId="439" applyNumberFormat="1" applyFont="1" applyFill="1" applyAlignment="1" applyProtection="1">
      <alignment wrapText="1"/>
    </xf>
    <xf numFmtId="41" fontId="69" fillId="0" borderId="0" xfId="0" applyNumberFormat="1" applyFont="1" applyFill="1" applyAlignment="1" applyProtection="1">
      <alignment wrapText="1"/>
    </xf>
    <xf numFmtId="0" fontId="0" fillId="0" borderId="0" xfId="0" applyFont="1" applyFill="1" applyAlignment="1" applyProtection="1">
      <alignment wrapText="1"/>
      <protection locked="0"/>
    </xf>
    <xf numFmtId="0" fontId="0" fillId="0" borderId="0" xfId="0" applyFont="1" applyFill="1" applyProtection="1">
      <protection locked="0"/>
    </xf>
    <xf numFmtId="164" fontId="0" fillId="0" borderId="0" xfId="0" applyNumberFormat="1" applyFont="1" applyFill="1" applyAlignment="1" applyProtection="1">
      <alignment wrapText="1"/>
      <protection locked="0"/>
    </xf>
    <xf numFmtId="0" fontId="68" fillId="0" borderId="0" xfId="0" applyFont="1" applyFill="1" applyAlignment="1" applyProtection="1">
      <alignment wrapText="1"/>
      <protection locked="0"/>
    </xf>
    <xf numFmtId="0" fontId="0" fillId="0" borderId="45" xfId="0" applyFont="1" applyFill="1" applyBorder="1" applyAlignment="1" applyProtection="1">
      <alignment wrapText="1"/>
      <protection locked="0"/>
    </xf>
    <xf numFmtId="41" fontId="68" fillId="0" borderId="0" xfId="0" applyNumberFormat="1" applyFont="1" applyFill="1" applyAlignment="1" applyProtection="1">
      <alignment wrapText="1"/>
    </xf>
    <xf numFmtId="164" fontId="0" fillId="0" borderId="45" xfId="0" applyNumberFormat="1" applyFont="1" applyFill="1" applyBorder="1" applyAlignment="1" applyProtection="1">
      <alignment wrapText="1"/>
      <protection locked="0"/>
    </xf>
    <xf numFmtId="0" fontId="39" fillId="0" borderId="0" xfId="0" applyFont="1" applyFill="1" applyAlignment="1" applyProtection="1">
      <alignment horizontal="center" vertical="center" wrapText="1"/>
    </xf>
    <xf numFmtId="0" fontId="0" fillId="0" borderId="0" xfId="0" applyFont="1" applyBorder="1" applyAlignment="1" applyProtection="1">
      <alignment wrapText="1"/>
    </xf>
    <xf numFmtId="37" fontId="0" fillId="0" borderId="0" xfId="0" applyNumberFormat="1" applyFont="1" applyAlignment="1" applyProtection="1">
      <alignment wrapText="1"/>
      <protection locked="0"/>
    </xf>
    <xf numFmtId="37" fontId="0" fillId="0" borderId="45" xfId="0" applyNumberFormat="1" applyFont="1" applyFill="1" applyBorder="1" applyAlignment="1" applyProtection="1">
      <alignment wrapText="1"/>
      <protection locked="0"/>
    </xf>
    <xf numFmtId="3" fontId="0" fillId="28" borderId="0" xfId="439" applyNumberFormat="1" applyFont="1" applyFill="1" applyAlignment="1" applyProtection="1">
      <alignment horizontal="center" vertical="center"/>
      <protection locked="0"/>
    </xf>
    <xf numFmtId="0" fontId="0" fillId="0" borderId="45" xfId="0" applyNumberFormat="1" applyFont="1" applyFill="1" applyBorder="1" applyAlignment="1" applyProtection="1">
      <alignment vertical="center" wrapText="1"/>
    </xf>
    <xf numFmtId="0" fontId="39" fillId="0" borderId="0" xfId="0" applyNumberFormat="1" applyFont="1" applyFill="1" applyAlignment="1" applyProtection="1">
      <alignment wrapText="1"/>
    </xf>
    <xf numFmtId="41" fontId="69" fillId="0" borderId="0" xfId="0" applyNumberFormat="1" applyFont="1" applyFill="1" applyAlignment="1" applyProtection="1">
      <alignment horizontal="center" wrapText="1"/>
    </xf>
    <xf numFmtId="0" fontId="39" fillId="0" borderId="0" xfId="0" applyNumberFormat="1" applyFont="1" applyFill="1" applyAlignment="1" applyProtection="1">
      <alignment vertical="center" wrapText="1"/>
    </xf>
    <xf numFmtId="0" fontId="0" fillId="0" borderId="0" xfId="0" applyNumberFormat="1" applyFont="1" applyFill="1" applyAlignment="1" applyProtection="1">
      <alignment horizontal="left" vertical="center" wrapText="1" indent="3"/>
    </xf>
    <xf numFmtId="3" fontId="0" fillId="0" borderId="0" xfId="0" applyNumberFormat="1" applyFont="1" applyAlignment="1" applyProtection="1">
      <alignment horizontal="center" vertical="center"/>
    </xf>
    <xf numFmtId="0" fontId="0" fillId="0" borderId="14" xfId="0" applyNumberFormat="1" applyFont="1" applyFill="1" applyBorder="1" applyAlignment="1" applyProtection="1">
      <alignment vertical="center" wrapText="1"/>
    </xf>
    <xf numFmtId="0" fontId="0" fillId="0" borderId="14" xfId="0" applyNumberFormat="1" applyFont="1" applyFill="1" applyBorder="1" applyAlignment="1" applyProtection="1">
      <alignment horizontal="left" vertical="center" wrapText="1" indent="3"/>
    </xf>
    <xf numFmtId="3" fontId="0" fillId="0" borderId="0" xfId="0" applyNumberFormat="1" applyFont="1" applyFill="1" applyAlignment="1" applyProtection="1">
      <alignment horizontal="center" vertical="center" wrapText="1"/>
    </xf>
    <xf numFmtId="0" fontId="0" fillId="0" borderId="14" xfId="0" applyNumberFormat="1" applyFont="1" applyFill="1" applyBorder="1" applyAlignment="1" applyProtection="1">
      <alignment horizontal="left" vertical="center" wrapText="1" indent="6"/>
    </xf>
    <xf numFmtId="0" fontId="0" fillId="0" borderId="0" xfId="0" applyFont="1" applyAlignment="1" applyProtection="1">
      <protection locked="0"/>
    </xf>
    <xf numFmtId="164" fontId="0" fillId="28" borderId="0" xfId="439" applyNumberFormat="1" applyFont="1" applyFill="1" applyProtection="1"/>
    <xf numFmtId="0" fontId="0" fillId="32" borderId="0" xfId="0" applyFont="1" applyFill="1" applyProtection="1"/>
    <xf numFmtId="164" fontId="0" fillId="0" borderId="23" xfId="439" applyNumberFormat="1" applyFont="1" applyFill="1" applyBorder="1" applyAlignment="1" applyProtection="1">
      <alignment horizontal="center" vertical="center" wrapText="1"/>
      <protection locked="0"/>
    </xf>
    <xf numFmtId="3" fontId="0" fillId="28" borderId="0" xfId="439" applyNumberFormat="1" applyFont="1" applyFill="1" applyAlignment="1" applyProtection="1">
      <alignment horizontal="center" vertical="center"/>
    </xf>
    <xf numFmtId="41" fontId="68" fillId="0" borderId="0" xfId="439" applyNumberFormat="1" applyFont="1" applyFill="1" applyAlignment="1" applyProtection="1">
      <alignment vertical="center" wrapText="1"/>
    </xf>
    <xf numFmtId="39" fontId="68" fillId="0" borderId="0" xfId="439" applyNumberFormat="1" applyFont="1" applyFill="1" applyBorder="1" applyAlignment="1" applyProtection="1">
      <alignment horizontal="center" vertical="center" wrapText="1"/>
    </xf>
    <xf numFmtId="168" fontId="0" fillId="0" borderId="0" xfId="0" applyNumberFormat="1" applyFont="1" applyFill="1" applyAlignment="1" applyProtection="1">
      <alignment wrapText="1"/>
    </xf>
    <xf numFmtId="168" fontId="0" fillId="0" borderId="0" xfId="0" applyNumberFormat="1" applyFont="1" applyProtection="1"/>
    <xf numFmtId="0" fontId="0" fillId="0" borderId="0" xfId="0" applyFont="1" applyFill="1" applyAlignment="1" applyProtection="1">
      <alignment horizontal="center" wrapText="1"/>
      <protection locked="0"/>
    </xf>
    <xf numFmtId="0" fontId="39" fillId="0" borderId="0" xfId="0" applyFont="1" applyAlignment="1" applyProtection="1">
      <alignment wrapText="1"/>
      <protection locked="0"/>
    </xf>
    <xf numFmtId="2" fontId="0" fillId="0" borderId="0" xfId="0" applyNumberFormat="1" applyFont="1" applyAlignment="1" applyProtection="1">
      <alignment wrapText="1"/>
      <protection locked="0"/>
    </xf>
    <xf numFmtId="14" fontId="0" fillId="0" borderId="0" xfId="0" applyNumberFormat="1" applyFont="1"/>
    <xf numFmtId="0" fontId="0" fillId="0" borderId="0" xfId="0" applyFont="1" applyBorder="1"/>
    <xf numFmtId="0" fontId="0" fillId="0" borderId="56"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68" fillId="0" borderId="0" xfId="439" applyNumberFormat="1" applyFont="1" applyFill="1" applyAlignment="1" applyProtection="1">
      <alignment vertical="center" wrapText="1"/>
      <protection locked="0"/>
    </xf>
    <xf numFmtId="0" fontId="39" fillId="31" borderId="37" xfId="0" applyFont="1" applyFill="1" applyBorder="1" applyAlignment="1">
      <alignment horizontal="center" vertical="center" wrapText="1"/>
    </xf>
    <xf numFmtId="0" fontId="39" fillId="31" borderId="39" xfId="0" applyFont="1" applyFill="1" applyBorder="1" applyAlignment="1">
      <alignment horizontal="center" vertical="center" wrapText="1"/>
    </xf>
    <xf numFmtId="41" fontId="68" fillId="0" borderId="0" xfId="439" applyNumberFormat="1" applyFont="1" applyAlignment="1">
      <alignment vertical="center" wrapText="1"/>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6" fontId="0" fillId="0" borderId="0" xfId="0" applyNumberFormat="1" applyFont="1" applyAlignment="1" applyProtection="1">
      <alignment wrapText="1"/>
    </xf>
    <xf numFmtId="0" fontId="39"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146" fillId="0" borderId="0" xfId="0" applyNumberFormat="1" applyFont="1" applyFill="1" applyAlignment="1" applyProtection="1">
      <alignment horizontal="left" vertical="center" wrapText="1"/>
    </xf>
    <xf numFmtId="0" fontId="146" fillId="0" borderId="0" xfId="0" applyFont="1" applyFill="1" applyAlignment="1" applyProtection="1">
      <alignment horizontal="left" vertical="center" wrapText="1"/>
    </xf>
    <xf numFmtId="0" fontId="44" fillId="0" borderId="0" xfId="0" applyFont="1" applyFill="1" applyAlignment="1" applyProtection="1">
      <alignment horizontal="center" vertical="center" wrapText="1"/>
    </xf>
    <xf numFmtId="0" fontId="44" fillId="0" borderId="0" xfId="0" applyNumberFormat="1" applyFont="1" applyFill="1" applyAlignment="1" applyProtection="1">
      <alignment vertical="center" wrapText="1"/>
    </xf>
    <xf numFmtId="0" fontId="0" fillId="0" borderId="45" xfId="0" applyFont="1" applyFill="1" applyBorder="1" applyAlignment="1" applyProtection="1">
      <alignment horizontal="center" vertical="center" wrapText="1"/>
    </xf>
    <xf numFmtId="0" fontId="44" fillId="0" borderId="45" xfId="0" applyFont="1" applyFill="1" applyBorder="1" applyAlignment="1" applyProtection="1">
      <alignment horizontal="center" vertical="center" wrapText="1"/>
    </xf>
    <xf numFmtId="0" fontId="0" fillId="34" borderId="0" xfId="0" applyFont="1" applyFill="1" applyAlignment="1" applyProtection="1">
      <alignment horizontal="center" vertical="center" wrapText="1"/>
    </xf>
    <xf numFmtId="0" fontId="39" fillId="0" borderId="0" xfId="0" applyFont="1" applyAlignment="1" applyProtection="1">
      <alignment horizontal="center" vertical="center" wrapText="1"/>
    </xf>
    <xf numFmtId="0" fontId="0" fillId="0" borderId="14" xfId="0" applyFont="1" applyFill="1" applyBorder="1" applyAlignment="1" applyProtection="1">
      <alignment horizontal="center" vertical="center"/>
    </xf>
    <xf numFmtId="0" fontId="61" fillId="0" borderId="0" xfId="0" applyFont="1" applyFill="1" applyAlignment="1" applyProtection="1">
      <alignment horizontal="center" vertical="center" wrapText="1"/>
    </xf>
    <xf numFmtId="3" fontId="153" fillId="0" borderId="0" xfId="1540" applyFont="1" applyFill="1" applyAlignment="1" applyProtection="1">
      <alignment vertical="center" wrapText="1"/>
    </xf>
    <xf numFmtId="0" fontId="39" fillId="0" borderId="0" xfId="0" applyFont="1" applyFill="1" applyAlignment="1" applyProtection="1">
      <alignment horizontal="center" vertical="center"/>
    </xf>
    <xf numFmtId="0" fontId="39" fillId="74" borderId="0" xfId="0" applyFont="1" applyFill="1" applyAlignment="1" applyProtection="1">
      <alignment vertical="center"/>
    </xf>
    <xf numFmtId="0" fontId="39" fillId="74" borderId="0" xfId="0" applyFont="1" applyFill="1" applyAlignment="1" applyProtection="1"/>
    <xf numFmtId="0" fontId="39" fillId="74" borderId="0" xfId="0" applyFont="1" applyFill="1" applyAlignment="1" applyProtection="1">
      <alignment wrapText="1"/>
    </xf>
    <xf numFmtId="2"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wrapText="1"/>
    </xf>
    <xf numFmtId="0" fontId="0" fillId="74" borderId="0" xfId="0" applyNumberFormat="1" applyFont="1" applyFill="1" applyAlignment="1" applyProtection="1">
      <alignment horizontal="left" vertical="center" wrapText="1"/>
    </xf>
    <xf numFmtId="37" fontId="0" fillId="74" borderId="0" xfId="439" applyNumberFormat="1" applyFont="1" applyFill="1" applyAlignment="1" applyProtection="1">
      <alignment horizontal="center" vertical="center"/>
      <protection locked="0"/>
    </xf>
    <xf numFmtId="41" fontId="68" fillId="74" borderId="0" xfId="439" applyNumberFormat="1" applyFont="1" applyFill="1" applyAlignment="1" applyProtection="1">
      <alignment wrapText="1"/>
    </xf>
    <xf numFmtId="0" fontId="39" fillId="74" borderId="0" xfId="0" applyNumberFormat="1" applyFont="1" applyFill="1" applyAlignment="1" applyProtection="1">
      <alignment horizontal="left" vertical="center" wrapText="1"/>
    </xf>
    <xf numFmtId="164" fontId="0" fillId="74" borderId="0" xfId="439" applyNumberFormat="1" applyFont="1" applyFill="1" applyAlignment="1" applyProtection="1">
      <alignment horizontal="center" vertical="center"/>
      <protection locked="0"/>
    </xf>
    <xf numFmtId="41" fontId="69" fillId="74" borderId="0" xfId="439" applyNumberFormat="1" applyFont="1" applyFill="1" applyAlignment="1" applyProtection="1">
      <alignment wrapText="1"/>
    </xf>
    <xf numFmtId="0" fontId="57" fillId="74" borderId="0" xfId="0" applyFont="1" applyFill="1" applyAlignment="1" applyProtection="1">
      <alignment horizontal="left" vertical="center"/>
    </xf>
    <xf numFmtId="0" fontId="44" fillId="74" borderId="0" xfId="0" applyFont="1" applyFill="1" applyAlignment="1" applyProtection="1">
      <alignment horizontal="left" vertical="center"/>
    </xf>
    <xf numFmtId="0" fontId="0" fillId="74" borderId="0" xfId="0" applyNumberFormat="1" applyFont="1" applyFill="1" applyAlignment="1" applyProtection="1">
      <alignment wrapText="1"/>
    </xf>
    <xf numFmtId="0" fontId="0" fillId="74" borderId="0" xfId="0" applyFont="1" applyFill="1" applyAlignment="1" applyProtection="1">
      <alignment vertical="center"/>
    </xf>
    <xf numFmtId="164" fontId="0" fillId="74" borderId="0" xfId="0" applyNumberFormat="1" applyFont="1" applyFill="1" applyAlignment="1" applyProtection="1">
      <alignment vertical="center"/>
    </xf>
    <xf numFmtId="164" fontId="39" fillId="74" borderId="0" xfId="439" applyNumberFormat="1" applyFont="1" applyFill="1" applyAlignment="1" applyProtection="1">
      <alignment horizontal="center" vertical="center"/>
      <protection locked="0"/>
    </xf>
    <xf numFmtId="41" fontId="69" fillId="74" borderId="0" xfId="0" applyNumberFormat="1" applyFont="1" applyFill="1" applyAlignment="1" applyProtection="1">
      <alignment wrapText="1"/>
    </xf>
    <xf numFmtId="0" fontId="39" fillId="74" borderId="0" xfId="0" applyFont="1" applyFill="1" applyAlignment="1" applyProtection="1">
      <alignment horizontal="center" vertical="center"/>
      <protection locked="0"/>
    </xf>
    <xf numFmtId="0" fontId="69" fillId="74" borderId="0" xfId="0" applyFont="1" applyFill="1" applyAlignment="1" applyProtection="1"/>
    <xf numFmtId="0" fontId="39" fillId="74" borderId="0" xfId="0" applyFont="1" applyFill="1" applyAlignment="1" applyProtection="1">
      <alignment horizontal="center" vertical="center" wrapText="1"/>
      <protection locked="0"/>
    </xf>
    <xf numFmtId="0" fontId="69" fillId="74" borderId="0" xfId="0" applyFont="1" applyFill="1" applyAlignment="1" applyProtection="1">
      <alignment horizontal="left" wrapText="1" indent="2"/>
    </xf>
    <xf numFmtId="0" fontId="39" fillId="74" borderId="0" xfId="0" applyFont="1" applyFill="1" applyAlignment="1" applyProtection="1">
      <alignment horizontal="left" vertical="center"/>
    </xf>
    <xf numFmtId="0" fontId="0" fillId="74" borderId="0" xfId="0" applyFont="1" applyFill="1" applyAlignment="1" applyProtection="1">
      <alignment horizontal="left" vertical="center"/>
    </xf>
    <xf numFmtId="0" fontId="39" fillId="74" borderId="0" xfId="0" applyNumberFormat="1" applyFont="1" applyFill="1" applyAlignment="1" applyProtection="1">
      <alignment vertical="center" wrapText="1"/>
    </xf>
    <xf numFmtId="0" fontId="0" fillId="74" borderId="0" xfId="0" applyNumberFormat="1" applyFont="1" applyFill="1" applyAlignment="1" applyProtection="1">
      <alignment vertical="center" wrapText="1"/>
    </xf>
    <xf numFmtId="3" fontId="0" fillId="74" borderId="0" xfId="439"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protection locked="0"/>
    </xf>
    <xf numFmtId="3" fontId="39" fillId="74" borderId="0" xfId="0" applyNumberFormat="1" applyFont="1" applyFill="1" applyAlignment="1" applyProtection="1">
      <alignment horizontal="center" vertical="center" wrapText="1"/>
      <protection locked="0"/>
    </xf>
    <xf numFmtId="0" fontId="69" fillId="74" borderId="0" xfId="0" applyFont="1" applyFill="1" applyAlignment="1" applyProtection="1">
      <alignment vertical="center"/>
    </xf>
    <xf numFmtId="3" fontId="39" fillId="74" borderId="0" xfId="439" applyNumberFormat="1" applyFont="1" applyFill="1" applyAlignment="1" applyProtection="1">
      <alignment horizontal="center" vertical="center"/>
      <protection locked="0"/>
    </xf>
    <xf numFmtId="38" fontId="44" fillId="74" borderId="0" xfId="439" applyNumberFormat="1" applyFont="1" applyFill="1" applyAlignment="1" applyProtection="1">
      <alignment horizontal="center" vertical="center" wrapText="1"/>
    </xf>
    <xf numFmtId="0" fontId="0" fillId="74" borderId="0" xfId="0" applyFont="1" applyFill="1" applyAlignment="1" applyProtection="1">
      <alignment horizontal="center" vertical="center"/>
    </xf>
    <xf numFmtId="0" fontId="39" fillId="74" borderId="0" xfId="0" applyNumberFormat="1" applyFont="1" applyFill="1" applyAlignment="1" applyProtection="1">
      <alignment wrapText="1"/>
    </xf>
    <xf numFmtId="164" fontId="39" fillId="74" borderId="0" xfId="439" applyNumberFormat="1" applyFont="1" applyFill="1" applyAlignment="1" applyProtection="1">
      <alignment horizontal="center" wrapText="1"/>
    </xf>
    <xf numFmtId="3" fontId="39" fillId="74" borderId="0" xfId="439" applyNumberFormat="1" applyFont="1" applyFill="1" applyAlignment="1" applyProtection="1">
      <alignment horizontal="center" vertical="center" wrapText="1"/>
    </xf>
    <xf numFmtId="41" fontId="68" fillId="74" borderId="0" xfId="0" applyNumberFormat="1" applyFont="1" applyFill="1" applyAlignment="1" applyProtection="1">
      <alignment wrapText="1"/>
    </xf>
    <xf numFmtId="3" fontId="39" fillId="74" borderId="0" xfId="0" applyNumberFormat="1" applyFont="1" applyFill="1" applyAlignment="1" applyProtection="1">
      <alignment horizontal="center" vertical="center"/>
    </xf>
    <xf numFmtId="164" fontId="0" fillId="74" borderId="0" xfId="439" applyNumberFormat="1" applyFont="1" applyFill="1" applyProtection="1"/>
    <xf numFmtId="164" fontId="0" fillId="74" borderId="0" xfId="439" applyNumberFormat="1" applyFont="1" applyFill="1" applyAlignment="1" applyProtection="1">
      <alignment horizontal="center" vertical="center"/>
    </xf>
    <xf numFmtId="37" fontId="0" fillId="74" borderId="0" xfId="439" applyNumberFormat="1" applyFont="1" applyFill="1" applyAlignment="1" applyProtection="1">
      <alignment horizontal="center" vertical="center"/>
    </xf>
    <xf numFmtId="38" fontId="39" fillId="74" borderId="0" xfId="0" applyNumberFormat="1" applyFont="1" applyFill="1" applyAlignment="1" applyProtection="1">
      <alignment horizontal="left" vertical="center"/>
    </xf>
    <xf numFmtId="0" fontId="69" fillId="74" borderId="0" xfId="0" applyFont="1" applyFill="1" applyAlignment="1" applyProtection="1">
      <alignment horizontal="left" vertical="center"/>
    </xf>
    <xf numFmtId="0" fontId="0" fillId="74" borderId="0" xfId="0" applyFont="1" applyFill="1" applyProtection="1"/>
    <xf numFmtId="0" fontId="0" fillId="74" borderId="0" xfId="0" applyFont="1" applyFill="1" applyAlignment="1" applyProtection="1">
      <alignment horizontal="center" vertical="center" wrapText="1"/>
    </xf>
    <xf numFmtId="0" fontId="39" fillId="74" borderId="0" xfId="0" applyFont="1" applyFill="1" applyAlignment="1" applyProtection="1">
      <alignment horizontal="center" vertical="center" wrapText="1"/>
    </xf>
    <xf numFmtId="41" fontId="0" fillId="74" borderId="0" xfId="439" applyNumberFormat="1" applyFont="1" applyFill="1" applyAlignment="1" applyProtection="1">
      <alignment vertical="center" wrapText="1"/>
      <protection locked="0"/>
    </xf>
    <xf numFmtId="41" fontId="0" fillId="74" borderId="0" xfId="439" applyNumberFormat="1" applyFont="1" applyFill="1" applyAlignment="1" applyProtection="1">
      <alignment vertical="center" wrapText="1"/>
    </xf>
    <xf numFmtId="0" fontId="0" fillId="74" borderId="0" xfId="0" applyFont="1" applyFill="1" applyAlignment="1" applyProtection="1">
      <alignment wrapText="1"/>
      <protection locked="0"/>
    </xf>
    <xf numFmtId="0" fontId="156" fillId="74" borderId="0" xfId="0" applyFont="1" applyFill="1" applyAlignment="1" applyProtection="1">
      <alignment horizontal="left" vertical="center"/>
    </xf>
    <xf numFmtId="0" fontId="80" fillId="74" borderId="0" xfId="0" applyFont="1" applyFill="1" applyAlignment="1" applyProtection="1">
      <alignment vertical="center"/>
    </xf>
    <xf numFmtId="0" fontId="157" fillId="74" borderId="0" xfId="0" applyFont="1" applyFill="1" applyAlignment="1" applyProtection="1">
      <alignment vertical="center"/>
      <protection locked="0"/>
    </xf>
    <xf numFmtId="0" fontId="57" fillId="74" borderId="0" xfId="0" applyFont="1" applyFill="1" applyAlignment="1">
      <alignment vertical="center" wrapText="1"/>
    </xf>
    <xf numFmtId="41" fontId="158" fillId="0" borderId="0" xfId="0" applyNumberFormat="1" applyFont="1" applyFill="1" applyAlignment="1" applyProtection="1">
      <alignment wrapText="1"/>
    </xf>
    <xf numFmtId="0" fontId="57" fillId="74" borderId="0" xfId="0" applyFont="1" applyFill="1" applyAlignment="1" applyProtection="1">
      <alignment vertical="center"/>
    </xf>
    <xf numFmtId="38" fontId="44" fillId="22" borderId="0" xfId="439" applyNumberFormat="1" applyFont="1" applyFill="1" applyAlignment="1" applyProtection="1">
      <alignment horizontal="center" vertical="center" wrapText="1"/>
    </xf>
    <xf numFmtId="166" fontId="0" fillId="21" borderId="16" xfId="0" applyNumberFormat="1" applyFont="1" applyFill="1" applyBorder="1" applyProtection="1"/>
    <xf numFmtId="0" fontId="0" fillId="0" borderId="0" xfId="0" applyAlignment="1">
      <alignment wrapText="1"/>
    </xf>
    <xf numFmtId="0" fontId="0" fillId="0" borderId="0" xfId="0" applyAlignment="1">
      <alignment horizontal="left"/>
    </xf>
    <xf numFmtId="37" fontId="0" fillId="0" borderId="0" xfId="0" applyNumberFormat="1"/>
    <xf numFmtId="2" fontId="0" fillId="0" borderId="0" xfId="0" applyNumberFormat="1"/>
    <xf numFmtId="164" fontId="44" fillId="22" borderId="0" xfId="439" applyNumberFormat="1" applyFont="1" applyFill="1" applyAlignment="1" applyProtection="1">
      <alignment horizontal="center" vertical="center" wrapText="1"/>
    </xf>
    <xf numFmtId="173" fontId="44" fillId="22" borderId="0" xfId="439" applyNumberFormat="1" applyFont="1" applyFill="1" applyAlignment="1" applyProtection="1">
      <alignment horizontal="center" vertical="center" wrapText="1"/>
    </xf>
    <xf numFmtId="41" fontId="69" fillId="0" borderId="0" xfId="439" applyNumberFormat="1" applyFont="1" applyFill="1" applyAlignment="1" applyProtection="1">
      <alignment horizontal="center" vertical="center" wrapText="1"/>
      <protection locked="0"/>
    </xf>
    <xf numFmtId="0" fontId="163" fillId="77" borderId="57" xfId="0" applyFont="1" applyFill="1" applyBorder="1" applyAlignment="1">
      <alignment horizontal="center" vertical="center" wrapText="1"/>
    </xf>
    <xf numFmtId="0" fontId="160" fillId="0" borderId="0" xfId="0" applyFont="1"/>
    <xf numFmtId="0" fontId="164" fillId="73" borderId="0" xfId="0" applyFont="1" applyFill="1" applyAlignment="1">
      <alignment horizontal="justify" vertical="center"/>
    </xf>
    <xf numFmtId="0" fontId="164" fillId="73" borderId="0" xfId="0" applyFont="1" applyFill="1" applyAlignment="1">
      <alignment vertical="center"/>
    </xf>
    <xf numFmtId="0" fontId="0" fillId="0" borderId="0" xfId="0" applyAlignment="1">
      <alignment vertical="center"/>
    </xf>
    <xf numFmtId="0" fontId="164" fillId="73" borderId="0" xfId="0" applyFont="1" applyFill="1" applyAlignment="1">
      <alignment vertical="center" wrapText="1"/>
    </xf>
    <xf numFmtId="0" fontId="168" fillId="73" borderId="0" xfId="611" applyFont="1" applyFill="1" applyAlignment="1">
      <alignment vertical="center"/>
    </xf>
    <xf numFmtId="0" fontId="169" fillId="73" borderId="0" xfId="0" applyFont="1" applyFill="1" applyAlignment="1">
      <alignment vertical="center"/>
    </xf>
    <xf numFmtId="0" fontId="170" fillId="73" borderId="0" xfId="611" applyFont="1" applyFill="1" applyAlignment="1" applyProtection="1">
      <alignment vertical="center"/>
      <protection locked="0"/>
    </xf>
    <xf numFmtId="0" fontId="169" fillId="73" borderId="0" xfId="0" applyFont="1" applyFill="1"/>
    <xf numFmtId="0" fontId="170" fillId="73" borderId="0" xfId="611" applyFont="1" applyFill="1" applyProtection="1">
      <protection locked="0"/>
    </xf>
    <xf numFmtId="0" fontId="116" fillId="73" borderId="0" xfId="30098" quotePrefix="1" applyFont="1" applyFill="1" applyAlignment="1">
      <alignment horizontal="left" vertical="center" wrapText="1" indent="1"/>
    </xf>
    <xf numFmtId="0" fontId="173" fillId="73" borderId="0" xfId="30098" applyFont="1" applyFill="1" applyAlignment="1">
      <alignment vertical="center" wrapText="1"/>
    </xf>
    <xf numFmtId="0" fontId="35" fillId="0" borderId="0" xfId="611"/>
    <xf numFmtId="0" fontId="164" fillId="73" borderId="0" xfId="30098" applyFont="1" applyFill="1" applyAlignment="1">
      <alignment vertical="center" wrapText="1"/>
    </xf>
    <xf numFmtId="0" fontId="170" fillId="73" borderId="0" xfId="611" applyFont="1" applyFill="1" applyAlignment="1">
      <alignment vertical="center"/>
    </xf>
    <xf numFmtId="38" fontId="0" fillId="0" borderId="0" xfId="0" applyNumberFormat="1" applyFont="1" applyFill="1" applyProtection="1"/>
    <xf numFmtId="0" fontId="0" fillId="81" borderId="25" xfId="0" applyNumberFormat="1" applyFont="1" applyFill="1" applyBorder="1" applyAlignment="1" applyProtection="1">
      <alignment horizontal="left" vertical="center" wrapText="1"/>
    </xf>
    <xf numFmtId="3" fontId="0" fillId="34" borderId="0" xfId="0" applyNumberFormat="1" applyFont="1" applyFill="1" applyProtection="1"/>
    <xf numFmtId="1" fontId="0" fillId="0" borderId="0" xfId="0" applyNumberFormat="1" applyFont="1" applyFill="1" applyAlignment="1" applyProtection="1">
      <alignment horizontal="center" vertical="center"/>
    </xf>
    <xf numFmtId="0" fontId="51" fillId="0" borderId="0" xfId="0" applyFont="1" applyAlignment="1">
      <alignment horizontal="center"/>
    </xf>
    <xf numFmtId="0" fontId="0" fillId="20" borderId="0" xfId="0" applyFill="1"/>
    <xf numFmtId="0" fontId="0" fillId="29" borderId="0" xfId="0" applyFill="1" applyAlignment="1">
      <alignment horizontal="center"/>
    </xf>
    <xf numFmtId="0" fontId="0" fillId="29" borderId="0" xfId="0" applyFill="1"/>
    <xf numFmtId="0" fontId="0" fillId="20" borderId="0" xfId="0" applyFill="1" applyAlignment="1">
      <alignment horizontal="center"/>
    </xf>
    <xf numFmtId="0" fontId="0" fillId="32" borderId="0" xfId="0" applyFill="1" applyAlignment="1">
      <alignment horizontal="center"/>
    </xf>
    <xf numFmtId="0" fontId="0" fillId="32" borderId="0" xfId="0" applyFill="1"/>
    <xf numFmtId="0" fontId="0" fillId="0" borderId="0" xfId="0" applyFill="1" applyAlignment="1">
      <alignment horizontal="center"/>
    </xf>
    <xf numFmtId="0" fontId="0" fillId="0" borderId="0" xfId="0" applyFill="1"/>
    <xf numFmtId="0" fontId="0" fillId="82" borderId="0" xfId="0" applyFill="1" applyAlignment="1">
      <alignment horizontal="center"/>
    </xf>
    <xf numFmtId="0" fontId="0" fillId="82" borderId="0" xfId="0" applyFill="1"/>
    <xf numFmtId="0" fontId="0" fillId="82" borderId="0" xfId="0" applyNumberFormat="1" applyFont="1" applyFill="1" applyAlignment="1" applyProtection="1">
      <alignment horizontal="center" vertical="center"/>
    </xf>
    <xf numFmtId="0" fontId="0" fillId="82" borderId="45" xfId="0" applyNumberFormat="1" applyFont="1" applyFill="1" applyBorder="1" applyAlignment="1" applyProtection="1">
      <alignment horizontal="center" vertical="center" wrapText="1"/>
    </xf>
    <xf numFmtId="0" fontId="0" fillId="26" borderId="0" xfId="0" applyFill="1" applyAlignment="1">
      <alignment horizontal="center"/>
    </xf>
    <xf numFmtId="0" fontId="0" fillId="26" borderId="0" xfId="0" applyFill="1"/>
    <xf numFmtId="0" fontId="0" fillId="82" borderId="0" xfId="0" applyFill="1" applyBorder="1"/>
    <xf numFmtId="0" fontId="0" fillId="36" borderId="0" xfId="0" applyFill="1" applyAlignment="1">
      <alignment horizontal="center"/>
    </xf>
    <xf numFmtId="0" fontId="0" fillId="36" borderId="0" xfId="0" applyFill="1"/>
    <xf numFmtId="0" fontId="0" fillId="83" borderId="0" xfId="0" applyFill="1"/>
    <xf numFmtId="38" fontId="44" fillId="22" borderId="45" xfId="439" applyNumberFormat="1" applyFont="1" applyFill="1" applyBorder="1" applyAlignment="1" applyProtection="1">
      <alignment horizontal="center" vertical="center" wrapText="1"/>
    </xf>
    <xf numFmtId="4" fontId="0" fillId="0" borderId="0" xfId="0" applyNumberFormat="1"/>
    <xf numFmtId="182" fontId="0" fillId="0" borderId="0" xfId="439" applyNumberFormat="1" applyFont="1" applyProtection="1"/>
    <xf numFmtId="43" fontId="0" fillId="0" borderId="0" xfId="0" applyNumberFormat="1" applyFont="1" applyProtection="1"/>
    <xf numFmtId="4" fontId="0" fillId="0" borderId="0" xfId="0" applyNumberFormat="1" applyFont="1" applyProtection="1"/>
    <xf numFmtId="0" fontId="0" fillId="29" borderId="0" xfId="0" applyFill="1" applyAlignment="1">
      <alignment wrapText="1"/>
    </xf>
    <xf numFmtId="183" fontId="41" fillId="31" borderId="66" xfId="0" applyNumberFormat="1" applyFont="1" applyFill="1" applyBorder="1" applyAlignment="1">
      <alignment wrapText="1"/>
    </xf>
    <xf numFmtId="183" fontId="56" fillId="0" borderId="28" xfId="439" applyNumberFormat="1" applyFont="1" applyFill="1" applyBorder="1" applyAlignment="1" applyProtection="1">
      <alignment horizontal="center" vertical="center" wrapText="1"/>
    </xf>
    <xf numFmtId="181" fontId="0" fillId="0" borderId="0" xfId="0" applyNumberFormat="1"/>
    <xf numFmtId="0" fontId="44" fillId="0" borderId="0" xfId="26000" applyFont="1" applyAlignment="1">
      <alignment horizontal="center"/>
    </xf>
    <xf numFmtId="0" fontId="44" fillId="0" borderId="0" xfId="26000" applyFont="1"/>
    <xf numFmtId="0" fontId="33" fillId="0" borderId="0" xfId="0" applyFont="1"/>
    <xf numFmtId="0" fontId="57" fillId="80" borderId="0" xfId="26000" applyFont="1" applyFill="1"/>
    <xf numFmtId="0" fontId="44" fillId="80" borderId="0" xfId="26000" applyFont="1" applyFill="1"/>
    <xf numFmtId="0" fontId="57" fillId="0" borderId="0" xfId="26000" applyFont="1"/>
    <xf numFmtId="0" fontId="131" fillId="0" borderId="57" xfId="26000" applyFont="1" applyBorder="1"/>
    <xf numFmtId="9" fontId="57" fillId="0" borderId="0" xfId="26000" applyNumberFormat="1" applyFont="1" applyAlignment="1">
      <alignment horizontal="center"/>
    </xf>
    <xf numFmtId="38" fontId="44" fillId="79" borderId="0" xfId="26000" applyNumberFormat="1" applyFont="1" applyFill="1"/>
    <xf numFmtId="38" fontId="44" fillId="0" borderId="0" xfId="26000" applyNumberFormat="1" applyFont="1"/>
    <xf numFmtId="0" fontId="44" fillId="0" borderId="0" xfId="26000" applyFont="1" applyAlignment="1">
      <alignment wrapText="1"/>
    </xf>
    <xf numFmtId="0" fontId="57" fillId="0" borderId="0" xfId="26000" applyFont="1" applyAlignment="1">
      <alignment wrapText="1"/>
    </xf>
    <xf numFmtId="0" fontId="132" fillId="0" borderId="0" xfId="26000" applyFont="1" applyAlignment="1">
      <alignment wrapText="1"/>
    </xf>
    <xf numFmtId="164" fontId="44" fillId="0" borderId="0" xfId="26000" applyNumberFormat="1" applyFont="1"/>
    <xf numFmtId="0" fontId="57" fillId="0" borderId="0" xfId="26000" applyFont="1" applyAlignment="1">
      <alignment horizontal="center"/>
    </xf>
    <xf numFmtId="0" fontId="132" fillId="0" borderId="0" xfId="26000" applyFont="1"/>
    <xf numFmtId="0" fontId="44" fillId="0" borderId="0" xfId="26000" applyFont="1" applyAlignment="1">
      <alignment vertical="top"/>
    </xf>
    <xf numFmtId="0" fontId="132" fillId="0" borderId="0" xfId="26000" applyFont="1" applyAlignment="1">
      <alignment vertical="top" wrapText="1"/>
    </xf>
    <xf numFmtId="37" fontId="44" fillId="0" borderId="57" xfId="29549" applyNumberFormat="1" applyFont="1" applyBorder="1" applyProtection="1"/>
    <xf numFmtId="37" fontId="44" fillId="0" borderId="57" xfId="29549" applyNumberFormat="1" applyFont="1" applyFill="1" applyBorder="1" applyProtection="1"/>
    <xf numFmtId="37" fontId="44" fillId="0" borderId="0" xfId="26000" applyNumberFormat="1" applyFont="1"/>
    <xf numFmtId="37" fontId="57" fillId="0" borderId="57" xfId="26000" applyNumberFormat="1" applyFont="1" applyBorder="1"/>
    <xf numFmtId="37" fontId="57" fillId="0" borderId="68" xfId="29549" applyNumberFormat="1" applyFont="1" applyBorder="1" applyProtection="1"/>
    <xf numFmtId="37" fontId="57" fillId="0" borderId="67" xfId="29549" applyNumberFormat="1" applyFont="1" applyBorder="1" applyProtection="1"/>
    <xf numFmtId="0" fontId="39" fillId="0" borderId="0" xfId="682" applyFont="1" applyAlignment="1">
      <alignment wrapText="1"/>
    </xf>
    <xf numFmtId="0" fontId="133" fillId="0" borderId="0" xfId="682" applyFont="1"/>
    <xf numFmtId="0" fontId="39" fillId="0" borderId="0" xfId="682" applyFont="1" applyAlignment="1">
      <alignment horizontal="left"/>
    </xf>
    <xf numFmtId="0" fontId="33" fillId="0" borderId="0" xfId="682" applyFont="1"/>
    <xf numFmtId="42" fontId="39" fillId="0" borderId="0" xfId="546" applyNumberFormat="1" applyFont="1" applyFill="1" applyBorder="1"/>
    <xf numFmtId="0" fontId="138" fillId="0" borderId="0" xfId="682" applyFont="1" applyAlignment="1">
      <alignment horizontal="left" vertical="center" wrapText="1"/>
    </xf>
    <xf numFmtId="10" fontId="39" fillId="0" borderId="19" xfId="682" applyNumberFormat="1" applyFont="1" applyBorder="1" applyAlignment="1">
      <alignment horizontal="right" vertical="center"/>
    </xf>
    <xf numFmtId="0" fontId="44" fillId="0" borderId="0" xfId="0" applyFont="1"/>
    <xf numFmtId="0" fontId="44" fillId="0" borderId="0" xfId="0" applyFont="1" applyAlignment="1">
      <alignment horizontal="center"/>
    </xf>
    <xf numFmtId="0" fontId="44" fillId="34" borderId="0" xfId="0" applyFont="1" applyFill="1"/>
    <xf numFmtId="0" fontId="44" fillId="29" borderId="0" xfId="0" applyFont="1" applyFill="1"/>
    <xf numFmtId="0" fontId="44" fillId="29" borderId="0" xfId="0" applyFont="1" applyFill="1" applyAlignment="1">
      <alignment wrapText="1"/>
    </xf>
    <xf numFmtId="0" fontId="44" fillId="0" borderId="77" xfId="0" applyFont="1" applyBorder="1"/>
    <xf numFmtId="0" fontId="44" fillId="0" borderId="100" xfId="0" applyFont="1" applyBorder="1"/>
    <xf numFmtId="0" fontId="44" fillId="0" borderId="12" xfId="0" applyFont="1" applyBorder="1"/>
    <xf numFmtId="0" fontId="44" fillId="0" borderId="0" xfId="0" quotePrefix="1" applyFont="1"/>
    <xf numFmtId="0" fontId="44" fillId="0" borderId="0" xfId="0" applyFont="1" applyFill="1"/>
    <xf numFmtId="0" fontId="0" fillId="0" borderId="0" xfId="0" applyFill="1" applyAlignment="1">
      <alignment horizontal="left" vertical="center"/>
    </xf>
    <xf numFmtId="0" fontId="0" fillId="0" borderId="0" xfId="0" applyFill="1" applyAlignment="1">
      <alignment wrapText="1"/>
    </xf>
    <xf numFmtId="0" fontId="39" fillId="0" borderId="13" xfId="0" applyFont="1" applyFill="1" applyBorder="1" applyAlignment="1">
      <alignment horizontal="left" vertical="center"/>
    </xf>
    <xf numFmtId="0" fontId="0" fillId="0" borderId="16" xfId="0" applyFill="1" applyBorder="1"/>
    <xf numFmtId="0" fontId="0" fillId="34" borderId="10" xfId="0" applyFill="1" applyBorder="1" applyAlignment="1">
      <alignment vertical="center" wrapText="1"/>
    </xf>
    <xf numFmtId="0" fontId="0" fillId="34" borderId="0" xfId="0" applyNumberFormat="1" applyFont="1" applyFill="1" applyAlignment="1" applyProtection="1">
      <alignment horizontal="center" vertical="center"/>
    </xf>
    <xf numFmtId="0" fontId="0" fillId="34" borderId="0" xfId="0" applyFill="1" applyAlignment="1">
      <alignment vertical="center" wrapText="1"/>
    </xf>
    <xf numFmtId="38" fontId="44" fillId="34" borderId="0" xfId="439" applyNumberFormat="1" applyFont="1" applyFill="1" applyAlignment="1" applyProtection="1">
      <alignment horizontal="center" vertical="center" wrapText="1"/>
    </xf>
    <xf numFmtId="0" fontId="0" fillId="0" borderId="16" xfId="0" applyFill="1" applyBorder="1" applyAlignment="1">
      <alignment wrapText="1"/>
    </xf>
    <xf numFmtId="0" fontId="0" fillId="0" borderId="0" xfId="0" applyFill="1" applyBorder="1"/>
    <xf numFmtId="0" fontId="0" fillId="0" borderId="0" xfId="0" applyBorder="1"/>
    <xf numFmtId="0" fontId="0" fillId="0" borderId="0" xfId="0" applyBorder="1" applyAlignment="1">
      <alignment vertical="center"/>
    </xf>
    <xf numFmtId="14" fontId="0" fillId="36" borderId="0" xfId="0" applyNumberFormat="1" applyFont="1" applyFill="1" applyAlignment="1" applyProtection="1">
      <alignment horizontal="center"/>
    </xf>
    <xf numFmtId="37" fontId="44" fillId="0" borderId="57" xfId="29549" applyNumberFormat="1" applyFont="1" applyFill="1" applyBorder="1" applyAlignment="1" applyProtection="1">
      <alignment horizontal="center"/>
    </xf>
    <xf numFmtId="38" fontId="44" fillId="0" borderId="0" xfId="26000" applyNumberFormat="1" applyFont="1" applyAlignment="1"/>
    <xf numFmtId="0" fontId="33" fillId="0" borderId="0" xfId="29549" applyNumberFormat="1" applyFont="1" applyFill="1" applyBorder="1" applyProtection="1"/>
    <xf numFmtId="0" fontId="6" fillId="79" borderId="0" xfId="26000" applyFont="1" applyFill="1"/>
    <xf numFmtId="0" fontId="6" fillId="35" borderId="0" xfId="26000" applyFont="1" applyFill="1"/>
    <xf numFmtId="0" fontId="6" fillId="0" borderId="0" xfId="26000" applyFont="1" applyFill="1"/>
    <xf numFmtId="37" fontId="44" fillId="35" borderId="57" xfId="29549" applyNumberFormat="1" applyFont="1" applyFill="1" applyBorder="1" applyAlignment="1" applyProtection="1">
      <alignment horizontal="center"/>
    </xf>
    <xf numFmtId="37" fontId="44" fillId="35" borderId="57" xfId="29549" applyNumberFormat="1" applyFont="1" applyFill="1" applyBorder="1" applyProtection="1"/>
    <xf numFmtId="0" fontId="44" fillId="0" borderId="0" xfId="26000" applyFont="1" applyFill="1"/>
    <xf numFmtId="0" fontId="44" fillId="0" borderId="45" xfId="0" applyNumberFormat="1" applyFont="1" applyFill="1" applyBorder="1" applyAlignment="1" applyProtection="1">
      <alignment horizontal="left" vertical="center" wrapText="1"/>
    </xf>
    <xf numFmtId="0" fontId="0" fillId="0" borderId="0" xfId="0" quotePrefix="1" applyFont="1" applyAlignment="1" applyProtection="1">
      <alignment vertical="center" wrapText="1"/>
    </xf>
    <xf numFmtId="0" fontId="39" fillId="32" borderId="45" xfId="0" applyNumberFormat="1" applyFont="1" applyFill="1" applyBorder="1" applyAlignment="1" applyProtection="1">
      <alignment horizontal="center" vertical="center"/>
    </xf>
    <xf numFmtId="0" fontId="0" fillId="32" borderId="45" xfId="0" applyFont="1" applyFill="1" applyBorder="1" applyAlignment="1" applyProtection="1">
      <alignment vertical="center" wrapText="1"/>
    </xf>
    <xf numFmtId="37" fontId="0" fillId="32" borderId="45" xfId="439" applyNumberFormat="1" applyFont="1" applyFill="1" applyBorder="1" applyAlignment="1" applyProtection="1">
      <alignment vertical="center"/>
    </xf>
    <xf numFmtId="0" fontId="0" fillId="36" borderId="0" xfId="0" applyFont="1" applyFill="1" applyAlignment="1" applyProtection="1">
      <alignment horizontal="center" vertical="center"/>
    </xf>
    <xf numFmtId="41" fontId="69" fillId="31" borderId="81" xfId="439" applyNumberFormat="1" applyFont="1" applyFill="1" applyBorder="1" applyAlignment="1">
      <alignment vertical="center" wrapText="1"/>
    </xf>
    <xf numFmtId="41" fontId="69" fillId="31" borderId="0" xfId="439" applyNumberFormat="1" applyFont="1" applyFill="1" applyAlignment="1">
      <alignment vertical="center" wrapText="1"/>
    </xf>
    <xf numFmtId="41" fontId="69" fillId="31" borderId="93" xfId="439" applyNumberFormat="1" applyFont="1" applyFill="1" applyBorder="1" applyAlignment="1">
      <alignment vertical="center" wrapText="1"/>
    </xf>
    <xf numFmtId="41" fontId="69" fillId="31" borderId="82" xfId="439" applyNumberFormat="1" applyFont="1" applyFill="1" applyBorder="1" applyAlignment="1">
      <alignment vertical="center" wrapText="1"/>
    </xf>
    <xf numFmtId="0" fontId="0" fillId="34" borderId="0" xfId="0" applyNumberFormat="1" applyFont="1" applyFill="1" applyAlignment="1" applyProtection="1">
      <alignment vertical="center" wrapText="1"/>
    </xf>
    <xf numFmtId="14" fontId="56" fillId="36" borderId="23" xfId="439" applyNumberFormat="1" applyFont="1" applyFill="1" applyBorder="1" applyAlignment="1" applyProtection="1">
      <alignment horizontal="center" vertical="center" wrapText="1"/>
    </xf>
    <xf numFmtId="164" fontId="44" fillId="0" borderId="16" xfId="26000" applyNumberFormat="1" applyFont="1" applyBorder="1"/>
    <xf numFmtId="0" fontId="0" fillId="0" borderId="10" xfId="0" applyFill="1" applyBorder="1" applyAlignment="1">
      <alignment horizontal="center" vertical="center"/>
    </xf>
    <xf numFmtId="0" fontId="0" fillId="0" borderId="10" xfId="0" applyFill="1" applyBorder="1" applyAlignment="1">
      <alignment vertical="center" wrapText="1"/>
    </xf>
    <xf numFmtId="0" fontId="0" fillId="0" borderId="10" xfId="0" applyFill="1" applyBorder="1" applyAlignment="1">
      <alignment wrapText="1"/>
    </xf>
    <xf numFmtId="49" fontId="0" fillId="78" borderId="0" xfId="0" applyNumberFormat="1" applyFont="1" applyFill="1" applyBorder="1" applyAlignment="1">
      <alignment horizontal="center" vertical="center" wrapText="1"/>
    </xf>
    <xf numFmtId="49" fontId="39" fillId="29" borderId="0" xfId="439" applyNumberFormat="1" applyFont="1" applyFill="1" applyAlignment="1" applyProtection="1">
      <alignment horizontal="center" vertical="center" wrapText="1"/>
      <protection locked="0"/>
    </xf>
    <xf numFmtId="173" fontId="44" fillId="0" borderId="0" xfId="439" applyNumberFormat="1" applyFont="1" applyFill="1" applyAlignment="1" applyProtection="1">
      <alignment horizontal="center" vertical="center" wrapText="1"/>
    </xf>
    <xf numFmtId="0" fontId="0" fillId="0" borderId="76" xfId="0" applyFill="1" applyBorder="1" applyAlignment="1">
      <alignment vertical="center"/>
    </xf>
    <xf numFmtId="49" fontId="0" fillId="0" borderId="0" xfId="0" applyNumberFormat="1" applyAlignment="1">
      <alignment wrapText="1"/>
    </xf>
    <xf numFmtId="49" fontId="0" fillId="78" borderId="64" xfId="439" applyNumberFormat="1" applyFont="1" applyFill="1" applyBorder="1" applyAlignment="1" applyProtection="1">
      <alignment horizontal="center" vertical="center" wrapText="1"/>
    </xf>
    <xf numFmtId="0" fontId="0" fillId="22" borderId="102" xfId="0" applyFont="1" applyFill="1" applyBorder="1" applyAlignment="1" applyProtection="1">
      <alignment vertical="center"/>
    </xf>
    <xf numFmtId="39" fontId="56" fillId="0" borderId="103" xfId="439" applyNumberFormat="1" applyFont="1" applyFill="1" applyBorder="1" applyAlignment="1" applyProtection="1">
      <alignment horizontal="center" vertical="center" wrapText="1"/>
    </xf>
    <xf numFmtId="164" fontId="56" fillId="0" borderId="103" xfId="439" applyNumberFormat="1" applyFont="1" applyFill="1" applyBorder="1" applyAlignment="1" applyProtection="1">
      <alignment horizontal="center" vertical="center" wrapText="1"/>
    </xf>
    <xf numFmtId="3" fontId="56" fillId="0" borderId="101" xfId="439" applyNumberFormat="1" applyFont="1" applyFill="1" applyBorder="1" applyAlignment="1" applyProtection="1">
      <alignment horizontal="center" vertical="center" wrapText="1"/>
    </xf>
    <xf numFmtId="3" fontId="56" fillId="0" borderId="28" xfId="439" applyNumberFormat="1" applyFont="1" applyFill="1" applyBorder="1" applyAlignment="1" applyProtection="1">
      <alignment horizontal="center" vertical="center" wrapText="1"/>
    </xf>
    <xf numFmtId="0" fontId="185" fillId="73" borderId="0" xfId="30098" applyFont="1" applyFill="1" applyAlignment="1">
      <alignment vertical="center" wrapText="1"/>
    </xf>
    <xf numFmtId="173" fontId="44" fillId="35" borderId="0" xfId="26000" applyNumberFormat="1" applyFont="1" applyFill="1"/>
    <xf numFmtId="0" fontId="39" fillId="26" borderId="0" xfId="0" applyFont="1" applyFill="1" applyAlignment="1">
      <alignment horizontal="center" vertical="center"/>
    </xf>
    <xf numFmtId="185" fontId="52" fillId="0" borderId="0" xfId="682" applyNumberFormat="1" applyFont="1"/>
    <xf numFmtId="0" fontId="52" fillId="0" borderId="0" xfId="0" applyFont="1" applyAlignment="1">
      <alignment horizontal="center"/>
    </xf>
    <xf numFmtId="0" fontId="52" fillId="0" borderId="0" xfId="0" applyFont="1"/>
    <xf numFmtId="0" fontId="52" fillId="0" borderId="0" xfId="0" quotePrefix="1" applyFont="1"/>
    <xf numFmtId="0" fontId="0" fillId="0" borderId="0" xfId="0" quotePrefix="1"/>
    <xf numFmtId="164" fontId="0" fillId="0" borderId="0" xfId="0" applyNumberFormat="1"/>
    <xf numFmtId="0" fontId="138" fillId="27" borderId="0" xfId="682" applyFont="1" applyFill="1" applyAlignment="1">
      <alignment vertical="center" wrapText="1"/>
    </xf>
    <xf numFmtId="0" fontId="0" fillId="0" borderId="0" xfId="0" quotePrefix="1" applyAlignment="1">
      <alignment horizontal="center"/>
    </xf>
    <xf numFmtId="185" fontId="49" fillId="0" borderId="0" xfId="682" applyNumberFormat="1" applyFont="1"/>
    <xf numFmtId="0" fontId="39" fillId="26" borderId="17" xfId="0" applyFont="1" applyFill="1" applyBorder="1" applyAlignment="1">
      <alignment horizontal="center" vertical="center"/>
    </xf>
    <xf numFmtId="3" fontId="52" fillId="0" borderId="0" xfId="0" applyNumberFormat="1" applyFont="1"/>
    <xf numFmtId="185" fontId="52" fillId="0" borderId="0" xfId="682" applyNumberFormat="1" applyFont="1" applyAlignment="1">
      <alignment horizontal="left"/>
    </xf>
    <xf numFmtId="185" fontId="39" fillId="0" borderId="0" xfId="682" applyNumberFormat="1" applyFont="1" applyAlignment="1">
      <alignment horizontal="left"/>
    </xf>
    <xf numFmtId="42" fontId="0" fillId="0" borderId="0" xfId="0" applyNumberFormat="1"/>
    <xf numFmtId="185" fontId="49" fillId="0" borderId="0" xfId="682" applyNumberFormat="1" applyFont="1" applyAlignment="1">
      <alignment horizontal="left"/>
    </xf>
    <xf numFmtId="10" fontId="39" fillId="0" borderId="0" xfId="682" applyNumberFormat="1" applyFont="1" applyAlignment="1">
      <alignment horizontal="right" vertical="center"/>
    </xf>
    <xf numFmtId="0" fontId="52" fillId="0" borderId="0" xfId="682" applyFont="1" applyAlignment="1">
      <alignment horizontal="left"/>
    </xf>
    <xf numFmtId="185" fontId="49" fillId="78" borderId="0" xfId="682" applyNumberFormat="1" applyFont="1" applyFill="1" applyAlignment="1">
      <alignment horizontal="left"/>
    </xf>
    <xf numFmtId="185" fontId="52" fillId="78" borderId="0" xfId="682" applyNumberFormat="1" applyFont="1" applyFill="1" applyAlignment="1">
      <alignment horizontal="left"/>
    </xf>
    <xf numFmtId="0" fontId="0" fillId="78" borderId="0" xfId="0" applyFill="1" applyAlignment="1">
      <alignment horizontal="center"/>
    </xf>
    <xf numFmtId="0" fontId="0" fillId="78" borderId="0" xfId="0" applyFill="1" applyAlignment="1">
      <alignment wrapText="1"/>
    </xf>
    <xf numFmtId="0" fontId="0" fillId="0" borderId="0" xfId="0" quotePrefix="1" applyAlignment="1">
      <alignment wrapText="1"/>
    </xf>
    <xf numFmtId="0" fontId="0" fillId="0" borderId="0" xfId="0" applyAlignment="1">
      <alignment horizontal="left" wrapText="1"/>
    </xf>
    <xf numFmtId="0" fontId="40" fillId="26" borderId="0" xfId="0" applyFont="1" applyFill="1"/>
    <xf numFmtId="0" fontId="49" fillId="26" borderId="17" xfId="682" applyFont="1" applyFill="1" applyBorder="1" applyAlignment="1">
      <alignment horizontal="center"/>
    </xf>
    <xf numFmtId="0" fontId="186" fillId="0" borderId="0" xfId="682" applyFont="1" applyAlignment="1">
      <alignment vertical="center"/>
    </xf>
    <xf numFmtId="0" fontId="0" fillId="78" borderId="0" xfId="0" applyNumberFormat="1" applyFont="1" applyFill="1" applyBorder="1" applyAlignment="1" applyProtection="1">
      <alignment horizontal="left" vertical="center" wrapText="1"/>
    </xf>
    <xf numFmtId="42" fontId="136" fillId="26" borderId="0" xfId="546" applyNumberFormat="1" applyFont="1" applyFill="1"/>
    <xf numFmtId="41" fontId="136" fillId="26" borderId="0" xfId="546" applyNumberFormat="1" applyFont="1" applyFill="1"/>
    <xf numFmtId="41" fontId="136" fillId="26" borderId="0" xfId="682" applyNumberFormat="1" applyFont="1" applyFill="1"/>
    <xf numFmtId="41" fontId="52" fillId="26" borderId="0" xfId="682" applyNumberFormat="1" applyFont="1" applyFill="1"/>
    <xf numFmtId="41" fontId="52" fillId="26" borderId="17" xfId="449" applyNumberFormat="1" applyFont="1" applyFill="1" applyBorder="1"/>
    <xf numFmtId="42" fontId="52" fillId="26" borderId="0" xfId="31723" applyNumberFormat="1" applyFont="1" applyFill="1"/>
    <xf numFmtId="41" fontId="136" fillId="26" borderId="0" xfId="0" applyNumberFormat="1" applyFont="1" applyFill="1"/>
    <xf numFmtId="0" fontId="40" fillId="34" borderId="0" xfId="682" applyFont="1" applyFill="1" applyAlignment="1"/>
    <xf numFmtId="42" fontId="39" fillId="34" borderId="18" xfId="546" applyNumberFormat="1" applyFont="1" applyFill="1" applyBorder="1"/>
    <xf numFmtId="42" fontId="49" fillId="34" borderId="19" xfId="546" applyNumberFormat="1" applyFont="1" applyFill="1" applyBorder="1"/>
    <xf numFmtId="0" fontId="0" fillId="26" borderId="17" xfId="0" applyFill="1" applyBorder="1" applyAlignment="1">
      <alignment horizontal="center" wrapText="1"/>
    </xf>
    <xf numFmtId="0" fontId="0" fillId="26" borderId="17" xfId="0" applyFill="1" applyBorder="1" applyAlignment="1">
      <alignment wrapText="1"/>
    </xf>
    <xf numFmtId="0" fontId="0" fillId="0" borderId="0" xfId="0" applyAlignment="1">
      <alignment horizontal="center" vertical="center"/>
    </xf>
    <xf numFmtId="169" fontId="39" fillId="29" borderId="0" xfId="439" applyNumberFormat="1" applyFont="1" applyFill="1" applyAlignment="1" applyProtection="1">
      <alignment horizontal="center" vertical="center"/>
      <protection locked="0"/>
    </xf>
    <xf numFmtId="0" fontId="39" fillId="74" borderId="0" xfId="0" applyFont="1" applyFill="1" applyAlignment="1" applyProtection="1">
      <alignment horizontal="center" vertical="center"/>
    </xf>
    <xf numFmtId="0" fontId="0" fillId="0" borderId="0" xfId="0" applyNumberFormat="1" applyFont="1" applyFill="1" applyAlignment="1" applyProtection="1">
      <alignment horizontal="center" vertical="center" wrapText="1"/>
    </xf>
    <xf numFmtId="0" fontId="57" fillId="0" borderId="0" xfId="0" applyFont="1" applyFill="1" applyAlignment="1" applyProtection="1">
      <alignment horizontal="center" vertical="center" wrapText="1"/>
    </xf>
    <xf numFmtId="0" fontId="0" fillId="0" borderId="0" xfId="0" applyFont="1" applyFill="1" applyAlignment="1">
      <alignment horizontal="center" vertical="center"/>
    </xf>
    <xf numFmtId="0" fontId="0" fillId="0" borderId="22" xfId="0" applyFont="1" applyFill="1" applyBorder="1" applyAlignment="1">
      <alignment horizontal="center" vertical="center"/>
    </xf>
    <xf numFmtId="164" fontId="0" fillId="0" borderId="0" xfId="439" applyNumberFormat="1" applyFont="1" applyFill="1" applyAlignment="1" applyProtection="1">
      <alignment horizontal="center" vertical="center"/>
    </xf>
    <xf numFmtId="0" fontId="0" fillId="28" borderId="0" xfId="0" applyFont="1" applyFill="1" applyAlignment="1" applyProtection="1">
      <alignment horizontal="center" vertical="center"/>
    </xf>
    <xf numFmtId="0" fontId="0" fillId="34" borderId="0" xfId="0" applyNumberFormat="1" applyFont="1" applyFill="1" applyAlignment="1" applyProtection="1">
      <alignment horizontal="center" vertical="center" wrapText="1"/>
    </xf>
    <xf numFmtId="0" fontId="155" fillId="74" borderId="0" xfId="0" applyFont="1" applyFill="1" applyAlignment="1" applyProtection="1">
      <alignment horizontal="center" vertical="center"/>
    </xf>
    <xf numFmtId="0" fontId="68" fillId="0" borderId="10" xfId="0" applyFont="1" applyFill="1" applyBorder="1" applyAlignment="1">
      <alignment vertical="center" wrapText="1"/>
    </xf>
    <xf numFmtId="41" fontId="136" fillId="26" borderId="17" xfId="0" applyNumberFormat="1" applyFont="1" applyFill="1" applyBorder="1"/>
    <xf numFmtId="41" fontId="0" fillId="0" borderId="0" xfId="0" applyNumberFormat="1"/>
    <xf numFmtId="1" fontId="40" fillId="24" borderId="0" xfId="439" applyNumberFormat="1" applyFont="1" applyFill="1" applyBorder="1" applyAlignment="1" applyProtection="1">
      <alignment horizontal="center" wrapText="1"/>
    </xf>
    <xf numFmtId="0" fontId="41" fillId="0" borderId="10" xfId="0" applyFont="1" applyBorder="1" applyAlignment="1" applyProtection="1">
      <alignment horizontal="right" vertical="center" wrapText="1"/>
    </xf>
    <xf numFmtId="0" fontId="41" fillId="0" borderId="10" xfId="0" applyFont="1" applyBorder="1" applyAlignment="1" applyProtection="1">
      <alignment horizontal="right" wrapText="1"/>
    </xf>
    <xf numFmtId="4" fontId="0" fillId="0" borderId="10" xfId="0" applyNumberFormat="1" applyBorder="1"/>
    <xf numFmtId="174" fontId="0" fillId="75" borderId="29" xfId="439" applyNumberFormat="1" applyFont="1" applyFill="1" applyBorder="1" applyAlignment="1" applyProtection="1">
      <alignment vertical="center"/>
    </xf>
    <xf numFmtId="174" fontId="0" fillId="75" borderId="28" xfId="439" applyNumberFormat="1" applyFont="1" applyFill="1" applyBorder="1" applyAlignment="1" applyProtection="1">
      <alignment vertical="center"/>
    </xf>
    <xf numFmtId="39" fontId="0" fillId="75" borderId="29" xfId="439" applyNumberFormat="1" applyFont="1" applyFill="1" applyBorder="1" applyAlignment="1" applyProtection="1">
      <alignment vertical="center"/>
    </xf>
    <xf numFmtId="175" fontId="0" fillId="75" borderId="29" xfId="439" applyNumberFormat="1" applyFont="1" applyFill="1" applyBorder="1" applyAlignment="1" applyProtection="1">
      <alignment vertical="center"/>
    </xf>
    <xf numFmtId="39" fontId="0" fillId="75" borderId="28" xfId="439" applyNumberFormat="1" applyFont="1" applyFill="1" applyBorder="1" applyAlignment="1" applyProtection="1">
      <alignment vertical="center"/>
    </xf>
    <xf numFmtId="41" fontId="68" fillId="0" borderId="0" xfId="439" applyNumberFormat="1" applyFont="1" applyFill="1" applyAlignment="1" applyProtection="1">
      <alignment wrapText="1"/>
    </xf>
    <xf numFmtId="41" fontId="69" fillId="0" borderId="45" xfId="0" applyNumberFormat="1" applyFont="1" applyFill="1" applyBorder="1" applyAlignment="1" applyProtection="1">
      <alignment wrapText="1"/>
    </xf>
    <xf numFmtId="41" fontId="69" fillId="0" borderId="45" xfId="0" applyNumberFormat="1" applyFont="1" applyFill="1" applyBorder="1" applyAlignment="1">
      <alignment wrapText="1"/>
    </xf>
    <xf numFmtId="41" fontId="69" fillId="0" borderId="0" xfId="0" applyNumberFormat="1" applyFont="1" applyFill="1" applyAlignment="1">
      <alignment wrapText="1"/>
    </xf>
    <xf numFmtId="41" fontId="0" fillId="26" borderId="0" xfId="682" applyNumberFormat="1" applyFont="1" applyFill="1"/>
    <xf numFmtId="42" fontId="49" fillId="27" borderId="0" xfId="546" applyNumberFormat="1" applyFont="1" applyFill="1"/>
    <xf numFmtId="41" fontId="52" fillId="26" borderId="0" xfId="449" applyNumberFormat="1" applyFont="1" applyFill="1" applyBorder="1"/>
    <xf numFmtId="41" fontId="52" fillId="0" borderId="0" xfId="449" applyNumberFormat="1" applyFont="1"/>
    <xf numFmtId="42" fontId="49" fillId="27" borderId="18" xfId="546" applyNumberFormat="1" applyFont="1" applyFill="1" applyBorder="1"/>
    <xf numFmtId="42" fontId="52" fillId="26" borderId="19" xfId="546" applyNumberFormat="1" applyFont="1" applyFill="1" applyBorder="1"/>
    <xf numFmtId="42" fontId="49" fillId="0" borderId="20" xfId="546" applyNumberFormat="1" applyFont="1" applyBorder="1"/>
    <xf numFmtId="42" fontId="52" fillId="0" borderId="19" xfId="546" applyNumberFormat="1" applyFont="1" applyBorder="1"/>
    <xf numFmtId="0" fontId="61" fillId="74" borderId="0" xfId="0" applyFont="1" applyFill="1" applyAlignment="1" applyProtection="1">
      <alignment horizontal="left" vertical="center"/>
    </xf>
    <xf numFmtId="0" fontId="39" fillId="28" borderId="0" xfId="0" applyFont="1" applyFill="1" applyAlignment="1" applyProtection="1">
      <alignment horizontal="left" vertical="center"/>
    </xf>
    <xf numFmtId="0" fontId="155" fillId="74" borderId="0" xfId="0" applyFont="1" applyFill="1" applyAlignment="1" applyProtection="1">
      <alignment horizontal="left" vertical="center"/>
    </xf>
    <xf numFmtId="0" fontId="0" fillId="0" borderId="0" xfId="0" applyAlignment="1">
      <alignment vertical="center" wrapText="1"/>
    </xf>
    <xf numFmtId="0" fontId="0" fillId="0" borderId="45" xfId="0" applyBorder="1" applyAlignment="1">
      <alignment vertical="center" wrapText="1"/>
    </xf>
    <xf numFmtId="0" fontId="0" fillId="0" borderId="36" xfId="0" applyBorder="1" applyAlignment="1">
      <alignment horizontal="left" vertical="center" wrapText="1"/>
    </xf>
    <xf numFmtId="0" fontId="0" fillId="29" borderId="10" xfId="0" applyFill="1" applyBorder="1" applyAlignment="1" applyProtection="1">
      <alignment horizontal="center" vertical="center"/>
      <protection locked="0"/>
    </xf>
    <xf numFmtId="14" fontId="0" fillId="29" borderId="10" xfId="0" applyNumberFormat="1" applyFill="1" applyBorder="1" applyAlignment="1" applyProtection="1">
      <alignment horizontal="center" vertical="center"/>
      <protection locked="0"/>
    </xf>
    <xf numFmtId="0" fontId="0" fillId="29" borderId="10" xfId="0" applyFill="1" applyBorder="1" applyAlignment="1" applyProtection="1">
      <alignment vertical="center" wrapText="1"/>
      <protection locked="0"/>
    </xf>
    <xf numFmtId="0" fontId="0" fillId="0" borderId="69" xfId="0" applyBorder="1" applyAlignment="1">
      <alignment horizontal="center"/>
    </xf>
    <xf numFmtId="0" fontId="0" fillId="0" borderId="70" xfId="0" applyFill="1" applyBorder="1"/>
    <xf numFmtId="168" fontId="0" fillId="0" borderId="70" xfId="0" applyNumberFormat="1" applyFill="1" applyBorder="1" applyAlignment="1">
      <alignment wrapText="1"/>
    </xf>
    <xf numFmtId="0" fontId="0" fillId="0" borderId="71" xfId="0" applyBorder="1" applyAlignment="1">
      <alignment wrapText="1"/>
    </xf>
    <xf numFmtId="0" fontId="0" fillId="0" borderId="72" xfId="0" applyBorder="1" applyAlignment="1">
      <alignment horizontal="center"/>
    </xf>
    <xf numFmtId="0" fontId="0" fillId="0" borderId="17" xfId="0" applyFill="1" applyBorder="1"/>
    <xf numFmtId="14" fontId="0" fillId="0" borderId="17" xfId="0" applyNumberFormat="1" applyFill="1" applyBorder="1" applyAlignment="1">
      <alignment wrapText="1"/>
    </xf>
    <xf numFmtId="0" fontId="0" fillId="0" borderId="73" xfId="0" applyBorder="1" applyAlignment="1">
      <alignment wrapText="1"/>
    </xf>
    <xf numFmtId="41" fontId="69" fillId="0" borderId="0" xfId="0" applyNumberFormat="1" applyFont="1" applyFill="1" applyAlignment="1" applyProtection="1">
      <alignment vertical="center" wrapText="1"/>
    </xf>
    <xf numFmtId="38" fontId="0" fillId="0" borderId="0" xfId="0" applyNumberFormat="1" applyFont="1" applyFill="1" applyAlignment="1" applyProtection="1">
      <alignment horizontal="center" vertical="center" wrapText="1"/>
      <protection locked="0"/>
    </xf>
    <xf numFmtId="41" fontId="69" fillId="0" borderId="0" xfId="0" applyNumberFormat="1" applyFont="1" applyFill="1" applyAlignment="1" applyProtection="1">
      <alignment horizontal="center" vertical="center" wrapText="1"/>
    </xf>
    <xf numFmtId="164" fontId="0" fillId="0" borderId="0" xfId="0" applyNumberFormat="1" applyFont="1" applyFill="1" applyAlignment="1" applyProtection="1">
      <alignment horizontal="center" vertical="center" wrapText="1"/>
      <protection locked="0"/>
    </xf>
    <xf numFmtId="0" fontId="39" fillId="0" borderId="37" xfId="0" applyFont="1" applyFill="1" applyBorder="1" applyAlignment="1">
      <alignment horizontal="left" vertical="center"/>
    </xf>
    <xf numFmtId="0" fontId="0" fillId="0" borderId="38" xfId="0" applyFill="1" applyBorder="1"/>
    <xf numFmtId="0" fontId="0" fillId="0" borderId="38" xfId="0" applyFill="1" applyBorder="1" applyAlignment="1">
      <alignment wrapText="1"/>
    </xf>
    <xf numFmtId="14" fontId="0" fillId="29" borderId="10" xfId="0" applyNumberFormat="1" applyFill="1" applyBorder="1" applyAlignment="1" applyProtection="1">
      <alignment horizontal="left" vertical="center" wrapText="1"/>
      <protection locked="0"/>
    </xf>
    <xf numFmtId="0" fontId="0" fillId="0" borderId="0" xfId="0" quotePrefix="1" applyFont="1" applyFill="1" applyProtection="1"/>
    <xf numFmtId="0" fontId="0" fillId="0" borderId="0" xfId="0" applyFont="1" applyFill="1" applyBorder="1" applyAlignment="1" applyProtection="1">
      <alignment wrapText="1"/>
      <protection locked="0"/>
    </xf>
    <xf numFmtId="37" fontId="0" fillId="0" borderId="0" xfId="0" applyNumberFormat="1" applyFont="1" applyFill="1" applyBorder="1" applyAlignment="1" applyProtection="1">
      <alignment wrapText="1"/>
      <protection locked="0"/>
    </xf>
    <xf numFmtId="38" fontId="68" fillId="0" borderId="0" xfId="0" applyNumberFormat="1" applyFont="1" applyFill="1" applyAlignment="1" applyProtection="1">
      <alignment vertical="center" wrapText="1"/>
      <protection locked="0"/>
    </xf>
    <xf numFmtId="0" fontId="0" fillId="0" borderId="10" xfId="0" applyFill="1" applyBorder="1" applyAlignment="1">
      <alignment vertical="center"/>
    </xf>
    <xf numFmtId="14" fontId="0" fillId="36" borderId="0" xfId="0" applyNumberFormat="1" applyFont="1" applyFill="1" applyProtection="1"/>
    <xf numFmtId="0" fontId="0" fillId="34" borderId="0" xfId="0" applyNumberFormat="1" applyFont="1" applyFill="1" applyBorder="1" applyAlignment="1" applyProtection="1">
      <alignment horizontal="left" vertical="center" wrapText="1"/>
    </xf>
    <xf numFmtId="0" fontId="0" fillId="29" borderId="0" xfId="0" applyFill="1" applyAlignment="1" applyProtection="1">
      <alignment horizontal="center" vertical="center"/>
      <protection locked="0"/>
    </xf>
    <xf numFmtId="0" fontId="68" fillId="34" borderId="10" xfId="0" applyFont="1" applyFill="1" applyBorder="1" applyAlignment="1">
      <alignment vertical="center" wrapText="1"/>
    </xf>
    <xf numFmtId="0" fontId="0" fillId="34" borderId="10" xfId="0" applyFill="1" applyBorder="1" applyAlignment="1">
      <alignment horizontal="center" vertical="center"/>
    </xf>
    <xf numFmtId="0" fontId="0" fillId="34" borderId="0" xfId="0" applyFill="1" applyAlignment="1">
      <alignment horizontal="left" vertical="center"/>
    </xf>
    <xf numFmtId="0" fontId="0" fillId="34" borderId="24" xfId="0" applyNumberFormat="1" applyFont="1" applyFill="1" applyBorder="1" applyAlignment="1" applyProtection="1">
      <alignment horizontal="center" vertical="center" wrapText="1"/>
    </xf>
    <xf numFmtId="164" fontId="56" fillId="34" borderId="23" xfId="439" applyNumberFormat="1" applyFont="1" applyFill="1" applyBorder="1" applyAlignment="1" applyProtection="1">
      <alignment horizontal="center" vertical="center" wrapText="1"/>
    </xf>
    <xf numFmtId="39" fontId="56" fillId="34" borderId="28" xfId="439" applyNumberFormat="1" applyFont="1" applyFill="1" applyBorder="1" applyAlignment="1" applyProtection="1">
      <alignment horizontal="center" vertical="center" wrapText="1"/>
    </xf>
    <xf numFmtId="164" fontId="56" fillId="34" borderId="29" xfId="439" applyNumberFormat="1" applyFont="1" applyFill="1" applyBorder="1" applyAlignment="1" applyProtection="1">
      <alignment horizontal="center" vertical="center" wrapText="1"/>
    </xf>
    <xf numFmtId="0" fontId="39" fillId="34" borderId="25" xfId="0" applyNumberFormat="1" applyFont="1" applyFill="1" applyBorder="1" applyAlignment="1" applyProtection="1">
      <alignment horizontal="center" vertical="center" wrapText="1"/>
    </xf>
    <xf numFmtId="3" fontId="0" fillId="29" borderId="76" xfId="0" applyNumberFormat="1" applyFill="1" applyBorder="1" applyAlignment="1" applyProtection="1">
      <alignment horizontal="center" vertical="center"/>
      <protection locked="0"/>
    </xf>
    <xf numFmtId="3" fontId="0" fillId="34" borderId="24" xfId="0" applyNumberFormat="1" applyFont="1" applyFill="1" applyBorder="1" applyAlignment="1" applyProtection="1">
      <alignment horizontal="center" vertical="center" wrapText="1"/>
    </xf>
    <xf numFmtId="49" fontId="0" fillId="34" borderId="29" xfId="439" applyNumberFormat="1" applyFont="1" applyFill="1" applyBorder="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lignment vertical="center" wrapText="1"/>
    </xf>
    <xf numFmtId="0" fontId="69" fillId="20" borderId="0" xfId="0" applyFont="1" applyFill="1" applyAlignment="1">
      <alignment vertical="center" wrapText="1"/>
    </xf>
    <xf numFmtId="38" fontId="68" fillId="20" borderId="0" xfId="0" applyNumberFormat="1" applyFont="1" applyFill="1" applyAlignment="1" applyProtection="1">
      <alignment vertical="center" wrapText="1"/>
      <protection locked="0"/>
    </xf>
    <xf numFmtId="0" fontId="0" fillId="36" borderId="0" xfId="0" applyNumberFormat="1" applyFont="1" applyFill="1" applyAlignment="1" applyProtection="1">
      <alignment horizontal="left" vertical="center" wrapText="1"/>
    </xf>
    <xf numFmtId="37" fontId="0" fillId="34" borderId="29" xfId="439" applyNumberFormat="1" applyFont="1" applyFill="1" applyBorder="1" applyAlignment="1" applyProtection="1">
      <alignment horizontal="center" vertical="center"/>
    </xf>
    <xf numFmtId="0" fontId="0" fillId="85" borderId="10" xfId="0"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38" fontId="44" fillId="36" borderId="0" xfId="439" applyNumberFormat="1" applyFont="1" applyFill="1" applyAlignment="1" applyProtection="1">
      <alignment horizontal="center" vertical="center" wrapText="1"/>
    </xf>
    <xf numFmtId="0" fontId="0" fillId="0" borderId="0" xfId="0" applyNumberFormat="1" applyFont="1" applyFill="1" applyAlignment="1" applyProtection="1">
      <alignment vertical="center" wrapText="1"/>
    </xf>
    <xf numFmtId="0" fontId="44" fillId="34" borderId="0" xfId="0" applyFont="1" applyFill="1" applyAlignment="1" applyProtection="1">
      <alignment horizontal="center" vertical="center" wrapText="1"/>
    </xf>
    <xf numFmtId="0" fontId="57" fillId="34" borderId="25" xfId="0" applyNumberFormat="1" applyFont="1" applyFill="1" applyBorder="1" applyAlignment="1" applyProtection="1">
      <alignment horizontal="center" vertical="center"/>
    </xf>
    <xf numFmtId="4" fontId="0" fillId="0" borderId="0" xfId="0" applyNumberFormat="1" applyFill="1"/>
    <xf numFmtId="181" fontId="0" fillId="36" borderId="0" xfId="0" applyNumberFormat="1" applyFill="1"/>
    <xf numFmtId="1" fontId="0" fillId="36" borderId="0" xfId="0" applyNumberFormat="1" applyFill="1" applyAlignment="1">
      <alignment horizontal="center"/>
    </xf>
    <xf numFmtId="0" fontId="0" fillId="0" borderId="0" xfId="0" applyNumberFormat="1"/>
    <xf numFmtId="0" fontId="193" fillId="0" borderId="0" xfId="0" applyFont="1"/>
    <xf numFmtId="186" fontId="193" fillId="0" borderId="0" xfId="0" applyNumberFormat="1" applyFont="1"/>
    <xf numFmtId="0" fontId="193" fillId="0" borderId="0" xfId="0" applyFont="1" applyAlignment="1">
      <alignment horizontal="center"/>
    </xf>
    <xf numFmtId="186" fontId="193" fillId="0" borderId="0" xfId="0" applyNumberFormat="1" applyFont="1" applyAlignment="1">
      <alignment horizontal="center"/>
    </xf>
    <xf numFmtId="186" fontId="44" fillId="0" borderId="0" xfId="0" applyNumberFormat="1" applyFont="1"/>
    <xf numFmtId="3" fontId="44" fillId="0" borderId="0" xfId="439" applyNumberFormat="1" applyFont="1" applyFill="1" applyAlignment="1" applyProtection="1">
      <alignment horizontal="center" vertical="center" wrapText="1"/>
    </xf>
    <xf numFmtId="38" fontId="39" fillId="29" borderId="0" xfId="439" applyNumberFormat="1" applyFont="1" applyFill="1" applyAlignment="1" applyProtection="1">
      <alignment horizontal="center" vertical="center"/>
      <protection locked="0"/>
    </xf>
    <xf numFmtId="0" fontId="39" fillId="29" borderId="0" xfId="439" applyNumberFormat="1" applyFont="1" applyFill="1" applyAlignment="1" applyProtection="1">
      <alignment horizontal="center" vertical="center" wrapText="1"/>
      <protection locked="0"/>
    </xf>
    <xf numFmtId="187" fontId="44" fillId="0" borderId="0" xfId="439" applyNumberFormat="1" applyFont="1" applyFill="1" applyAlignment="1" applyProtection="1">
      <alignment horizontal="center" vertical="center" wrapText="1"/>
    </xf>
    <xf numFmtId="187" fontId="39" fillId="29" borderId="0" xfId="439" applyNumberFormat="1" applyFont="1" applyFill="1" applyAlignment="1" applyProtection="1">
      <alignment horizontal="center" vertical="center"/>
      <protection locked="0"/>
    </xf>
    <xf numFmtId="188" fontId="0" fillId="0" borderId="0" xfId="0" applyNumberFormat="1" applyFont="1" applyFill="1" applyAlignment="1" applyProtection="1">
      <alignment vertical="center" wrapText="1"/>
    </xf>
    <xf numFmtId="189" fontId="39" fillId="29" borderId="0" xfId="439" applyNumberFormat="1" applyFont="1" applyFill="1" applyAlignment="1" applyProtection="1">
      <alignment horizontal="center" vertical="center"/>
      <protection locked="0"/>
    </xf>
    <xf numFmtId="49" fontId="0" fillId="29" borderId="0" xfId="0" applyNumberFormat="1" applyFont="1" applyFill="1" applyAlignment="1" applyProtection="1">
      <alignment horizontal="center" vertical="center"/>
      <protection locked="0"/>
    </xf>
    <xf numFmtId="14" fontId="0" fillId="29" borderId="0" xfId="439" applyNumberFormat="1" applyFont="1" applyFill="1" applyAlignment="1" applyProtection="1">
      <alignment horizontal="center" vertical="center" wrapText="1"/>
      <protection locked="0"/>
    </xf>
    <xf numFmtId="4" fontId="44" fillId="0" borderId="0" xfId="439" applyNumberFormat="1" applyFont="1" applyFill="1" applyAlignment="1" applyProtection="1">
      <alignment horizontal="center" vertical="center" wrapText="1"/>
    </xf>
    <xf numFmtId="4" fontId="39" fillId="29" borderId="0" xfId="439" applyNumberFormat="1" applyFont="1" applyFill="1" applyAlignment="1" applyProtection="1">
      <alignment horizontal="center" vertical="center"/>
      <protection locked="0"/>
    </xf>
    <xf numFmtId="38" fontId="57" fillId="29" borderId="0" xfId="439" applyNumberFormat="1" applyFont="1" applyFill="1" applyAlignment="1" applyProtection="1">
      <alignment horizontal="center" vertical="center" wrapText="1"/>
      <protection locked="0"/>
    </xf>
    <xf numFmtId="0" fontId="0" fillId="0" borderId="57" xfId="0" applyBorder="1" applyAlignment="1" applyProtection="1">
      <alignment horizontal="center" vertical="center" wrapText="1"/>
    </xf>
    <xf numFmtId="0" fontId="68" fillId="20" borderId="0" xfId="0" applyFont="1" applyFill="1" applyAlignment="1">
      <alignment vertical="center" wrapText="1"/>
    </xf>
    <xf numFmtId="0" fontId="0" fillId="0" borderId="57" xfId="0"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7" xfId="0" applyBorder="1" applyAlignment="1" applyProtection="1">
      <alignment horizontal="left" vertical="center"/>
      <protection locked="0"/>
    </xf>
    <xf numFmtId="0" fontId="0" fillId="0" borderId="13" xfId="0" applyBorder="1" applyProtection="1"/>
    <xf numFmtId="0" fontId="44" fillId="0" borderId="91" xfId="0" applyFont="1" applyBorder="1" applyProtection="1"/>
    <xf numFmtId="0" fontId="44" fillId="0" borderId="0" xfId="0" applyFont="1" applyProtection="1"/>
    <xf numFmtId="0" fontId="44" fillId="0" borderId="74" xfId="0" applyFont="1" applyBorder="1" applyProtection="1"/>
    <xf numFmtId="0" fontId="44" fillId="0" borderId="75" xfId="0" applyFont="1" applyBorder="1" applyProtection="1"/>
    <xf numFmtId="0" fontId="0" fillId="0" borderId="75" xfId="0" applyBorder="1" applyProtection="1"/>
    <xf numFmtId="0" fontId="0" fillId="0" borderId="40" xfId="0" applyBorder="1" applyProtection="1"/>
    <xf numFmtId="0" fontId="178" fillId="0" borderId="0" xfId="0" applyFont="1" applyAlignment="1" applyProtection="1">
      <alignment vertical="center" wrapText="1"/>
    </xf>
    <xf numFmtId="0" fontId="0" fillId="0" borderId="67" xfId="0" applyBorder="1" applyProtection="1"/>
    <xf numFmtId="0" fontId="39" fillId="78" borderId="88" xfId="0" applyFont="1" applyFill="1" applyBorder="1" applyAlignment="1" applyProtection="1">
      <alignment horizontal="left"/>
    </xf>
    <xf numFmtId="0" fontId="0" fillId="78" borderId="89" xfId="0" applyFill="1" applyBorder="1" applyProtection="1"/>
    <xf numFmtId="0" fontId="0" fillId="78" borderId="94" xfId="0" applyFill="1" applyBorder="1" applyProtection="1"/>
    <xf numFmtId="0" fontId="0" fillId="78" borderId="11" xfId="0" applyFill="1" applyBorder="1" applyAlignment="1" applyProtection="1">
      <alignment horizontal="center"/>
    </xf>
    <xf numFmtId="0" fontId="0" fillId="0" borderId="87" xfId="0" applyBorder="1" applyProtection="1"/>
    <xf numFmtId="0" fontId="162" fillId="0" borderId="68" xfId="0" applyFont="1" applyBorder="1" applyAlignment="1" applyProtection="1">
      <alignment horizontal="center" vertical="center" wrapText="1"/>
    </xf>
    <xf numFmtId="0" fontId="44" fillId="0" borderId="85" xfId="0" applyFont="1" applyBorder="1" applyAlignment="1" applyProtection="1">
      <alignment wrapText="1"/>
    </xf>
    <xf numFmtId="1" fontId="44" fillId="0" borderId="0" xfId="0" applyNumberFormat="1" applyFont="1" applyProtection="1"/>
    <xf numFmtId="0" fontId="0" fillId="0" borderId="68" xfId="0" applyBorder="1" applyProtection="1"/>
    <xf numFmtId="0" fontId="162" fillId="0" borderId="13" xfId="0" applyFont="1" applyBorder="1" applyAlignment="1" applyProtection="1">
      <alignment horizontal="center" vertical="center" wrapText="1"/>
    </xf>
    <xf numFmtId="0" fontId="44" fillId="0" borderId="83" xfId="0" applyFont="1" applyBorder="1" applyProtection="1"/>
    <xf numFmtId="0" fontId="44" fillId="0" borderId="0" xfId="0" applyFont="1" applyAlignment="1" applyProtection="1">
      <alignment horizontal="center"/>
    </xf>
    <xf numFmtId="0" fontId="39" fillId="0" borderId="68" xfId="0" quotePrefix="1" applyFont="1" applyBorder="1" applyAlignment="1" applyProtection="1">
      <alignment horizontal="center" vertical="center"/>
    </xf>
    <xf numFmtId="0" fontId="39" fillId="0" borderId="57" xfId="0" quotePrefix="1" applyFont="1" applyBorder="1" applyAlignment="1" applyProtection="1">
      <alignment horizontal="center" vertical="center"/>
    </xf>
    <xf numFmtId="0" fontId="0" fillId="78" borderId="67" xfId="0" applyFill="1" applyBorder="1" applyAlignment="1" applyProtection="1">
      <alignment horizontal="center" vertical="center" wrapText="1"/>
    </xf>
    <xf numFmtId="37" fontId="44" fillId="36" borderId="0" xfId="0" applyNumberFormat="1" applyFont="1" applyFill="1" applyProtection="1"/>
    <xf numFmtId="37" fontId="44" fillId="0" borderId="0" xfId="0" applyNumberFormat="1" applyFont="1" applyProtection="1"/>
    <xf numFmtId="0" fontId="39" fillId="0" borderId="57" xfId="0" applyFont="1" applyBorder="1" applyAlignment="1" applyProtection="1">
      <alignment horizontal="center"/>
    </xf>
    <xf numFmtId="0" fontId="49" fillId="78" borderId="57" xfId="0" applyFont="1" applyFill="1" applyBorder="1" applyAlignment="1" applyProtection="1">
      <alignment horizontal="center" wrapText="1"/>
    </xf>
    <xf numFmtId="0" fontId="37" fillId="78" borderId="68" xfId="0" applyFont="1" applyFill="1" applyBorder="1" applyAlignment="1" applyProtection="1">
      <alignment vertical="center" wrapText="1"/>
    </xf>
    <xf numFmtId="0" fontId="0" fillId="78" borderId="68" xfId="0" applyFill="1" applyBorder="1" applyAlignment="1" applyProtection="1">
      <alignment horizontal="left" vertical="center" wrapText="1"/>
    </xf>
    <xf numFmtId="0" fontId="44" fillId="0" borderId="0" xfId="0" applyFont="1" applyAlignment="1" applyProtection="1">
      <alignment horizontal="center" wrapText="1"/>
    </xf>
    <xf numFmtId="9" fontId="44" fillId="0" borderId="0" xfId="4688" applyFont="1" applyFill="1" applyBorder="1" applyProtection="1"/>
    <xf numFmtId="10" fontId="44" fillId="0" borderId="74" xfId="0" applyNumberFormat="1" applyFont="1" applyBorder="1" applyProtection="1"/>
    <xf numFmtId="0" fontId="37" fillId="78" borderId="57" xfId="0" applyFont="1" applyFill="1" applyBorder="1" applyAlignment="1" applyProtection="1">
      <alignment horizontal="justify" vertical="center" wrapText="1"/>
    </xf>
    <xf numFmtId="0" fontId="45" fillId="78" borderId="57" xfId="0" quotePrefix="1" applyFont="1" applyFill="1" applyBorder="1" applyAlignment="1" applyProtection="1">
      <alignment horizontal="center" vertical="center" wrapText="1"/>
    </xf>
    <xf numFmtId="10" fontId="0" fillId="0" borderId="0" xfId="4688" applyNumberFormat="1" applyFont="1" applyProtection="1"/>
    <xf numFmtId="10" fontId="44" fillId="0" borderId="0" xfId="4688" applyNumberFormat="1" applyFont="1" applyProtection="1"/>
    <xf numFmtId="39" fontId="44" fillId="36" borderId="0" xfId="4688" applyNumberFormat="1" applyFont="1" applyFill="1" applyBorder="1" applyProtection="1"/>
    <xf numFmtId="0" fontId="37" fillId="78" borderId="11" xfId="0" applyFont="1" applyFill="1" applyBorder="1" applyAlignment="1" applyProtection="1">
      <alignment horizontal="justify" vertical="center" wrapText="1"/>
    </xf>
    <xf numFmtId="0" fontId="45" fillId="78" borderId="57" xfId="0" quotePrefix="1" applyFont="1" applyFill="1" applyBorder="1" applyAlignment="1" applyProtection="1">
      <alignment horizontal="left" vertical="center" wrapText="1"/>
    </xf>
    <xf numFmtId="0" fontId="45" fillId="78" borderId="57" xfId="0" applyFont="1" applyFill="1" applyBorder="1" applyAlignment="1" applyProtection="1">
      <alignment horizontal="center" vertical="center" wrapText="1"/>
    </xf>
    <xf numFmtId="6" fontId="0" fillId="0" borderId="57" xfId="0" applyNumberFormat="1" applyBorder="1" applyAlignment="1" applyProtection="1">
      <alignment horizontal="center" vertical="center" wrapText="1"/>
    </xf>
    <xf numFmtId="0" fontId="39" fillId="0" borderId="57" xfId="0" quotePrefix="1" applyFont="1" applyBorder="1" applyAlignment="1" applyProtection="1">
      <alignment horizontal="center"/>
    </xf>
    <xf numFmtId="0" fontId="176" fillId="78" borderId="11" xfId="0" applyFont="1" applyFill="1" applyBorder="1" applyAlignment="1" applyProtection="1">
      <alignment horizontal="justify" vertical="center" wrapText="1"/>
    </xf>
    <xf numFmtId="0" fontId="57" fillId="78" borderId="57" xfId="0" applyFont="1" applyFill="1" applyBorder="1" applyAlignment="1" applyProtection="1">
      <alignment horizontal="center" vertical="center" wrapText="1"/>
    </xf>
    <xf numFmtId="0" fontId="57" fillId="78" borderId="57" xfId="0" applyFont="1" applyFill="1" applyBorder="1" applyAlignment="1" applyProtection="1">
      <alignment horizontal="left" vertical="center" wrapText="1"/>
    </xf>
    <xf numFmtId="0" fontId="0" fillId="0" borderId="0" xfId="0" applyProtection="1"/>
    <xf numFmtId="2" fontId="44" fillId="24" borderId="0" xfId="4688" applyNumberFormat="1" applyFont="1" applyFill="1" applyProtection="1"/>
    <xf numFmtId="2" fontId="44" fillId="0" borderId="0" xfId="0" applyNumberFormat="1" applyFont="1" applyProtection="1"/>
    <xf numFmtId="168" fontId="44" fillId="0" borderId="0" xfId="0" applyNumberFormat="1" applyFont="1" applyProtection="1"/>
    <xf numFmtId="168" fontId="44" fillId="0" borderId="75" xfId="0" applyNumberFormat="1" applyFont="1" applyBorder="1" applyProtection="1"/>
    <xf numFmtId="168" fontId="0" fillId="0" borderId="75" xfId="0" applyNumberFormat="1" applyBorder="1" applyProtection="1"/>
    <xf numFmtId="0" fontId="39" fillId="0" borderId="41" xfId="0" applyFont="1" applyBorder="1" applyAlignment="1" applyProtection="1">
      <alignment vertical="center" wrapText="1"/>
    </xf>
    <xf numFmtId="2" fontId="0" fillId="0" borderId="41" xfId="0" applyNumberFormat="1" applyBorder="1" applyAlignment="1" applyProtection="1">
      <alignment horizontal="center"/>
    </xf>
    <xf numFmtId="2" fontId="0" fillId="0" borderId="42" xfId="0" applyNumberFormat="1" applyBorder="1" applyAlignment="1" applyProtection="1">
      <alignment horizontal="center"/>
    </xf>
    <xf numFmtId="0" fontId="0" fillId="0" borderId="68" xfId="0" applyBorder="1" applyAlignment="1" applyProtection="1">
      <alignment horizontal="center" vertical="center" wrapText="1"/>
    </xf>
    <xf numFmtId="0" fontId="39" fillId="0" borderId="38" xfId="0" applyFont="1" applyBorder="1" applyAlignment="1" applyProtection="1">
      <alignment vertical="center" wrapText="1"/>
    </xf>
    <xf numFmtId="0" fontId="39" fillId="0" borderId="67" xfId="0" applyFont="1" applyBorder="1" applyAlignment="1" applyProtection="1">
      <alignment horizontal="center"/>
    </xf>
    <xf numFmtId="0" fontId="57" fillId="78" borderId="11" xfId="0" applyFont="1" applyFill="1" applyBorder="1" applyAlignment="1" applyProtection="1">
      <alignment horizontal="center" vertical="center" wrapText="1"/>
    </xf>
    <xf numFmtId="0" fontId="39" fillId="78" borderId="11" xfId="0" applyFont="1" applyFill="1" applyBorder="1" applyAlignment="1" applyProtection="1">
      <alignment horizontal="justify" vertical="center" wrapText="1"/>
    </xf>
    <xf numFmtId="6" fontId="0" fillId="0" borderId="57" xfId="0" applyNumberFormat="1" applyBorder="1" applyAlignment="1" applyProtection="1">
      <alignment horizontal="center" vertical="center"/>
    </xf>
    <xf numFmtId="164" fontId="44" fillId="0" borderId="0" xfId="439" applyNumberFormat="1" applyFont="1" applyProtection="1"/>
    <xf numFmtId="0" fontId="39" fillId="78" borderId="11" xfId="0" applyFont="1" applyFill="1" applyBorder="1" applyAlignment="1" applyProtection="1">
      <alignment horizontal="left" vertical="center" wrapText="1"/>
    </xf>
    <xf numFmtId="10" fontId="0" fillId="0" borderId="57" xfId="4688" applyNumberFormat="1" applyFont="1" applyFill="1" applyBorder="1" applyAlignment="1" applyProtection="1">
      <alignment horizontal="center" vertical="center"/>
    </xf>
    <xf numFmtId="10" fontId="44" fillId="0" borderId="0" xfId="4688" applyNumberFormat="1" applyFont="1" applyFill="1" applyBorder="1" applyProtection="1"/>
    <xf numFmtId="0" fontId="44" fillId="0" borderId="0" xfId="0" applyFont="1" applyAlignment="1" applyProtection="1">
      <alignment wrapText="1"/>
    </xf>
    <xf numFmtId="37" fontId="0" fillId="0" borderId="57" xfId="0" applyNumberFormat="1" applyBorder="1" applyAlignment="1" applyProtection="1">
      <alignment horizontal="center" vertical="center" wrapText="1"/>
    </xf>
    <xf numFmtId="37" fontId="68" fillId="84" borderId="57" xfId="0" applyNumberFormat="1" applyFont="1" applyFill="1" applyBorder="1" applyAlignment="1" applyProtection="1">
      <alignment horizontal="center" wrapText="1"/>
    </xf>
    <xf numFmtId="10" fontId="0" fillId="0" borderId="57" xfId="0" applyNumberFormat="1" applyBorder="1" applyAlignment="1" applyProtection="1">
      <alignment horizontal="center" vertical="center" wrapText="1"/>
    </xf>
    <xf numFmtId="43" fontId="44" fillId="0" borderId="0" xfId="439" applyFont="1" applyFill="1" applyBorder="1" applyProtection="1"/>
    <xf numFmtId="43" fontId="44" fillId="36" borderId="0" xfId="439" applyFont="1" applyFill="1" applyBorder="1" applyProtection="1"/>
    <xf numFmtId="43" fontId="44" fillId="36" borderId="0" xfId="0" applyNumberFormat="1" applyFont="1" applyFill="1" applyProtection="1"/>
    <xf numFmtId="0" fontId="57" fillId="78" borderId="57" xfId="0" applyFont="1" applyFill="1" applyBorder="1" applyAlignment="1" applyProtection="1">
      <alignment horizontal="center" wrapText="1"/>
    </xf>
    <xf numFmtId="0" fontId="57" fillId="78" borderId="57" xfId="0" applyFont="1" applyFill="1" applyBorder="1" applyAlignment="1" applyProtection="1">
      <alignment horizontal="left" wrapText="1"/>
    </xf>
    <xf numFmtId="39" fontId="44" fillId="0" borderId="0" xfId="0" applyNumberFormat="1" applyFont="1" applyProtection="1"/>
    <xf numFmtId="0" fontId="39" fillId="0" borderId="11" xfId="0" applyFont="1" applyBorder="1" applyAlignment="1" applyProtection="1">
      <alignment vertical="center" wrapText="1"/>
    </xf>
    <xf numFmtId="0" fontId="0" fillId="78" borderId="57" xfId="0" applyFill="1" applyBorder="1" applyAlignment="1" applyProtection="1">
      <alignment vertical="center" wrapText="1"/>
    </xf>
    <xf numFmtId="0" fontId="45" fillId="78" borderId="57" xfId="0" applyFont="1" applyFill="1" applyBorder="1" applyAlignment="1" applyProtection="1">
      <alignment vertical="center" wrapText="1"/>
    </xf>
    <xf numFmtId="0" fontId="0" fillId="78" borderId="57" xfId="0" applyFill="1" applyBorder="1" applyAlignment="1" applyProtection="1">
      <alignment horizontal="left" vertical="center" wrapText="1"/>
    </xf>
    <xf numFmtId="2" fontId="44" fillId="0" borderId="0" xfId="439" applyNumberFormat="1" applyFont="1" applyFill="1" applyBorder="1" applyProtection="1"/>
    <xf numFmtId="6" fontId="0" fillId="0" borderId="57" xfId="545" applyNumberFormat="1" applyFont="1" applyFill="1" applyBorder="1" applyAlignment="1" applyProtection="1">
      <alignment horizontal="center" vertical="center"/>
    </xf>
    <xf numFmtId="0" fontId="45" fillId="78" borderId="13" xfId="0" applyFont="1" applyFill="1" applyBorder="1" applyAlignment="1" applyProtection="1">
      <alignment horizontal="center" vertical="center" wrapText="1"/>
    </xf>
    <xf numFmtId="167" fontId="44" fillId="0" borderId="0" xfId="545" applyNumberFormat="1" applyFont="1" applyFill="1" applyBorder="1" applyProtection="1"/>
    <xf numFmtId="0" fontId="0" fillId="0" borderId="57" xfId="0" applyBorder="1" applyProtection="1"/>
    <xf numFmtId="0" fontId="39" fillId="78" borderId="57" xfId="0" applyFont="1" applyFill="1" applyBorder="1" applyAlignment="1" applyProtection="1">
      <alignment horizontal="center"/>
    </xf>
    <xf numFmtId="0" fontId="39" fillId="78" borderId="57" xfId="0" applyFont="1" applyFill="1" applyBorder="1" applyAlignment="1" applyProtection="1">
      <alignment horizontal="center" wrapText="1"/>
    </xf>
    <xf numFmtId="0" fontId="0" fillId="78" borderId="88" xfId="0" applyFill="1" applyBorder="1" applyProtection="1"/>
    <xf numFmtId="0" fontId="39" fillId="78" borderId="67" xfId="0" applyFont="1" applyFill="1" applyBorder="1" applyAlignment="1" applyProtection="1">
      <alignment horizontal="center"/>
    </xf>
    <xf numFmtId="0" fontId="40" fillId="78" borderId="13" xfId="0" applyFont="1" applyFill="1" applyBorder="1" applyAlignment="1" applyProtection="1">
      <alignment horizontal="center" vertical="center"/>
    </xf>
    <xf numFmtId="0" fontId="39" fillId="78" borderId="67" xfId="0" applyFont="1" applyFill="1" applyBorder="1" applyAlignment="1" applyProtection="1">
      <alignment horizontal="left"/>
    </xf>
    <xf numFmtId="49" fontId="39" fillId="0" borderId="57" xfId="0" quotePrefix="1" applyNumberFormat="1" applyFont="1" applyBorder="1" applyAlignment="1" applyProtection="1">
      <alignment horizontal="center" vertical="center"/>
    </xf>
    <xf numFmtId="0" fontId="37" fillId="78" borderId="57" xfId="0" applyFont="1" applyFill="1" applyBorder="1" applyAlignment="1" applyProtection="1">
      <alignment horizontal="justify" vertical="center"/>
    </xf>
    <xf numFmtId="0" fontId="0" fillId="0" borderId="57" xfId="0" quotePrefix="1" applyBorder="1" applyProtection="1"/>
    <xf numFmtId="0" fontId="39" fillId="78" borderId="78" xfId="0" applyFont="1" applyFill="1" applyBorder="1" applyAlignment="1" applyProtection="1">
      <alignment horizontal="center" wrapText="1"/>
    </xf>
    <xf numFmtId="0" fontId="0" fillId="78" borderId="57" xfId="0" applyFill="1" applyBorder="1" applyProtection="1"/>
    <xf numFmtId="0" fontId="45" fillId="78" borderId="13" xfId="0" applyFont="1" applyFill="1" applyBorder="1" applyAlignment="1" applyProtection="1">
      <alignment vertical="center"/>
    </xf>
    <xf numFmtId="0" fontId="0" fillId="78" borderId="87" xfId="0" applyFill="1" applyBorder="1" applyAlignment="1" applyProtection="1">
      <alignment horizontal="left"/>
    </xf>
    <xf numFmtId="10" fontId="181" fillId="0" borderId="57" xfId="4688" applyNumberFormat="1" applyFont="1" applyFill="1" applyBorder="1" applyAlignment="1" applyProtection="1">
      <alignment horizontal="center" vertical="center" wrapText="1"/>
    </xf>
    <xf numFmtId="10" fontId="181" fillId="0" borderId="57" xfId="0" applyNumberFormat="1" applyFont="1" applyBorder="1" applyAlignment="1" applyProtection="1">
      <alignment horizontal="center" vertical="center" wrapText="1"/>
    </xf>
    <xf numFmtId="0" fontId="39" fillId="0" borderId="57" xfId="0" applyFont="1" applyBorder="1" applyAlignment="1" applyProtection="1">
      <alignment horizontal="center" vertical="center"/>
    </xf>
    <xf numFmtId="37" fontId="181" fillId="0" borderId="57" xfId="0" applyNumberFormat="1" applyFont="1" applyBorder="1" applyAlignment="1" applyProtection="1">
      <alignment horizontal="center" vertical="center" wrapText="1"/>
    </xf>
    <xf numFmtId="0" fontId="57" fillId="0" borderId="0" xfId="0" applyFont="1" applyAlignment="1" applyProtection="1">
      <alignment wrapText="1"/>
    </xf>
    <xf numFmtId="0" fontId="0" fillId="78" borderId="57" xfId="0" applyFill="1" applyBorder="1" applyAlignment="1" applyProtection="1">
      <alignment vertical="center"/>
    </xf>
    <xf numFmtId="0" fontId="44" fillId="0" borderId="85" xfId="0" applyFont="1" applyBorder="1" applyProtection="1"/>
    <xf numFmtId="0" fontId="37" fillId="78" borderId="57" xfId="0" applyFont="1" applyFill="1" applyBorder="1" applyAlignment="1" applyProtection="1">
      <alignment vertical="center" wrapText="1"/>
    </xf>
    <xf numFmtId="0" fontId="0" fillId="1" borderId="57" xfId="0" applyFill="1" applyBorder="1" applyAlignment="1" applyProtection="1">
      <alignment horizontal="center" vertical="center" wrapText="1"/>
    </xf>
    <xf numFmtId="0" fontId="39" fillId="34" borderId="57" xfId="0" quotePrefix="1" applyFont="1" applyFill="1" applyBorder="1" applyAlignment="1" applyProtection="1">
      <alignment horizontal="center" vertical="center"/>
    </xf>
    <xf numFmtId="0" fontId="0" fillId="78" borderId="57" xfId="0" applyFill="1" applyBorder="1" applyAlignment="1" applyProtection="1">
      <alignment horizontal="center"/>
    </xf>
    <xf numFmtId="0" fontId="45" fillId="78" borderId="13" xfId="0" applyFont="1" applyFill="1" applyBorder="1" applyAlignment="1" applyProtection="1">
      <alignment vertical="center" wrapText="1"/>
    </xf>
    <xf numFmtId="0" fontId="0" fillId="0" borderId="57" xfId="0" applyBorder="1" applyAlignment="1" applyProtection="1">
      <alignment horizontal="center" vertical="center"/>
    </xf>
    <xf numFmtId="0" fontId="186" fillId="78" borderId="57" xfId="0" applyFont="1" applyFill="1" applyBorder="1" applyAlignment="1" applyProtection="1">
      <alignment vertical="center" wrapText="1"/>
    </xf>
    <xf numFmtId="37" fontId="44" fillId="0" borderId="0" xfId="0" applyNumberFormat="1" applyFont="1" applyAlignment="1" applyProtection="1">
      <alignment horizontal="center"/>
    </xf>
    <xf numFmtId="0" fontId="39" fillId="0" borderId="84" xfId="0" applyFont="1" applyBorder="1" applyAlignment="1" applyProtection="1">
      <alignment horizontal="center" vertical="center"/>
    </xf>
    <xf numFmtId="0" fontId="0" fillId="0" borderId="79" xfId="0" applyBorder="1" applyProtection="1"/>
    <xf numFmtId="0" fontId="0" fillId="0" borderId="84" xfId="0" applyBorder="1" applyProtection="1"/>
    <xf numFmtId="0" fontId="44" fillId="0" borderId="86" xfId="0" applyFont="1" applyBorder="1" applyProtection="1"/>
    <xf numFmtId="0" fontId="0" fillId="0" borderId="86" xfId="0" applyBorder="1" applyProtection="1"/>
    <xf numFmtId="181" fontId="0" fillId="36" borderId="0" xfId="0" applyNumberFormat="1" applyFill="1" applyAlignment="1">
      <alignment wrapText="1"/>
    </xf>
    <xf numFmtId="37" fontId="0" fillId="0" borderId="57" xfId="0" applyNumberFormat="1" applyFill="1" applyBorder="1" applyAlignment="1" applyProtection="1">
      <alignment horizontal="center" vertical="center" wrapText="1"/>
    </xf>
    <xf numFmtId="37" fontId="0" fillId="0" borderId="57" xfId="0" applyNumberFormat="1" applyFill="1" applyBorder="1" applyAlignment="1" applyProtection="1">
      <alignment horizontal="center" vertical="center"/>
    </xf>
    <xf numFmtId="0" fontId="69" fillId="0" borderId="0" xfId="0" applyFont="1" applyFill="1" applyAlignment="1" applyProtection="1">
      <alignment horizontal="center" vertical="center" wrapText="1"/>
    </xf>
    <xf numFmtId="0" fontId="0" fillId="0" borderId="0" xfId="0" quotePrefix="1" applyFill="1" applyAlignment="1">
      <alignment horizontal="center"/>
    </xf>
    <xf numFmtId="0" fontId="137" fillId="0" borderId="0" xfId="0" applyFont="1" applyFill="1" applyAlignment="1">
      <alignment horizontal="left" vertical="center" wrapText="1"/>
    </xf>
    <xf numFmtId="0" fontId="68" fillId="0" borderId="76" xfId="0" applyFont="1" applyFill="1" applyBorder="1" applyAlignment="1">
      <alignment vertical="center" wrapText="1"/>
    </xf>
    <xf numFmtId="0" fontId="0" fillId="24" borderId="0" xfId="0" applyFill="1" applyAlignment="1" applyProtection="1">
      <alignment wrapText="1"/>
    </xf>
    <xf numFmtId="10" fontId="44" fillId="24" borderId="0" xfId="4688" applyNumberFormat="1" applyFont="1" applyFill="1" applyAlignment="1" applyProtection="1">
      <alignment wrapText="1"/>
    </xf>
    <xf numFmtId="10" fontId="0" fillId="0" borderId="57" xfId="4688" applyNumberFormat="1" applyFont="1" applyFill="1" applyBorder="1" applyAlignment="1" applyProtection="1">
      <alignment horizontal="center" vertical="center" wrapText="1"/>
    </xf>
    <xf numFmtId="164" fontId="44" fillId="24" borderId="0" xfId="439" applyNumberFormat="1" applyFont="1" applyFill="1" applyAlignment="1" applyProtection="1">
      <alignment wrapText="1"/>
    </xf>
    <xf numFmtId="6" fontId="0" fillId="0" borderId="57" xfId="545" applyNumberFormat="1" applyFont="1" applyFill="1" applyBorder="1" applyAlignment="1" applyProtection="1">
      <alignment horizontal="center" vertical="center" wrapText="1"/>
    </xf>
    <xf numFmtId="49" fontId="44" fillId="36" borderId="10" xfId="4688" applyNumberFormat="1" applyFont="1" applyFill="1" applyBorder="1" applyAlignment="1" applyProtection="1">
      <alignment horizontal="right"/>
    </xf>
    <xf numFmtId="3" fontId="44" fillId="36" borderId="10" xfId="4688" applyNumberFormat="1" applyFont="1" applyFill="1" applyBorder="1" applyProtection="1"/>
    <xf numFmtId="0" fontId="37" fillId="78" borderId="57" xfId="0" applyFont="1" applyFill="1" applyBorder="1" applyAlignment="1" applyProtection="1">
      <alignment horizontal="left" vertical="center" wrapText="1"/>
    </xf>
    <xf numFmtId="0" fontId="40" fillId="0" borderId="0" xfId="0" applyFont="1" applyFill="1" applyBorder="1" applyAlignment="1">
      <alignment wrapText="1"/>
    </xf>
    <xf numFmtId="2" fontId="0" fillId="0" borderId="0" xfId="0" applyNumberFormat="1" applyFill="1"/>
    <xf numFmtId="0" fontId="45" fillId="34" borderId="57" xfId="0" applyFont="1" applyFill="1" applyBorder="1" applyAlignment="1" applyProtection="1">
      <alignment horizontal="center" vertical="center" wrapText="1"/>
    </xf>
    <xf numFmtId="170" fontId="44" fillId="34" borderId="0" xfId="439" applyNumberFormat="1" applyFont="1" applyFill="1" applyAlignment="1" applyProtection="1">
      <alignment wrapText="1"/>
    </xf>
    <xf numFmtId="190" fontId="44" fillId="34" borderId="0" xfId="0" applyNumberFormat="1" applyFont="1" applyFill="1" applyProtection="1"/>
    <xf numFmtId="43" fontId="44" fillId="34" borderId="0" xfId="439" applyFont="1" applyFill="1" applyBorder="1" applyProtection="1"/>
    <xf numFmtId="2" fontId="0" fillId="34" borderId="57" xfId="4688" applyNumberFormat="1" applyFont="1" applyFill="1" applyBorder="1" applyAlignment="1" applyProtection="1">
      <alignment horizontal="center" vertical="center" wrapText="1"/>
    </xf>
    <xf numFmtId="2" fontId="0" fillId="34" borderId="16" xfId="0" applyNumberFormat="1" applyFill="1" applyBorder="1" applyAlignment="1" applyProtection="1">
      <alignment horizontal="center" vertical="center" wrapText="1"/>
    </xf>
    <xf numFmtId="2" fontId="0" fillId="34" borderId="57" xfId="0" applyNumberFormat="1" applyFill="1" applyBorder="1" applyAlignment="1" applyProtection="1">
      <alignment horizontal="center" vertical="center" wrapText="1"/>
    </xf>
    <xf numFmtId="0" fontId="0" fillId="21" borderId="77" xfId="0" applyFont="1" applyFill="1" applyBorder="1" applyAlignment="1" applyProtection="1">
      <alignment horizontal="center" vertical="center" wrapText="1"/>
    </xf>
    <xf numFmtId="0" fontId="39" fillId="21" borderId="77" xfId="0" applyFont="1" applyFill="1" applyBorder="1" applyAlignment="1" applyProtection="1">
      <alignment horizontal="center" wrapText="1"/>
    </xf>
    <xf numFmtId="164" fontId="69" fillId="21" borderId="100" xfId="439" applyNumberFormat="1" applyFont="1" applyFill="1" applyBorder="1" applyAlignment="1" applyProtection="1">
      <alignment horizontal="center" wrapText="1"/>
    </xf>
    <xf numFmtId="0" fontId="0" fillId="29" borderId="0" xfId="0" applyFont="1" applyFill="1" applyAlignment="1" applyProtection="1">
      <alignment horizontal="center" vertical="center" wrapText="1"/>
    </xf>
    <xf numFmtId="0" fontId="44" fillId="29" borderId="0" xfId="0" applyFont="1" applyFill="1" applyAlignment="1" applyProtection="1">
      <alignment horizontal="center" vertical="center" wrapText="1"/>
    </xf>
    <xf numFmtId="0" fontId="44" fillId="29" borderId="45" xfId="0" applyFont="1" applyFill="1" applyBorder="1" applyAlignment="1" applyProtection="1">
      <alignment horizontal="center" vertical="center" wrapText="1"/>
    </xf>
    <xf numFmtId="0" fontId="0" fillId="29" borderId="0" xfId="0" applyFill="1" applyAlignment="1">
      <alignment horizontal="center" vertical="center" wrapText="1"/>
    </xf>
    <xf numFmtId="0" fontId="0" fillId="29" borderId="45" xfId="0" applyFont="1" applyFill="1" applyBorder="1" applyAlignment="1" applyProtection="1">
      <alignment horizontal="center" vertical="center" wrapText="1"/>
    </xf>
    <xf numFmtId="0" fontId="0" fillId="29" borderId="36" xfId="0" applyNumberFormat="1" applyFont="1" applyFill="1" applyBorder="1" applyAlignment="1" applyProtection="1">
      <alignment horizontal="center" vertical="center" wrapText="1"/>
    </xf>
    <xf numFmtId="10" fontId="0" fillId="0" borderId="57" xfId="0" applyNumberFormat="1" applyFill="1" applyBorder="1" applyAlignment="1" applyProtection="1">
      <alignment horizontal="center" vertical="center" wrapText="1"/>
    </xf>
    <xf numFmtId="2" fontId="0" fillId="0" borderId="68" xfId="0" applyNumberFormat="1" applyFill="1" applyBorder="1" applyAlignment="1" applyProtection="1">
      <alignment horizontal="center" vertical="center"/>
    </xf>
    <xf numFmtId="5" fontId="0" fillId="0" borderId="57" xfId="0" applyNumberFormat="1" applyFill="1" applyBorder="1" applyAlignment="1" applyProtection="1">
      <alignment horizontal="center" vertical="center"/>
    </xf>
    <xf numFmtId="10" fontId="0" fillId="0" borderId="57" xfId="0" applyNumberFormat="1" applyFill="1" applyBorder="1" applyAlignment="1" applyProtection="1">
      <alignment horizontal="center" vertical="center"/>
    </xf>
    <xf numFmtId="2" fontId="0" fillId="0" borderId="57" xfId="0" applyNumberFormat="1" applyFill="1" applyBorder="1" applyAlignment="1" applyProtection="1">
      <alignment horizontal="center" vertical="center" wrapText="1"/>
    </xf>
    <xf numFmtId="6" fontId="0" fillId="0" borderId="57" xfId="0" applyNumberFormat="1" applyFill="1" applyBorder="1" applyAlignment="1" applyProtection="1">
      <alignment horizontal="center" vertical="center"/>
    </xf>
    <xf numFmtId="0" fontId="44" fillId="0" borderId="0" xfId="0" quotePrefix="1" applyFont="1" applyProtection="1"/>
    <xf numFmtId="168" fontId="44" fillId="0" borderId="104" xfId="0" applyNumberFormat="1" applyFont="1" applyBorder="1" applyProtection="1"/>
    <xf numFmtId="168" fontId="44" fillId="0" borderId="105" xfId="0" applyNumberFormat="1" applyFont="1" applyBorder="1" applyProtection="1"/>
    <xf numFmtId="0" fontId="44" fillId="0" borderId="106" xfId="0" applyFont="1" applyBorder="1" applyProtection="1"/>
    <xf numFmtId="0" fontId="44" fillId="0" borderId="79" xfId="0" applyFont="1" applyBorder="1" applyProtection="1"/>
    <xf numFmtId="2" fontId="44" fillId="73" borderId="0" xfId="4688" applyNumberFormat="1" applyFont="1" applyFill="1" applyAlignment="1" applyProtection="1">
      <alignment wrapText="1"/>
    </xf>
    <xf numFmtId="2" fontId="44" fillId="24" borderId="0" xfId="4688" quotePrefix="1" applyNumberFormat="1" applyFont="1" applyFill="1" applyProtection="1"/>
    <xf numFmtId="2" fontId="0" fillId="36" borderId="0" xfId="0" applyNumberFormat="1" applyFill="1"/>
    <xf numFmtId="43" fontId="0" fillId="0" borderId="0" xfId="0" applyNumberFormat="1"/>
    <xf numFmtId="0" fontId="0" fillId="0" borderId="57" xfId="0" applyNumberFormat="1" applyFill="1" applyBorder="1" applyAlignment="1" applyProtection="1">
      <alignment horizontal="center" vertical="center" wrapText="1"/>
    </xf>
    <xf numFmtId="0" fontId="185" fillId="34" borderId="57" xfId="0" applyFont="1" applyFill="1" applyBorder="1" applyAlignment="1">
      <alignment horizontal="left" vertical="center" wrapText="1"/>
    </xf>
    <xf numFmtId="10" fontId="39" fillId="34" borderId="57" xfId="0" applyNumberFormat="1" applyFont="1" applyFill="1" applyBorder="1" applyAlignment="1" applyProtection="1">
      <alignment horizontal="center" vertical="center" wrapText="1"/>
    </xf>
    <xf numFmtId="0" fontId="40" fillId="34" borderId="57" xfId="0" applyFont="1" applyFill="1" applyBorder="1" applyAlignment="1" applyProtection="1">
      <alignment vertical="center" wrapText="1"/>
    </xf>
    <xf numFmtId="164" fontId="44" fillId="73" borderId="0" xfId="439" applyNumberFormat="1" applyFont="1" applyFill="1" applyAlignment="1" applyProtection="1">
      <alignment wrapText="1"/>
    </xf>
    <xf numFmtId="3" fontId="0" fillId="73" borderId="0" xfId="0" applyNumberFormat="1" applyFill="1" applyAlignment="1" applyProtection="1">
      <alignment wrapText="1"/>
    </xf>
    <xf numFmtId="10" fontId="0" fillId="73" borderId="0" xfId="4688" applyNumberFormat="1" applyFont="1" applyFill="1" applyAlignment="1" applyProtection="1">
      <alignment wrapText="1"/>
    </xf>
    <xf numFmtId="1" fontId="0" fillId="36" borderId="0" xfId="0" applyNumberFormat="1" applyFill="1" applyAlignment="1">
      <alignment horizontal="center" vertical="center"/>
    </xf>
    <xf numFmtId="181" fontId="0" fillId="36" borderId="0" xfId="0" applyNumberFormat="1" applyFill="1" applyAlignment="1">
      <alignment vertical="center" wrapText="1"/>
    </xf>
    <xf numFmtId="10" fontId="44" fillId="73" borderId="0" xfId="4688" applyNumberFormat="1" applyFont="1" applyFill="1" applyAlignment="1" applyProtection="1">
      <alignment wrapText="1"/>
    </xf>
    <xf numFmtId="0" fontId="39" fillId="85" borderId="0" xfId="0" applyFont="1" applyFill="1" applyAlignment="1" applyProtection="1">
      <alignment horizontal="center" vertical="center" wrapText="1"/>
      <protection locked="0"/>
    </xf>
    <xf numFmtId="181" fontId="0" fillId="36" borderId="0" xfId="0" applyNumberFormat="1" applyFill="1" applyAlignment="1">
      <alignment vertical="center"/>
    </xf>
    <xf numFmtId="0" fontId="0" fillId="36" borderId="0" xfId="0" applyFill="1" applyAlignment="1">
      <alignment vertical="center"/>
    </xf>
    <xf numFmtId="189" fontId="44" fillId="73" borderId="10" xfId="0" applyNumberFormat="1" applyFont="1" applyFill="1" applyBorder="1" applyProtection="1"/>
    <xf numFmtId="189" fontId="44" fillId="29" borderId="10" xfId="0" applyNumberFormat="1" applyFont="1" applyFill="1" applyBorder="1" applyProtection="1"/>
    <xf numFmtId="0" fontId="45" fillId="34" borderId="13" xfId="0" applyFont="1" applyFill="1" applyBorder="1" applyAlignment="1" applyProtection="1">
      <alignment horizontal="center" vertical="center" wrapText="1"/>
    </xf>
    <xf numFmtId="1" fontId="0" fillId="0" borderId="25" xfId="0" applyNumberFormat="1" applyFont="1" applyFill="1" applyBorder="1" applyAlignment="1" applyProtection="1">
      <alignment horizontal="center" vertical="center" wrapText="1"/>
    </xf>
    <xf numFmtId="169" fontId="0" fillId="34" borderId="29" xfId="439" applyNumberFormat="1" applyFont="1" applyFill="1" applyBorder="1" applyAlignment="1" applyProtection="1">
      <alignment horizontal="right" vertical="center"/>
    </xf>
    <xf numFmtId="0" fontId="0" fillId="34" borderId="0" xfId="0" applyFont="1" applyFill="1" applyAlignment="1" applyProtection="1">
      <alignment vertical="center" wrapText="1"/>
      <protection locked="0"/>
    </xf>
    <xf numFmtId="0" fontId="39" fillId="34" borderId="16" xfId="0" applyFont="1" applyFill="1" applyBorder="1" applyAlignment="1">
      <alignment horizontal="justify" vertical="center" wrapText="1"/>
    </xf>
    <xf numFmtId="0" fontId="37" fillId="34" borderId="16" xfId="0" applyFont="1" applyFill="1" applyBorder="1" applyAlignment="1" applyProtection="1">
      <alignment horizontal="justify" vertical="center" wrapText="1"/>
    </xf>
    <xf numFmtId="0" fontId="0" fillId="0" borderId="10" xfId="0" applyBorder="1" applyAlignment="1">
      <alignment horizontal="center" vertical="center"/>
    </xf>
    <xf numFmtId="0" fontId="0" fillId="86" borderId="10" xfId="0" applyFill="1" applyBorder="1" applyAlignment="1">
      <alignment vertical="center" wrapText="1"/>
    </xf>
    <xf numFmtId="0" fontId="69" fillId="86" borderId="76" xfId="0" applyFont="1" applyFill="1" applyBorder="1" applyAlignment="1">
      <alignment vertical="center" wrapText="1"/>
    </xf>
    <xf numFmtId="0" fontId="39" fillId="0" borderId="57" xfId="0" quotePrefix="1" applyFont="1" applyBorder="1" applyAlignment="1">
      <alignment horizontal="center" vertical="center"/>
    </xf>
    <xf numFmtId="0" fontId="39" fillId="34" borderId="57" xfId="0" quotePrefix="1" applyFont="1" applyFill="1" applyBorder="1" applyAlignment="1">
      <alignment horizontal="center" vertical="center"/>
    </xf>
    <xf numFmtId="0" fontId="39" fillId="0" borderId="57" xfId="0" applyFont="1" applyBorder="1" applyAlignment="1">
      <alignment horizontal="center" vertical="center"/>
    </xf>
    <xf numFmtId="14" fontId="44" fillId="0" borderId="69" xfId="0" applyNumberFormat="1" applyFont="1" applyBorder="1"/>
    <xf numFmtId="14" fontId="44" fillId="34" borderId="70" xfId="0" applyNumberFormat="1" applyFont="1" applyFill="1" applyBorder="1"/>
    <xf numFmtId="14" fontId="44" fillId="34" borderId="71" xfId="0" applyNumberFormat="1" applyFont="1" applyFill="1" applyBorder="1"/>
    <xf numFmtId="0" fontId="44" fillId="0" borderId="22" xfId="0" applyFont="1" applyBorder="1"/>
    <xf numFmtId="0" fontId="44" fillId="0" borderId="56" xfId="0" applyFont="1" applyBorder="1"/>
    <xf numFmtId="14" fontId="44" fillId="0" borderId="0" xfId="0" applyNumberFormat="1" applyFont="1"/>
    <xf numFmtId="14" fontId="44" fillId="0" borderId="56" xfId="0" applyNumberFormat="1" applyFont="1" applyBorder="1"/>
    <xf numFmtId="0" fontId="44" fillId="0" borderId="72" xfId="0" applyFont="1" applyBorder="1"/>
    <xf numFmtId="14" fontId="44" fillId="0" borderId="17" xfId="0" applyNumberFormat="1" applyFont="1" applyBorder="1"/>
    <xf numFmtId="14" fontId="44" fillId="0" borderId="73" xfId="0" applyNumberFormat="1" applyFont="1" applyBorder="1"/>
    <xf numFmtId="14" fontId="0" fillId="0" borderId="57" xfId="0" applyNumberFormat="1" applyBorder="1" applyAlignment="1">
      <alignment horizontal="center" vertical="center" wrapText="1"/>
    </xf>
    <xf numFmtId="0" fontId="0" fillId="1" borderId="57" xfId="0" applyFill="1" applyBorder="1" applyAlignment="1">
      <alignment horizontal="center" vertical="center" wrapText="1"/>
    </xf>
    <xf numFmtId="0" fontId="0" fillId="34" borderId="25" xfId="0" applyFill="1" applyBorder="1" applyAlignment="1">
      <alignment horizontal="left" vertical="center" wrapText="1"/>
    </xf>
    <xf numFmtId="0" fontId="41" fillId="34" borderId="25" xfId="0" applyFont="1" applyFill="1" applyBorder="1" applyAlignment="1">
      <alignment horizontal="left" vertical="center" wrapText="1"/>
    </xf>
    <xf numFmtId="14" fontId="0" fillId="0" borderId="0" xfId="0" applyNumberFormat="1" applyAlignment="1">
      <alignment horizontal="center" vertical="center"/>
    </xf>
    <xf numFmtId="49" fontId="0" fillId="78" borderId="0" xfId="0" applyNumberFormat="1" applyFill="1" applyAlignment="1">
      <alignment horizontal="center" vertical="center" wrapText="1"/>
    </xf>
    <xf numFmtId="0" fontId="0" fillId="22" borderId="0" xfId="0" applyFill="1" applyAlignment="1">
      <alignment vertical="center"/>
    </xf>
    <xf numFmtId="0" fontId="39" fillId="78" borderId="64" xfId="0" applyFont="1" applyFill="1" applyBorder="1" applyAlignment="1">
      <alignment horizontal="center" vertical="center"/>
    </xf>
    <xf numFmtId="0" fontId="41" fillId="78" borderId="23" xfId="0" applyFont="1" applyFill="1" applyBorder="1" applyAlignment="1">
      <alignment horizontal="left" vertical="center" wrapText="1"/>
    </xf>
    <xf numFmtId="14" fontId="0" fillId="78" borderId="64" xfId="439" applyNumberFormat="1" applyFont="1" applyFill="1" applyBorder="1" applyAlignment="1" applyProtection="1">
      <alignment horizontal="center" vertical="center" wrapText="1"/>
    </xf>
    <xf numFmtId="0" fontId="68" fillId="0" borderId="0" xfId="0" applyFont="1" applyAlignment="1">
      <alignment vertical="center" wrapText="1"/>
    </xf>
    <xf numFmtId="171" fontId="0" fillId="0" borderId="0" xfId="0" applyNumberFormat="1" applyFont="1" applyFill="1" applyAlignment="1" applyProtection="1">
      <alignment vertical="center" wrapText="1"/>
    </xf>
    <xf numFmtId="0" fontId="0" fillId="0" borderId="10" xfId="0" applyFill="1" applyBorder="1" applyAlignment="1" applyProtection="1">
      <alignment vertical="center"/>
      <protection locked="0"/>
    </xf>
    <xf numFmtId="0" fontId="0" fillId="0" borderId="10" xfId="0" applyFill="1" applyBorder="1" applyProtection="1">
      <protection locked="0"/>
    </xf>
    <xf numFmtId="0" fontId="0" fillId="0" borderId="10" xfId="0" applyBorder="1" applyProtection="1">
      <protection locked="0"/>
    </xf>
    <xf numFmtId="0" fontId="0" fillId="0" borderId="0" xfId="0" applyProtection="1">
      <protection locked="0"/>
    </xf>
    <xf numFmtId="0" fontId="0" fillId="0" borderId="0" xfId="0" applyAlignment="1">
      <alignment horizontal="center" vertical="center" wrapText="1"/>
    </xf>
    <xf numFmtId="49" fontId="0" fillId="31" borderId="13" xfId="0" applyNumberFormat="1" applyFont="1" applyFill="1" applyBorder="1" applyAlignment="1" applyProtection="1">
      <alignment horizontal="left"/>
      <protection locked="0"/>
    </xf>
    <xf numFmtId="14" fontId="0" fillId="31" borderId="13" xfId="0" applyNumberFormat="1" applyFont="1" applyFill="1" applyBorder="1" applyAlignment="1" applyProtection="1">
      <alignment horizontal="left"/>
      <protection locked="0"/>
    </xf>
    <xf numFmtId="184" fontId="0" fillId="31" borderId="13" xfId="0" applyNumberFormat="1" applyFont="1" applyFill="1" applyBorder="1" applyAlignment="1" applyProtection="1">
      <alignment horizontal="left"/>
      <protection locked="0"/>
    </xf>
    <xf numFmtId="49" fontId="35" fillId="31" borderId="13" xfId="611" applyNumberFormat="1" applyFill="1" applyBorder="1" applyAlignment="1" applyProtection="1">
      <alignment horizontal="left"/>
      <protection locked="0"/>
    </xf>
    <xf numFmtId="10" fontId="44" fillId="73" borderId="0" xfId="0" applyNumberFormat="1" applyFont="1" applyFill="1" applyAlignment="1" applyProtection="1">
      <alignment horizontal="center"/>
    </xf>
    <xf numFmtId="10" fontId="0" fillId="24" borderId="0" xfId="4688" applyNumberFormat="1" applyFont="1" applyFill="1" applyProtection="1"/>
    <xf numFmtId="0" fontId="0" fillId="0" borderId="38" xfId="0" applyFont="1" applyBorder="1" applyAlignment="1">
      <alignment horizontal="left" wrapText="1"/>
    </xf>
    <xf numFmtId="0" fontId="0" fillId="36" borderId="13" xfId="0" applyFill="1" applyBorder="1" applyAlignment="1">
      <alignment horizontal="left" wrapText="1"/>
    </xf>
    <xf numFmtId="0" fontId="0" fillId="36" borderId="16" xfId="0" applyFill="1" applyBorder="1" applyAlignment="1">
      <alignment horizontal="left" wrapText="1"/>
    </xf>
    <xf numFmtId="0" fontId="0" fillId="0" borderId="13" xfId="0" applyFont="1" applyBorder="1" applyAlignment="1">
      <alignment horizontal="left"/>
    </xf>
    <xf numFmtId="0" fontId="0" fillId="0" borderId="16" xfId="0" applyFont="1" applyBorder="1" applyAlignment="1">
      <alignment horizontal="left"/>
    </xf>
    <xf numFmtId="0" fontId="0" fillId="0" borderId="13" xfId="0" applyFont="1" applyBorder="1" applyAlignment="1">
      <alignment horizontal="left" wrapText="1"/>
    </xf>
    <xf numFmtId="0" fontId="0" fillId="0" borderId="16" xfId="0" applyFont="1" applyBorder="1" applyAlignment="1">
      <alignment horizontal="left" wrapText="1"/>
    </xf>
    <xf numFmtId="0" fontId="0" fillId="0" borderId="13" xfId="0" applyFont="1" applyFill="1" applyBorder="1" applyAlignment="1">
      <alignment horizontal="left" wrapText="1"/>
    </xf>
    <xf numFmtId="0" fontId="0" fillId="0" borderId="16" xfId="0" applyFont="1" applyFill="1" applyBorder="1" applyAlignment="1">
      <alignment horizontal="left" wrapText="1"/>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0" fillId="74" borderId="0" xfId="0" applyFont="1" applyFill="1" applyAlignment="1" applyProtection="1">
      <alignment horizontal="left" vertical="center" wrapText="1"/>
    </xf>
    <xf numFmtId="0" fontId="39" fillId="0" borderId="13" xfId="0" applyFont="1" applyBorder="1" applyAlignment="1">
      <alignment horizontal="center"/>
    </xf>
    <xf numFmtId="0" fontId="39" fillId="0" borderId="16" xfId="0" applyFont="1" applyBorder="1" applyAlignment="1">
      <alignment horizontal="center"/>
    </xf>
    <xf numFmtId="0" fontId="39" fillId="0" borderId="11" xfId="0" applyFont="1" applyBorder="1" applyAlignment="1">
      <alignment horizontal="center"/>
    </xf>
    <xf numFmtId="0" fontId="57" fillId="74" borderId="80" xfId="0" applyFont="1" applyFill="1" applyBorder="1" applyAlignment="1">
      <alignment horizontal="left" vertical="center" wrapText="1"/>
    </xf>
    <xf numFmtId="0" fontId="196" fillId="34" borderId="13" xfId="0" applyFont="1" applyFill="1" applyBorder="1" applyAlignment="1">
      <alignment horizontal="center" vertical="center" wrapText="1"/>
    </xf>
    <xf numFmtId="0" fontId="196" fillId="34" borderId="16" xfId="0" applyFont="1" applyFill="1" applyBorder="1" applyAlignment="1">
      <alignment horizontal="center" vertical="center" wrapText="1"/>
    </xf>
    <xf numFmtId="0" fontId="196" fillId="34" borderId="11" xfId="0" applyFont="1" applyFill="1" applyBorder="1" applyAlignment="1">
      <alignment horizontal="center" vertical="center" wrapText="1"/>
    </xf>
    <xf numFmtId="0" fontId="69" fillId="34" borderId="67" xfId="0" applyFont="1" applyFill="1" applyBorder="1" applyAlignment="1">
      <alignment horizontal="center" wrapText="1"/>
    </xf>
    <xf numFmtId="0" fontId="69" fillId="34" borderId="87" xfId="0" applyFont="1" applyFill="1" applyBorder="1" applyAlignment="1">
      <alignment horizontal="center" wrapText="1"/>
    </xf>
    <xf numFmtId="0" fontId="40" fillId="26" borderId="13" xfId="0" applyFont="1" applyFill="1" applyBorder="1" applyAlignment="1">
      <alignment horizontal="center" vertical="top" wrapText="1"/>
    </xf>
    <xf numFmtId="0" fontId="40" fillId="26" borderId="16" xfId="0" applyFont="1" applyFill="1" applyBorder="1" applyAlignment="1">
      <alignment horizontal="center" vertical="top" wrapText="1"/>
    </xf>
    <xf numFmtId="0" fontId="40" fillId="26" borderId="11" xfId="0" applyFont="1" applyFill="1" applyBorder="1" applyAlignment="1">
      <alignment horizontal="center" vertical="top" wrapText="1"/>
    </xf>
    <xf numFmtId="0" fontId="180" fillId="85" borderId="13" xfId="0" applyFont="1" applyFill="1" applyBorder="1" applyAlignment="1">
      <alignment horizontal="center" vertical="center"/>
    </xf>
    <xf numFmtId="0" fontId="180" fillId="85" borderId="16" xfId="0" applyFont="1" applyFill="1" applyBorder="1" applyAlignment="1">
      <alignment horizontal="center" vertical="center"/>
    </xf>
    <xf numFmtId="0" fontId="180" fillId="85" borderId="11" xfId="0" applyFont="1" applyFill="1" applyBorder="1" applyAlignment="1">
      <alignment horizontal="center" vertical="center"/>
    </xf>
    <xf numFmtId="0" fontId="51" fillId="26" borderId="13" xfId="0" applyFont="1" applyFill="1" applyBorder="1" applyAlignment="1">
      <alignment horizontal="center" vertical="center"/>
    </xf>
    <xf numFmtId="0" fontId="51" fillId="26" borderId="16" xfId="0" applyFont="1" applyFill="1" applyBorder="1" applyAlignment="1">
      <alignment horizontal="center" vertical="center"/>
    </xf>
    <xf numFmtId="0" fontId="51" fillId="26" borderId="11" xfId="0" applyFont="1" applyFill="1" applyBorder="1" applyAlignment="1">
      <alignment horizontal="center" vertical="center"/>
    </xf>
    <xf numFmtId="0" fontId="196" fillId="34" borderId="13" xfId="0" applyFont="1" applyFill="1" applyBorder="1" applyAlignment="1">
      <alignment horizontal="center" wrapText="1"/>
    </xf>
    <xf numFmtId="0" fontId="196" fillId="34" borderId="16" xfId="0" applyFont="1" applyFill="1" applyBorder="1" applyAlignment="1">
      <alignment horizontal="center" wrapText="1"/>
    </xf>
    <xf numFmtId="0" fontId="196" fillId="34" borderId="11" xfId="0" applyFont="1" applyFill="1" applyBorder="1" applyAlignment="1">
      <alignment horizontal="center" wrapText="1"/>
    </xf>
    <xf numFmtId="0" fontId="161" fillId="0" borderId="40" xfId="0" applyFont="1" applyBorder="1" applyAlignment="1" applyProtection="1">
      <alignment horizontal="center" vertical="center"/>
    </xf>
    <xf numFmtId="0" fontId="161" fillId="0" borderId="41" xfId="0" applyFont="1" applyBorder="1" applyAlignment="1" applyProtection="1">
      <alignment horizontal="center" vertical="center"/>
    </xf>
    <xf numFmtId="0" fontId="161" fillId="0" borderId="16" xfId="0" applyFont="1" applyBorder="1" applyAlignment="1" applyProtection="1">
      <alignment horizontal="center" vertical="center"/>
    </xf>
    <xf numFmtId="0" fontId="161" fillId="0" borderId="11" xfId="0" applyFont="1" applyBorder="1" applyAlignment="1" applyProtection="1">
      <alignment horizontal="center" vertical="center"/>
    </xf>
    <xf numFmtId="0" fontId="57" fillId="34" borderId="13" xfId="0" applyFont="1" applyFill="1" applyBorder="1" applyAlignment="1" applyProtection="1">
      <alignment horizontal="justify" vertical="center" wrapText="1"/>
    </xf>
    <xf numFmtId="0" fontId="57" fillId="34" borderId="16" xfId="0" applyFont="1" applyFill="1" applyBorder="1" applyAlignment="1" applyProtection="1">
      <alignment horizontal="justify" vertical="center" wrapText="1"/>
    </xf>
    <xf numFmtId="0" fontId="57" fillId="34" borderId="11" xfId="0" applyFont="1" applyFill="1" applyBorder="1" applyAlignment="1" applyProtection="1">
      <alignment horizontal="justify" vertical="center" wrapText="1"/>
    </xf>
    <xf numFmtId="0" fontId="48" fillId="0" borderId="95" xfId="0" applyFont="1" applyBorder="1" applyAlignment="1" applyProtection="1">
      <alignment horizontal="center" vertical="center" wrapText="1"/>
    </xf>
    <xf numFmtId="0" fontId="48" fillId="0" borderId="96" xfId="0" applyFont="1" applyBorder="1" applyAlignment="1" applyProtection="1">
      <alignment horizontal="center" vertical="center" wrapText="1"/>
    </xf>
    <xf numFmtId="0" fontId="48" fillId="0" borderId="92" xfId="0" applyFont="1" applyBorder="1" applyAlignment="1" applyProtection="1">
      <alignment horizontal="center" vertical="center" wrapText="1"/>
    </xf>
    <xf numFmtId="0" fontId="39" fillId="0" borderId="15" xfId="0" applyFont="1" applyBorder="1" applyAlignment="1" applyProtection="1">
      <alignment horizontal="center" vertical="center"/>
    </xf>
    <xf numFmtId="0" fontId="39" fillId="0" borderId="60" xfId="0" applyFont="1" applyBorder="1" applyAlignment="1" applyProtection="1">
      <alignment horizontal="center" vertical="center"/>
    </xf>
    <xf numFmtId="0" fontId="39" fillId="0" borderId="40" xfId="0" applyFont="1" applyBorder="1" applyAlignment="1" applyProtection="1">
      <alignment horizontal="center" vertical="center"/>
    </xf>
    <xf numFmtId="0" fontId="39" fillId="0" borderId="42" xfId="0" applyFont="1" applyBorder="1" applyAlignment="1" applyProtection="1">
      <alignment horizontal="center" vertical="center"/>
    </xf>
    <xf numFmtId="0" fontId="39" fillId="0" borderId="87" xfId="0" applyFont="1" applyBorder="1" applyAlignment="1" applyProtection="1">
      <alignment horizontal="center" wrapText="1"/>
    </xf>
    <xf numFmtId="0" fontId="39" fillId="0" borderId="68" xfId="0" applyFont="1" applyBorder="1" applyAlignment="1" applyProtection="1">
      <alignment horizontal="center"/>
    </xf>
    <xf numFmtId="0" fontId="48" fillId="0" borderId="97" xfId="0" applyFont="1" applyBorder="1" applyAlignment="1" applyProtection="1">
      <alignment horizontal="center" vertical="center"/>
    </xf>
    <xf numFmtId="0" fontId="48" fillId="0" borderId="98" xfId="0" applyFont="1" applyBorder="1" applyAlignment="1" applyProtection="1">
      <alignment horizontal="center" vertical="center"/>
    </xf>
    <xf numFmtId="0" fontId="48" fillId="0" borderId="99" xfId="0" applyFont="1" applyBorder="1" applyAlignment="1" applyProtection="1">
      <alignment horizontal="center" vertical="center"/>
    </xf>
    <xf numFmtId="0" fontId="130" fillId="73" borderId="67" xfId="0" applyFont="1" applyFill="1" applyBorder="1" applyAlignment="1" applyProtection="1">
      <alignment horizontal="center" vertical="center" wrapText="1"/>
    </xf>
    <xf numFmtId="0" fontId="130" fillId="73" borderId="87" xfId="0" applyFont="1" applyFill="1" applyBorder="1" applyAlignment="1" applyProtection="1">
      <alignment horizontal="center" vertical="center" wrapText="1"/>
    </xf>
    <xf numFmtId="0" fontId="130" fillId="73" borderId="68" xfId="0" applyFont="1" applyFill="1" applyBorder="1" applyAlignment="1" applyProtection="1">
      <alignment horizontal="center" vertical="center" wrapText="1"/>
    </xf>
    <xf numFmtId="0" fontId="57" fillId="78" borderId="67" xfId="0" applyFont="1" applyFill="1" applyBorder="1" applyAlignment="1" applyProtection="1">
      <alignment horizontal="center" vertical="center" wrapText="1"/>
    </xf>
    <xf numFmtId="0" fontId="57" fillId="78" borderId="87" xfId="0" applyFont="1" applyFill="1" applyBorder="1" applyAlignment="1" applyProtection="1">
      <alignment horizontal="center" vertical="center" wrapText="1"/>
    </xf>
    <xf numFmtId="0" fontId="57" fillId="78" borderId="68" xfId="0" applyFont="1" applyFill="1" applyBorder="1" applyAlignment="1" applyProtection="1">
      <alignment horizontal="center" vertical="center" wrapText="1"/>
    </xf>
    <xf numFmtId="0" fontId="0" fillId="0" borderId="67"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57" fillId="34" borderId="16" xfId="0" applyFont="1" applyFill="1" applyBorder="1" applyAlignment="1" applyProtection="1">
      <alignment horizontal="left" vertical="center" wrapText="1"/>
    </xf>
    <xf numFmtId="0" fontId="57" fillId="34" borderId="11" xfId="0" applyFont="1" applyFill="1" applyBorder="1" applyAlignment="1" applyProtection="1">
      <alignment horizontal="left" vertical="center" wrapText="1"/>
    </xf>
    <xf numFmtId="0" fontId="40" fillId="0" borderId="38" xfId="682" applyFont="1" applyBorder="1" applyAlignment="1" applyProtection="1">
      <alignment horizontal="justify" vertical="justify" wrapText="1"/>
    </xf>
    <xf numFmtId="0" fontId="40" fillId="0" borderId="39" xfId="682" applyFont="1" applyBorder="1" applyAlignment="1" applyProtection="1">
      <alignment horizontal="justify" vertical="justify" wrapText="1"/>
    </xf>
    <xf numFmtId="0" fontId="40" fillId="0" borderId="41" xfId="682" applyFont="1" applyBorder="1" applyAlignment="1" applyProtection="1">
      <alignment horizontal="justify" vertical="justify" wrapText="1"/>
    </xf>
    <xf numFmtId="0" fontId="40" fillId="0" borderId="42" xfId="682" applyFont="1" applyBorder="1" applyAlignment="1" applyProtection="1">
      <alignment horizontal="justify" vertical="justify" wrapText="1"/>
    </xf>
    <xf numFmtId="0" fontId="37" fillId="78" borderId="67" xfId="0" applyFont="1" applyFill="1" applyBorder="1" applyAlignment="1" applyProtection="1">
      <alignment horizontal="justify" vertical="center" wrapText="1"/>
    </xf>
    <xf numFmtId="0" fontId="37" fillId="78" borderId="68" xfId="0" applyFont="1" applyFill="1" applyBorder="1" applyAlignment="1" applyProtection="1">
      <alignment horizontal="justify" vertical="center" wrapText="1"/>
    </xf>
    <xf numFmtId="0" fontId="57" fillId="34" borderId="11" xfId="0" applyFont="1" applyFill="1" applyBorder="1" applyAlignment="1">
      <alignment horizontal="justify" vertical="center" wrapText="1"/>
    </xf>
    <xf numFmtId="0" fontId="57" fillId="34" borderId="57" xfId="0" applyFont="1" applyFill="1" applyBorder="1" applyAlignment="1">
      <alignment horizontal="justify" vertical="center" wrapText="1"/>
    </xf>
    <xf numFmtId="0" fontId="57" fillId="0" borderId="38" xfId="0" applyFont="1" applyBorder="1" applyAlignment="1" applyProtection="1">
      <alignment horizontal="center" wrapText="1"/>
    </xf>
    <xf numFmtId="0" fontId="57" fillId="0" borderId="39" xfId="0" applyFont="1" applyBorder="1" applyAlignment="1" applyProtection="1">
      <alignment horizontal="center" wrapText="1"/>
    </xf>
    <xf numFmtId="0" fontId="57" fillId="0" borderId="0" xfId="0" applyFont="1" applyAlignment="1" applyProtection="1">
      <alignment horizontal="center" wrapText="1"/>
    </xf>
    <xf numFmtId="0" fontId="57" fillId="0" borderId="60" xfId="0" applyFont="1" applyBorder="1" applyAlignment="1" applyProtection="1">
      <alignment horizontal="center" wrapText="1"/>
    </xf>
    <xf numFmtId="0" fontId="57" fillId="34" borderId="57" xfId="0" applyFont="1" applyFill="1" applyBorder="1" applyAlignment="1" applyProtection="1">
      <alignment horizontal="left" vertical="center" wrapText="1"/>
    </xf>
    <xf numFmtId="0" fontId="39" fillId="0" borderId="13" xfId="0" applyFont="1" applyBorder="1" applyAlignment="1" applyProtection="1">
      <alignment horizontal="left" wrapText="1"/>
    </xf>
    <xf numFmtId="0" fontId="39" fillId="0" borderId="16" xfId="0" applyFont="1" applyBorder="1" applyAlignment="1" applyProtection="1">
      <alignment horizontal="left" wrapText="1"/>
    </xf>
    <xf numFmtId="0" fontId="39" fillId="0" borderId="11" xfId="0" applyFont="1" applyBorder="1" applyAlignment="1" applyProtection="1">
      <alignment horizontal="left" wrapText="1"/>
    </xf>
    <xf numFmtId="0" fontId="39" fillId="0" borderId="13" xfId="0" applyFont="1" applyBorder="1" applyAlignment="1" applyProtection="1">
      <alignment horizontal="left" vertical="center" wrapText="1"/>
    </xf>
    <xf numFmtId="0" fontId="39" fillId="0" borderId="16" xfId="0" applyFont="1" applyBorder="1" applyAlignment="1" applyProtection="1">
      <alignment horizontal="left" vertical="center" wrapText="1"/>
    </xf>
    <xf numFmtId="0" fontId="39" fillId="0" borderId="11" xfId="0" applyFont="1" applyBorder="1" applyAlignment="1" applyProtection="1">
      <alignment horizontal="left" vertical="center" wrapText="1"/>
    </xf>
    <xf numFmtId="0" fontId="57" fillId="78" borderId="11" xfId="0" applyFont="1" applyFill="1" applyBorder="1" applyAlignment="1" applyProtection="1">
      <alignment horizontal="left" wrapText="1"/>
    </xf>
    <xf numFmtId="0" fontId="57" fillId="78" borderId="57" xfId="0" applyFont="1" applyFill="1" applyBorder="1" applyAlignment="1" applyProtection="1">
      <alignment horizontal="left" wrapText="1"/>
    </xf>
    <xf numFmtId="0" fontId="39" fillId="78" borderId="16" xfId="0" applyFont="1" applyFill="1" applyBorder="1" applyAlignment="1" applyProtection="1">
      <alignment horizontal="justify" vertical="center" wrapText="1"/>
    </xf>
    <xf numFmtId="0" fontId="39" fillId="78" borderId="11" xfId="0" applyFont="1" applyFill="1" applyBorder="1" applyAlignment="1" applyProtection="1">
      <alignment horizontal="justify" vertical="center" wrapText="1"/>
    </xf>
    <xf numFmtId="0" fontId="39" fillId="0" borderId="16" xfId="0" applyFont="1" applyBorder="1" applyAlignment="1" applyProtection="1">
      <alignment horizontal="center" wrapText="1"/>
    </xf>
    <xf numFmtId="0" fontId="39" fillId="0" borderId="11" xfId="0" applyFont="1" applyBorder="1" applyAlignment="1" applyProtection="1">
      <alignment horizontal="center" wrapText="1"/>
    </xf>
    <xf numFmtId="0" fontId="57" fillId="78" borderId="16" xfId="0" applyFont="1" applyFill="1" applyBorder="1" applyAlignment="1" applyProtection="1">
      <alignment horizontal="left" wrapText="1"/>
    </xf>
    <xf numFmtId="0" fontId="57" fillId="78" borderId="11" xfId="0" applyFont="1" applyFill="1" applyBorder="1" applyAlignment="1" applyProtection="1">
      <alignment horizontal="left" vertical="center" wrapText="1"/>
    </xf>
    <xf numFmtId="0" fontId="57" fillId="78" borderId="57" xfId="0" applyFont="1" applyFill="1" applyBorder="1" applyAlignment="1" applyProtection="1">
      <alignment horizontal="left" vertical="center" wrapText="1"/>
    </xf>
    <xf numFmtId="0" fontId="39" fillId="78" borderId="16" xfId="0" applyFont="1" applyFill="1" applyBorder="1" applyAlignment="1" applyProtection="1">
      <alignment horizontal="center" wrapText="1"/>
    </xf>
    <xf numFmtId="0" fontId="39" fillId="78" borderId="11" xfId="0" applyFont="1" applyFill="1" applyBorder="1" applyAlignment="1" applyProtection="1">
      <alignment horizontal="center" wrapText="1"/>
    </xf>
    <xf numFmtId="0" fontId="57" fillId="78" borderId="11" xfId="0" applyFont="1" applyFill="1" applyBorder="1" applyAlignment="1" applyProtection="1">
      <alignment horizontal="justify" vertical="center" wrapText="1"/>
    </xf>
    <xf numFmtId="0" fontId="57" fillId="78" borderId="57" xfId="0" applyFont="1" applyFill="1" applyBorder="1" applyAlignment="1" applyProtection="1">
      <alignment horizontal="justify" vertical="center" wrapText="1"/>
    </xf>
    <xf numFmtId="0" fontId="0" fillId="78" borderId="16" xfId="0" applyFill="1" applyBorder="1" applyAlignment="1" applyProtection="1">
      <alignment horizontal="center"/>
    </xf>
    <xf numFmtId="0" fontId="0" fillId="78" borderId="11" xfId="0" applyFill="1" applyBorder="1" applyAlignment="1" applyProtection="1">
      <alignment horizontal="center"/>
    </xf>
    <xf numFmtId="0" fontId="57" fillId="34" borderId="13" xfId="0" applyFont="1" applyFill="1" applyBorder="1" applyAlignment="1" applyProtection="1">
      <alignment horizontal="left" vertical="center" wrapText="1"/>
    </xf>
    <xf numFmtId="0" fontId="57" fillId="78" borderId="90" xfId="0" applyFont="1" applyFill="1" applyBorder="1" applyAlignment="1" applyProtection="1">
      <alignment horizontal="left" wrapText="1"/>
    </xf>
    <xf numFmtId="0" fontId="39" fillId="78" borderId="57" xfId="0" applyFont="1" applyFill="1" applyBorder="1" applyAlignment="1" applyProtection="1">
      <alignment horizontal="justify" vertical="center" wrapText="1"/>
    </xf>
    <xf numFmtId="0" fontId="39" fillId="0" borderId="0" xfId="682" applyFont="1" applyAlignment="1">
      <alignment horizontal="justify" vertical="justify" wrapText="1"/>
    </xf>
    <xf numFmtId="0" fontId="57" fillId="27" borderId="0" xfId="682" applyFont="1" applyFill="1" applyAlignment="1">
      <alignment horizontal="center" vertical="center" wrapText="1"/>
    </xf>
    <xf numFmtId="0" fontId="44" fillId="0" borderId="37" xfId="26000" applyFont="1" applyBorder="1" applyAlignment="1" applyProtection="1">
      <alignment horizontal="left" vertical="top" wrapText="1"/>
      <protection locked="0"/>
    </xf>
    <xf numFmtId="0" fontId="44" fillId="0" borderId="38" xfId="26000" applyFont="1" applyBorder="1" applyAlignment="1" applyProtection="1">
      <alignment horizontal="left" vertical="top" wrapText="1"/>
      <protection locked="0"/>
    </xf>
    <xf numFmtId="0" fontId="44" fillId="0" borderId="39" xfId="26000" applyFont="1" applyBorder="1" applyAlignment="1" applyProtection="1">
      <alignment horizontal="left" vertical="top" wrapText="1"/>
      <protection locked="0"/>
    </xf>
    <xf numFmtId="0" fontId="44" fillId="0" borderId="15" xfId="26000" applyFont="1" applyBorder="1" applyAlignment="1" applyProtection="1">
      <alignment horizontal="left" vertical="top" wrapText="1"/>
      <protection locked="0"/>
    </xf>
    <xf numFmtId="0" fontId="44" fillId="0" borderId="0" xfId="26000" applyFont="1" applyAlignment="1" applyProtection="1">
      <alignment horizontal="left" vertical="top" wrapText="1"/>
      <protection locked="0"/>
    </xf>
    <xf numFmtId="0" fontId="44" fillId="0" borderId="60" xfId="26000" applyFont="1" applyBorder="1" applyAlignment="1" applyProtection="1">
      <alignment horizontal="left" vertical="top" wrapText="1"/>
      <protection locked="0"/>
    </xf>
    <xf numFmtId="0" fontId="44" fillId="0" borderId="40" xfId="26000" applyFont="1" applyBorder="1" applyAlignment="1" applyProtection="1">
      <alignment horizontal="left" vertical="top" wrapText="1"/>
      <protection locked="0"/>
    </xf>
    <xf numFmtId="0" fontId="44" fillId="0" borderId="41" xfId="26000" applyFont="1" applyBorder="1" applyAlignment="1" applyProtection="1">
      <alignment horizontal="left" vertical="top" wrapText="1"/>
      <protection locked="0"/>
    </xf>
    <xf numFmtId="0" fontId="44" fillId="0" borderId="42" xfId="26000" applyFont="1" applyBorder="1" applyAlignment="1" applyProtection="1">
      <alignment horizontal="left" vertical="top" wrapText="1"/>
      <protection locked="0"/>
    </xf>
    <xf numFmtId="0" fontId="57" fillId="0" borderId="0" xfId="26000" applyFont="1" applyAlignment="1">
      <alignment horizontal="center" vertical="top"/>
    </xf>
    <xf numFmtId="0" fontId="57" fillId="0" borderId="0" xfId="26000" applyFont="1" applyAlignment="1">
      <alignment horizontal="center" vertical="top" wrapText="1"/>
    </xf>
    <xf numFmtId="0" fontId="132" fillId="0" borderId="69" xfId="26000" applyFont="1" applyBorder="1" applyAlignment="1">
      <alignment horizontal="left" vertical="top" wrapText="1"/>
    </xf>
    <xf numFmtId="0" fontId="132" fillId="0" borderId="70" xfId="26000" applyFont="1" applyBorder="1" applyAlignment="1">
      <alignment horizontal="left" vertical="top" wrapText="1"/>
    </xf>
    <xf numFmtId="0" fontId="132" fillId="0" borderId="71" xfId="26000" applyFont="1" applyBorder="1" applyAlignment="1">
      <alignment horizontal="left" vertical="top" wrapText="1"/>
    </xf>
    <xf numFmtId="0" fontId="132" fillId="0" borderId="22" xfId="26000" applyFont="1" applyBorder="1" applyAlignment="1">
      <alignment horizontal="left" vertical="top" wrapText="1"/>
    </xf>
    <xf numFmtId="0" fontId="132" fillId="0" borderId="0" xfId="26000" applyFont="1" applyBorder="1" applyAlignment="1">
      <alignment horizontal="left" vertical="top" wrapText="1"/>
    </xf>
    <xf numFmtId="0" fontId="132" fillId="0" borderId="56" xfId="26000" applyFont="1" applyBorder="1" applyAlignment="1">
      <alignment horizontal="left" vertical="top" wrapText="1"/>
    </xf>
    <xf numFmtId="0" fontId="132" fillId="0" borderId="72" xfId="26000" applyFont="1" applyBorder="1" applyAlignment="1">
      <alignment horizontal="left" vertical="top" wrapText="1"/>
    </xf>
    <xf numFmtId="0" fontId="132" fillId="0" borderId="17" xfId="26000" applyFont="1" applyBorder="1" applyAlignment="1">
      <alignment horizontal="left" vertical="top" wrapText="1"/>
    </xf>
    <xf numFmtId="0" fontId="132" fillId="0" borderId="73" xfId="26000" applyFont="1" applyBorder="1" applyAlignment="1">
      <alignment horizontal="left" vertical="top" wrapText="1"/>
    </xf>
    <xf numFmtId="0" fontId="132" fillId="0" borderId="0" xfId="26000" applyFont="1" applyAlignment="1">
      <alignment horizontal="left" vertical="top" wrapText="1"/>
    </xf>
    <xf numFmtId="0" fontId="57" fillId="0" borderId="41" xfId="26000" applyFont="1" applyBorder="1" applyAlignment="1">
      <alignment horizontal="left"/>
    </xf>
  </cellXfs>
  <cellStyles count="32026">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2 2" xfId="29794" xr:uid="{F4742CAB-EE8A-4F65-A5A1-A8EA60CAE710}"/>
    <cellStyle name="Comma 10 2 2 2 3" xfId="24673" xr:uid="{DDF8ACA5-2AFD-4024-B635-F103D987427D}"/>
    <cellStyle name="Comma 10 2 2 2 4" xfId="30048" xr:uid="{3022D834-5AD4-4789-AA9A-422519C0A007}"/>
    <cellStyle name="Comma 10 2 2 3" xfId="4848" xr:uid="{8F94D0E0-B6FC-4A5A-96EA-540CD9CE6C5C}"/>
    <cellStyle name="Comma 10 2 2 3 2" xfId="28026" xr:uid="{9E108CF4-A88E-4CA8-B7DD-2946C5BBAD03}"/>
    <cellStyle name="Comma 10 2 2 3 2 2" xfId="31200" xr:uid="{B8614D68-E4D5-449A-AC4B-CDF4ED1EE035}"/>
    <cellStyle name="Comma 10 2 2 3 2 3" xfId="30641" xr:uid="{DFF08651-449D-4396-9E32-8C7D875A6813}"/>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4 2" xfId="29749" xr:uid="{CF5D2640-E526-43E0-BA56-AD4FA4FBFC5A}"/>
    <cellStyle name="Comma 10 2 3 5" xfId="23967" xr:uid="{872D2A5E-2248-4DBD-A4C8-F9817C8FE0C9}"/>
    <cellStyle name="Comma 10 2 3 5 2" xfId="29840" xr:uid="{53EBA3A0-8A8E-41BA-BEEA-5C5EFEDBB1D3}"/>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3" xfId="24996" xr:uid="{BCC21D0C-6164-4C0C-BE9D-19D73485CCD6}"/>
    <cellStyle name="Comma 10 2 4 3 2" xfId="29891" xr:uid="{3C345DA9-232A-4A53-AA10-55EDA166162A}"/>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2 2" xfId="29675" xr:uid="{910931E2-DB10-4C31-A77B-FB04EFA1DED8}"/>
    <cellStyle name="Comma 10 2 5 2 2 2" xfId="31157" xr:uid="{21B53B7A-B52F-4990-BABE-5580191787F7}"/>
    <cellStyle name="Comma 10 2 5 2 3" xfId="30640" xr:uid="{7EC80DBB-6F40-40B4-9324-B9E60C405E46}"/>
    <cellStyle name="Comma 10 2 5 3" xfId="25744" xr:uid="{0CB8BCFE-C336-455F-AB49-F3C7B1BC9CDD}"/>
    <cellStyle name="Comma 10 2 5 4" xfId="26726" xr:uid="{E10D12CB-9FC4-43DF-9506-CC26BADEEDA0}"/>
    <cellStyle name="Comma 10 2 6" xfId="22924" xr:uid="{6875A78D-7D82-435D-82A6-AE342806D5C5}"/>
    <cellStyle name="Comma 10 2 6 2" xfId="29717" xr:uid="{75234A64-AAA0-42BA-A9EA-3C0DB2735BB4}"/>
    <cellStyle name="Comma 10 2 7" xfId="28538" xr:uid="{DC7A2659-338F-45FE-B0DB-9DBBE3311BDD}"/>
    <cellStyle name="Comma 10 2 7 2" xfId="29672" xr:uid="{C346A8C2-3DB3-42DB-A377-6D31684099AA}"/>
    <cellStyle name="Comma 10 2 7 2 2" xfId="31209" xr:uid="{3241FD88-2E3A-4A7F-91A8-62B6F4940F71}"/>
    <cellStyle name="Comma 10 2 8" xfId="29838" xr:uid="{40B22064-AAF7-4863-8F25-65D531C30E59}"/>
    <cellStyle name="Comma 10 2 9" xfId="29983" xr:uid="{E9094487-74F6-4A84-A11B-7F3935258FB1}"/>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2 3" xfId="31002" xr:uid="{E590BC16-15EE-4924-8848-778D3E4A89CE}"/>
    <cellStyle name="Comma 10 3 4 2 4" xfId="30642" xr:uid="{4DFC3DE0-3B6C-4F74-9DAC-4286A1C1DC94}"/>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2 2" xfId="31214" xr:uid="{C5898CD3-95E5-4E55-97B3-E7DFF2EDE9B8}"/>
    <cellStyle name="Comma 10 4 2 2 2 3" xfId="30644" xr:uid="{15F7C382-4917-4D01-9DFB-DA9009983639}"/>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4" xfId="4391" xr:uid="{7996377A-9016-4AC6-B865-6A69B11B069A}"/>
    <cellStyle name="Comma 10 4 4 2" xfId="9163" xr:uid="{6CB582D5-41FF-4944-A280-0C4FE6078316}"/>
    <cellStyle name="Comma 10 4 4 2 2" xfId="19543" xr:uid="{27CC5494-322D-423C-BB28-E0A60C6110ED}"/>
    <cellStyle name="Comma 10 4 4 2 3" xfId="31057" xr:uid="{5579DD09-2BFB-4FE1-912C-2BC187101C35}"/>
    <cellStyle name="Comma 10 4 4 2 4" xfId="30643" xr:uid="{18A4DFC5-33A3-47FD-833B-2AE056D5805F}"/>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5 2" xfId="29930" xr:uid="{2A9D8251-9F42-44B6-AE30-1987BF1D4A0C}"/>
    <cellStyle name="Comma 10 4 5 2 2" xfId="30955" xr:uid="{E9011422-05E3-4560-AAC8-5B0377BA6E5B}"/>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4 2" xfId="29888" xr:uid="{6D06C6E3-D0AD-422D-A9DE-E301F61D463B}"/>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6 6" xfId="31267" xr:uid="{A4D5031B-2004-4538-BF8C-B4A048DF0DB4}"/>
    <cellStyle name="Comma 10 7" xfId="24295" xr:uid="{344DCAF3-DA96-45E3-9F88-C607554C61E4}"/>
    <cellStyle name="Comma 10 7 2" xfId="27814" xr:uid="{1067AA7F-8FEA-4C90-923A-936739E57666}"/>
    <cellStyle name="Comma 10 7 3" xfId="31152" xr:uid="{C5496218-A9DD-47F3-8C2E-81E3ADC8FD5D}"/>
    <cellStyle name="Comma 10 8" xfId="28005" xr:uid="{E7712595-FDE1-4527-8110-F08C9BD2B4D5}"/>
    <cellStyle name="Comma 10 9" xfId="26457" xr:uid="{34BF2C5E-A5C7-4A84-AB73-BFB00FFDC39F}"/>
    <cellStyle name="Comma 10 9 2" xfId="30398" xr:uid="{36D04115-A232-4017-8499-A0543DF30744}"/>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4 2" xfId="30079" xr:uid="{1277A8FD-6083-436E-99F1-F49C951033A8}"/>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4 2" xfId="29773" xr:uid="{687E3D0F-93F6-41FC-A263-BC359B09D7DC}"/>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2 5" xfId="30422" xr:uid="{9C10034A-DB87-4E31-9765-1BF6E5A23CE8}"/>
    <cellStyle name="Comma 11 3 3" xfId="3625" xr:uid="{00000000-0005-0000-0000-0000C3010000}"/>
    <cellStyle name="Comma 11 3 4" xfId="24017" xr:uid="{14E1B29C-AAA1-44F5-AD07-8E4FC697E6A9}"/>
    <cellStyle name="Comma 11 3 4 2" xfId="29748" xr:uid="{0055F465-A603-4D53-9DBD-2C902049CB61}"/>
    <cellStyle name="Comma 11 3 5" xfId="29890" xr:uid="{CCF74651-5B1C-4DDE-B115-CAD74F391071}"/>
    <cellStyle name="Comma 11 3 6" xfId="30008" xr:uid="{30856FF1-EAAD-4839-AAFB-735735686948}"/>
    <cellStyle name="Comma 11 4" xfId="1566" xr:uid="{00000000-0005-0000-0000-0000C4010000}"/>
    <cellStyle name="Comma 11 4 2" xfId="25795" xr:uid="{0F4819E6-8400-47DB-97BA-E4B83CC33474}"/>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2 5" xfId="31004" xr:uid="{E7EFB901-FFE8-4FD5-A500-07B63BEEACD2}"/>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2 2 2" xfId="29787" xr:uid="{62F9D09B-9FF7-422B-A32D-3D37D1704DEF}"/>
    <cellStyle name="Comma 12 2 2 2 2" xfId="30646" xr:uid="{BACC46BC-C29D-4BF8-8F5B-BCC14C871348}"/>
    <cellStyle name="Comma 12 2 3" xfId="29656" xr:uid="{B47812A9-F555-454A-8F3F-946EFB179A34}"/>
    <cellStyle name="Comma 12 2 4" xfId="30096" xr:uid="{F83BC86D-1566-4D14-ACFD-F33C31141344}"/>
    <cellStyle name="Comma 12 3" xfId="3626" xr:uid="{00000000-0005-0000-0000-0000C5010000}"/>
    <cellStyle name="Comma 12 3 2" xfId="29788" xr:uid="{33AA548C-D797-4568-9126-E3D501F4FDC8}"/>
    <cellStyle name="Comma 12 3 3" xfId="29658" xr:uid="{11D32195-315E-49FB-ABE2-A5A93DFF4A4E}"/>
    <cellStyle name="Comma 12 4" xfId="5538" xr:uid="{A85C391B-D1F2-4216-9318-8F0D3F6AE60C}"/>
    <cellStyle name="Comma 12 4 2" xfId="29742" xr:uid="{8C58184A-BAEB-4E53-8424-41182C888A46}"/>
    <cellStyle name="Comma 12 4 2 2" xfId="30645" xr:uid="{EDF49783-1110-4297-BDA9-D7B8F2510818}"/>
    <cellStyle name="Comma 12 4 3" xfId="30561" xr:uid="{BD86C246-5046-425B-9AA5-444941F4BC54}"/>
    <cellStyle name="Comma 12 5" xfId="23517" xr:uid="{07A7475F-DD9D-4311-BCE3-CDFB929ABEC3}"/>
    <cellStyle name="Comma 12 5 2" xfId="24228" xr:uid="{737B9A1D-50A5-487A-9FD7-3644CCD4DE49}"/>
    <cellStyle name="Comma 12 6" xfId="29839" xr:uid="{6E14ACA3-AD72-4CFF-AC57-1A7106AAB474}"/>
    <cellStyle name="Comma 12 7" xfId="29984" xr:uid="{7B26457B-B100-45C9-AEF8-717D44DFD419}"/>
    <cellStyle name="Comma 12 8" xfId="29657" xr:uid="{018DB76F-8040-473C-9051-83E285BBCC78}"/>
    <cellStyle name="Comma 13" xfId="4847" xr:uid="{98FB8AE3-8A74-4A04-B00D-D9411690E8F8}"/>
    <cellStyle name="Comma 13 2" xfId="23769" xr:uid="{8137F544-9DC0-4A1D-A743-03E39E4E26C7}"/>
    <cellStyle name="Comma 13 3" xfId="27979" xr:uid="{280881A1-6BC3-460B-B930-F17C044447D4}"/>
    <cellStyle name="Comma 13 3 2" xfId="29987" xr:uid="{450A7152-C174-465E-A145-7A65D7CDF750}"/>
    <cellStyle name="Comma 13 4" xfId="14135" xr:uid="{B486616B-8B26-4DA6-8C53-0516518C48A3}"/>
    <cellStyle name="Comma 13 5" xfId="29615" xr:uid="{5F5E5C0E-EC18-477B-9B73-CD31B3561E61}"/>
    <cellStyle name="Comma 13 6" xfId="29590" xr:uid="{FB89F83E-E37C-4FFC-BA48-F04575448186}"/>
    <cellStyle name="Comma 13 6 2" xfId="30105" xr:uid="{74667268-208E-4EAB-8D25-919982D3AA46}"/>
    <cellStyle name="Comma 13 7" xfId="31694" xr:uid="{2B7125CE-691E-46A9-A75B-A95548906904}"/>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17" xfId="30100" xr:uid="{30B0F030-09BF-4437-91FA-9ED25A3FEA9F}"/>
    <cellStyle name="Comma 18" xfId="31725" xr:uid="{5A735BE1-EE31-4062-BA14-CEB426306F19}"/>
    <cellStyle name="Comma 18 2" xfId="32023" xr:uid="{AA8B7EEC-41A8-47AC-B764-E6867CEAAA1F}"/>
    <cellStyle name="Comma 2" xfId="445" xr:uid="{00000000-0005-0000-0000-0000C6010000}"/>
    <cellStyle name="Comma 2 2" xfId="446" xr:uid="{00000000-0005-0000-0000-0000C7010000}"/>
    <cellStyle name="Comma 2 2 2" xfId="31730" xr:uid="{C33B1854-5409-47E0-9622-295106621573}"/>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2 6" xfId="31729" xr:uid="{B55E41AA-D6D3-4F04-B263-B9443017BE0A}"/>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3 6" xfId="31728" xr:uid="{631850A2-9161-4E7E-9629-4BE710A0A149}"/>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2 2" xfId="29827" xr:uid="{DE635B18-0487-4AE6-BFE3-D3C44E388539}"/>
    <cellStyle name="Comma 4 2 2 3" xfId="23122" xr:uid="{ECBCBC83-1276-4F3B-90ED-6EB6B5E3BEE4}"/>
    <cellStyle name="Comma 4 2 3" xfId="1572" xr:uid="{00000000-0005-0000-0000-0000CD010000}"/>
    <cellStyle name="Comma 4 2 3 2" xfId="31306" xr:uid="{49A9EC71-F7ED-4673-8683-2A4474D511C9}"/>
    <cellStyle name="Comma 4 2 3 3" xfId="31259" xr:uid="{23FD20D2-6052-4A6D-AD0A-35FA86F58AFB}"/>
    <cellStyle name="Comma 4 2 4" xfId="1570" xr:uid="{00000000-0005-0000-0000-0000CE010000}"/>
    <cellStyle name="Comma 4 2 5" xfId="30400" xr:uid="{5DA86F6A-D3C0-4A5F-9842-2E156ABF6968}"/>
    <cellStyle name="Comma 4 2 5 2" xfId="30423" xr:uid="{9B6E160E-E0CE-4CCE-BEB0-650117FAFF0C}"/>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3 2" xfId="31307" xr:uid="{562EDFC7-98B1-48F5-955F-063537062A1F}"/>
    <cellStyle name="Comma 4 4 3 3" xfId="31270" xr:uid="{16BF9C11-0CAE-4CE6-9869-9C95A116E155}"/>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6 3" xfId="29822" xr:uid="{74EDB160-7CBA-4494-B188-F170C704F614}"/>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6 2" xfId="31308" xr:uid="{3EE936EE-7448-454D-8369-0075FED3742F}"/>
    <cellStyle name="Comma 4 6 3" xfId="31258" xr:uid="{AFF60B54-71D9-4F5E-95FC-6C8E9DA513F1}"/>
    <cellStyle name="Comma 4 7" xfId="29547" xr:uid="{B78349B5-AC35-4642-873C-F8F50234A6AC}"/>
    <cellStyle name="Comma 4 7 2" xfId="30399" xr:uid="{D7B37039-F76C-4235-9170-2C1DDBE8BE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2 2 2" xfId="31141" xr:uid="{BC4DE43E-54B6-47AE-8D8D-5E090F90402D}"/>
    <cellStyle name="Comma 5 10 2 2 2 2 3" xfId="30648" xr:uid="{780AA264-0FC4-467A-BD71-C14BFA2B4099}"/>
    <cellStyle name="Comma 5 10 2 2 3" xfId="10924" xr:uid="{B5528361-C365-4949-B220-3DC910C95B2B}"/>
    <cellStyle name="Comma 5 10 2 2 3 2" xfId="21304" xr:uid="{03F24B28-9B30-484A-95F2-76CD18C333A5}"/>
    <cellStyle name="Comma 5 10 2 2 4" xfId="23027" xr:uid="{6ED6C659-6C8B-4E98-AD16-21CAEAAA3990}"/>
    <cellStyle name="Comma 5 10 2 2 4 2" xfId="30078" xr:uid="{5D480D1D-8388-4F62-9CF4-9DBF9FA54D95}"/>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4 2" xfId="29774" xr:uid="{1FDA87F3-3FD6-448E-9F67-39316B95EE76}"/>
    <cellStyle name="Comma 5 10 2 4 2 2" xfId="31493" xr:uid="{1199F9C1-2C32-4C48-9889-51EEF7A981C2}"/>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2 2 2" xfId="31134" xr:uid="{D66B271E-31C5-428C-ACF2-9245CA7B6F3D}"/>
    <cellStyle name="Comma 5 10 3 2 2 2 3" xfId="30649" xr:uid="{5209E49B-98EE-4AAE-8B20-56D727995719}"/>
    <cellStyle name="Comma 5 10 3 2 3" xfId="10621" xr:uid="{B59C76FD-A4E9-4866-9F1E-6518BC0C5396}"/>
    <cellStyle name="Comma 5 10 3 2 3 2" xfId="21001" xr:uid="{47E7FFC6-63B5-4650-B36B-84C80C2755B8}"/>
    <cellStyle name="Comma 5 10 3 2 4" xfId="15335" xr:uid="{62DDD7AA-A1D8-420F-846E-73F0CBC3D630}"/>
    <cellStyle name="Comma 5 10 3 2 5" xfId="30424" xr:uid="{0D3BEB3D-D227-4EB9-9B37-EBD8C7DD146B}"/>
    <cellStyle name="Comma 5 10 3 3" xfId="3623" xr:uid="{00000000-0005-0000-0000-0000E0010000}"/>
    <cellStyle name="Comma 5 10 3 4" xfId="5540" xr:uid="{2F4176BB-1147-4705-9BF5-3478E814BF1F}"/>
    <cellStyle name="Comma 5 10 3 4 2" xfId="29750" xr:uid="{C0AE8EE6-7BBE-424E-806D-886FC26B0A0A}"/>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5" xfId="3859" xr:uid="{F8C8D734-DCC5-4C88-B842-664E1299CBF0}"/>
    <cellStyle name="Comma 5 10 5 2" xfId="8691" xr:uid="{5E5913C1-036C-42F6-8350-C4BD4BAE9EF4}"/>
    <cellStyle name="Comma 5 10 5 2 2" xfId="28963" xr:uid="{7ED6E5D1-F2F9-47D7-B3B9-B23DAC9DEA56}"/>
    <cellStyle name="Comma 5 10 5 2 2 2" xfId="31241" xr:uid="{A60BA2E9-5E09-4F2A-9DB6-B3FEE45D40DC}"/>
    <cellStyle name="Comma 5 10 5 2 2 3" xfId="30647" xr:uid="{10006A27-5DF4-43B7-AE9F-0CE667495F20}"/>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2 2 2" xfId="31142" xr:uid="{BEACBA90-14BE-4F92-B5E7-3C26563FBC82}"/>
    <cellStyle name="Comma 5 11 2 2 2 2 3" xfId="30650" xr:uid="{EE401E08-5210-4185-B9F9-C2D3DC80A78B}"/>
    <cellStyle name="Comma 5 11 2 2 2 3" xfId="30081" xr:uid="{E6661E45-819E-42CB-8A7D-43A8E81FC579}"/>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4 2" xfId="29775" xr:uid="{5B89B83B-E1C6-40C5-AF29-1ADC272529C9}"/>
    <cellStyle name="Comma 5 11 2 5" xfId="22728" xr:uid="{8D9ECDAE-292F-46A0-BFD2-DA9957370FAD}"/>
    <cellStyle name="Comma 5 11 2 6" xfId="13515" xr:uid="{39ABB685-FAC4-4C1E-B36A-85BFF7734362}"/>
    <cellStyle name="Comma 5 11 2 7" xfId="29988" xr:uid="{A3343EC1-8F20-4E29-86BB-E29B03AAC49D}"/>
    <cellStyle name="Comma 5 11 3" xfId="1588" xr:uid="{00000000-0005-0000-0000-0000E4010000}"/>
    <cellStyle name="Comma 5 11 3 2" xfId="23724" xr:uid="{DE4AAC3D-5400-4129-ACD2-D8964E8AE622}"/>
    <cellStyle name="Comma 5 11 3 2 2" xfId="29678" xr:uid="{9474F383-D5BD-41F9-8619-741081722E0E}"/>
    <cellStyle name="Comma 5 11 3 2 2 2" xfId="30651" xr:uid="{14E09C75-6A48-4605-B0CF-75A08A9D1184}"/>
    <cellStyle name="Comma 5 11 3 3" xfId="25078" xr:uid="{C5B7A41E-9D71-47D2-9EF7-127D9DBA2D47}"/>
    <cellStyle name="Comma 5 11 3 3 2" xfId="30089" xr:uid="{234EB7E4-AF97-4EA4-B207-EBADEEC79F40}"/>
    <cellStyle name="Comma 5 11 3 3 3" xfId="29790" xr:uid="{93461E03-FAE1-47C5-BE60-8136A914F2E8}"/>
    <cellStyle name="Comma 5 11 3 4" xfId="29931" xr:uid="{ED92591A-7C8B-4C2B-9824-630241CBB16F}"/>
    <cellStyle name="Comma 5 11 3 5" xfId="30049" xr:uid="{A605A163-DF82-49C7-BA28-2842EBC3D630}"/>
    <cellStyle name="Comma 5 11 3 6" xfId="29659" xr:uid="{88614ECA-9FAA-44D9-8706-EB4957BA3CF1}"/>
    <cellStyle name="Comma 5 11 4" xfId="1586" xr:uid="{00000000-0005-0000-0000-0000E5010000}"/>
    <cellStyle name="Comma 5 11 4 2" xfId="25781" xr:uid="{DBEBD298-D49E-492E-82DD-D45AE9C70099}"/>
    <cellStyle name="Comma 5 11 4 2 2" xfId="29791" xr:uid="{6E3F2F72-313F-4976-A168-08F65B495545}"/>
    <cellStyle name="Comma 5 11 4 2 2 2" xfId="30652" xr:uid="{DD9EEB0E-77BF-4E10-96B5-564B49FC67E2}"/>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2 2" xfId="29803" xr:uid="{28069167-96F1-4760-B171-26C9359F893A}"/>
    <cellStyle name="Comma 5 12 2 2 2 2" xfId="30654" xr:uid="{1C15ADE8-9C6B-4E22-ABDB-1CDE3C1EAEF3}"/>
    <cellStyle name="Comma 5 12 2 3" xfId="25392" xr:uid="{743C3469-6FF5-41E6-ABC2-03AE1A3F0028}"/>
    <cellStyle name="Comma 5 12 2 3 2" xfId="30095" xr:uid="{8FDA08CE-536E-4BFE-98F8-7C70F6A1D15C}"/>
    <cellStyle name="Comma 5 12 2 3 3" xfId="29789" xr:uid="{4BBFA82A-C001-427F-A921-B1CB7AFDA3A9}"/>
    <cellStyle name="Comma 5 12 2 4" xfId="29920" xr:uid="{004245DF-BDE0-4333-8AC4-755018D8E4AD}"/>
    <cellStyle name="Comma 5 12 2 5" xfId="30034" xr:uid="{0ACE1595-6482-489E-B630-577F27B231A3}"/>
    <cellStyle name="Comma 5 12 2 6" xfId="29654" xr:uid="{2C57DB15-B736-4E88-AEC9-323F5ACFBD95}"/>
    <cellStyle name="Comma 5 12 3" xfId="1591" xr:uid="{00000000-0005-0000-0000-0000E8010000}"/>
    <cellStyle name="Comma 5 12 3 2" xfId="23256" xr:uid="{6D57B10A-6741-4069-93BF-29EFDF4F6C0B}"/>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5 2 2" xfId="31113" xr:uid="{C0AE9176-2E0B-4399-B7EF-13AFE3E0D51C}"/>
    <cellStyle name="Comma 5 12 5 2 3" xfId="30653" xr:uid="{540D4B2D-5839-41C4-BB67-C634993101F7}"/>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2 2 2" xfId="31131" xr:uid="{449A2E8F-2AC7-47DC-B478-E5E05118B3AB}"/>
    <cellStyle name="Comma 5 13 2 2 2 3" xfId="30655" xr:uid="{9E013BF8-2A6D-4407-97E0-37CC1EB70273}"/>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4 2" xfId="29743" xr:uid="{83290D88-98BF-4B31-878D-137425176835}"/>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2 2" xfId="31195" xr:uid="{A859EBA4-C66C-49BD-9DEA-1AB3109F716F}"/>
    <cellStyle name="Comma 5 14 2 2 3" xfId="30656" xr:uid="{BEC1FD1F-B5EC-4F1A-BCDF-25B7ACE13F58}"/>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10" xfId="30621" xr:uid="{6CBFC4BF-7DDA-4C8A-94A9-9E3C38E62A4B}"/>
    <cellStyle name="Comma 5 2 11" xfId="30919" xr:uid="{8F444BA6-836C-451D-A598-AB3984741623}"/>
    <cellStyle name="Comma 5 2 2" xfId="460" xr:uid="{00000000-0005-0000-0000-0000EC010000}"/>
    <cellStyle name="Comma 5 2 2 2" xfId="1594" xr:uid="{00000000-0005-0000-0000-0000ED010000}"/>
    <cellStyle name="Comma 5 2 2 2 2" xfId="30598" xr:uid="{F2BDA96F-A29A-44D4-96C7-93F474199524}"/>
    <cellStyle name="Comma 5 2 2 2 2 2" xfId="30658" xr:uid="{7828C1F8-5535-4B0E-A3F8-9190370F23A7}"/>
    <cellStyle name="Comma 5 2 2 2 3" xfId="30562" xr:uid="{FE94402B-6C78-43D2-9887-F6959E6CC981}"/>
    <cellStyle name="Comma 5 2 2 2 4" xfId="30927" xr:uid="{3089C8D7-EDC7-49C2-98BE-A8D0DB944D04}"/>
    <cellStyle name="Comma 5 2 2 3" xfId="1595" xr:uid="{00000000-0005-0000-0000-0000EE010000}"/>
    <cellStyle name="Comma 5 2 2 3 2" xfId="30614" xr:uid="{8A82B498-C017-42E6-9D27-435A4DAFCF79}"/>
    <cellStyle name="Comma 5 2 2 3 2 2" xfId="30659" xr:uid="{84E2DE58-A4C0-4259-9280-0F10CD7AD0EB}"/>
    <cellStyle name="Comma 5 2 2 3 3" xfId="30575" xr:uid="{08126CC7-7B32-4987-B56B-3E8A92004100}"/>
    <cellStyle name="Comma 5 2 2 3 4" xfId="30941" xr:uid="{85BC386F-6704-42BC-B35B-A909453864AD}"/>
    <cellStyle name="Comma 5 2 2 4" xfId="1593" xr:uid="{00000000-0005-0000-0000-0000EF010000}"/>
    <cellStyle name="Comma 5 2 2 4 2" xfId="30550" xr:uid="{2B6B9656-2890-4C76-9E86-2F9A400B5207}"/>
    <cellStyle name="Comma 5 2 2 4 2 2" xfId="30660" xr:uid="{ABCDE278-9ADF-4B7C-B51D-6A70B9BEFAB0}"/>
    <cellStyle name="Comma 5 2 2 5" xfId="6599" xr:uid="{273D3645-09BF-4A18-A4AB-EDE25B05A3A6}"/>
    <cellStyle name="Comma 5 2 2 5 2" xfId="16979" xr:uid="{2C95035C-ACBA-47B5-BDB7-B687EB0B1702}"/>
    <cellStyle name="Comma 5 2 2 5 2 2" xfId="30657" xr:uid="{E4E4FE59-056E-41F0-8A6A-EBAEB1C31ADE}"/>
    <cellStyle name="Comma 5 2 2 5 3" xfId="30425" xr:uid="{81309697-6C75-42F8-A5FC-85A5EDEE9FEF}"/>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3 2" xfId="31243" xr:uid="{794021D0-B7E1-43D6-8B4B-606F025E00C3}"/>
    <cellStyle name="Comma 5 2 3 3" xfId="30410" xr:uid="{8B4B4793-C486-440B-BCBB-9B72DFB4032F}"/>
    <cellStyle name="Comma 5 2 4" xfId="29548" xr:uid="{508F08B6-13CA-453B-BC60-59F1E4465DDC}"/>
    <cellStyle name="Comma 5 2 4 2" xfId="30426" xr:uid="{30BD32B9-0394-4F1A-8237-D6AC5BD7AB92}"/>
    <cellStyle name="Comma 5 2 4 2 2" xfId="30599" xr:uid="{7C326B72-A0A1-4BC5-AB91-EEAB81161F94}"/>
    <cellStyle name="Comma 5 2 4 2 2 2" xfId="30661" xr:uid="{ED5AF7EF-0B78-407A-864D-EEEBE05E98FC}"/>
    <cellStyle name="Comma 5 2 4 2 3" xfId="30563" xr:uid="{92CD2FD6-65B4-444B-9BD4-8BD03B652048}"/>
    <cellStyle name="Comma 5 2 4 2 4" xfId="30928" xr:uid="{9F33CA11-07C6-481C-A78E-213CF504BA88}"/>
    <cellStyle name="Comma 5 2 4 3" xfId="30551" xr:uid="{0F4C2308-2688-446C-A27E-BFCE11140C68}"/>
    <cellStyle name="Comma 5 2 4 3 2" xfId="30633" xr:uid="{CFB4CA51-42B2-4BF5-9AF9-673F00BD5CFD}"/>
    <cellStyle name="Comma 5 2 4 3 3" xfId="30943" xr:uid="{35CEEE63-7BB2-4EEA-83CF-5333A9F63EF4}"/>
    <cellStyle name="Comma 5 2 4 4" xfId="30581" xr:uid="{79C2FE9C-BC47-45D3-81C7-55923423D801}"/>
    <cellStyle name="Comma 5 2 4 5" xfId="30622" xr:uid="{2D2FE097-3E58-4E43-B405-32F2F658B65A}"/>
    <cellStyle name="Comma 5 2 4 6" xfId="30920" xr:uid="{FFFC894D-F0FF-4CEA-9DAF-F49F3E52EACB}"/>
    <cellStyle name="Comma 5 2 4 7" xfId="31242" xr:uid="{2E5D930F-8B70-4941-B7AD-A1A539EE389A}"/>
    <cellStyle name="Comma 5 2 4 8" xfId="30411" xr:uid="{2F788AFF-2365-4173-9AD4-9EB5EE2CD90F}"/>
    <cellStyle name="Comma 5 2 5" xfId="30412" xr:uid="{1B854D74-2C11-4B25-A896-E9F8E6D4D71C}"/>
    <cellStyle name="Comma 5 2 5 2" xfId="30427" xr:uid="{C24CF4A1-604C-4A78-A752-E05C845168E9}"/>
    <cellStyle name="Comma 5 2 5 2 2" xfId="30600" xr:uid="{10A672CB-2ACF-4A8A-BC8B-83FA20866661}"/>
    <cellStyle name="Comma 5 2 5 2 2 2" xfId="30662" xr:uid="{96AF56BC-6E91-454F-A913-1B5EF260B524}"/>
    <cellStyle name="Comma 5 2 5 2 3" xfId="30564" xr:uid="{EB087388-5735-47DA-A778-C37D3BA09F7B}"/>
    <cellStyle name="Comma 5 2 5 2 4" xfId="30929" xr:uid="{9C5FD4B9-51E1-40C8-A1C0-B9DA63A12820}"/>
    <cellStyle name="Comma 5 2 5 3" xfId="30582" xr:uid="{594004CE-4C85-49C3-98D5-50D24316BFB4}"/>
    <cellStyle name="Comma 5 2 5 3 2" xfId="30634" xr:uid="{5DF27414-0425-4CEA-9FF2-B029A5DDBF7D}"/>
    <cellStyle name="Comma 5 2 5 3 3" xfId="30944" xr:uid="{7FF4A0CA-6FEC-4011-9105-1F245F102EA7}"/>
    <cellStyle name="Comma 5 2 5 4" xfId="30623" xr:uid="{8D5CFC01-28FD-48B9-B5AE-BF61C0025B69}"/>
    <cellStyle name="Comma 5 2 5 5" xfId="30921" xr:uid="{8B4C09D8-9DF0-4BAC-A0B6-095950680402}"/>
    <cellStyle name="Comma 5 2 6" xfId="30549" xr:uid="{5C64EDE1-D10D-405A-BEBE-498A5BCE0F98}"/>
    <cellStyle name="Comma 5 2 7" xfId="30572" xr:uid="{02BF2878-498D-48D7-8F68-577919C83D6F}"/>
    <cellStyle name="Comma 5 2 7 2" xfId="30611" xr:uid="{C0CD91E5-D6C5-434A-96EB-1B3A036C6BBA}"/>
    <cellStyle name="Comma 5 2 7 3" xfId="30630" xr:uid="{F8EDEA31-A8F6-431F-BA36-CFAAABCD185E}"/>
    <cellStyle name="Comma 5 2 7 4" xfId="30937" xr:uid="{47F7B796-4D4E-4909-966E-3439D41D5605}"/>
    <cellStyle name="Comma 5 2 8" xfId="30547" xr:uid="{B1DF5FDB-1841-4554-815D-7CDC6C437CC6}"/>
    <cellStyle name="Comma 5 2 9" xfId="30579" xr:uid="{A369C976-3FD5-4322-AB61-3F6F862BE607}"/>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4" xfId="24773" xr:uid="{F6C426D8-D850-4C02-A12E-6C68D7A11502}"/>
    <cellStyle name="Comma 5 3 2 2 2 3 5" xfId="15338" xr:uid="{16A4BAA9-88C4-414D-BFF5-062C8FED3C61}"/>
    <cellStyle name="Comma 5 3 2 2 2 4" xfId="3630" xr:uid="{00000000-0005-0000-0000-0000F3010000}"/>
    <cellStyle name="Comma 5 3 2 2 2 5" xfId="4252" xr:uid="{9B0E90D9-C0F7-49FF-A548-FF90C88E6C49}"/>
    <cellStyle name="Comma 5 3 2 2 2 5 2" xfId="9024" xr:uid="{DB214821-C42B-4F8D-9BBF-71FC6C4AEED3}"/>
    <cellStyle name="Comma 5 3 2 2 2 5 2 2" xfId="19404" xr:uid="{3CCFE505-B22F-4BE5-BFD5-27F625009463}"/>
    <cellStyle name="Comma 5 3 2 2 2 5 2 3" xfId="31028" xr:uid="{D5BC14E3-2A5D-4C04-A1B3-FB7278D938D5}"/>
    <cellStyle name="Comma 5 3 2 2 2 5 2 4" xfId="30663" xr:uid="{88978C8C-DE0D-41D5-B666-4404FA6D88AC}"/>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6 2" xfId="29893" xr:uid="{9C519322-6E9C-4E0B-84A2-5A544F46923B}"/>
    <cellStyle name="Comma 5 3 2 2 2 6 2 2" xfId="30956" xr:uid="{405A5DEB-8EC3-4ABC-8B7D-3B894A42504F}"/>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4" xfId="4392" xr:uid="{933C8226-C46F-4342-AB1B-1DC1B1F37B70}"/>
    <cellStyle name="Comma 5 3 2 2 3 4 2" xfId="9164" xr:uid="{08B4E032-80CB-4825-8075-E7E720E1D674}"/>
    <cellStyle name="Comma 5 3 2 2 3 4 2 2" xfId="19544" xr:uid="{5E6B521C-CC61-48D2-A240-A3DE4FF65289}"/>
    <cellStyle name="Comma 5 3 2 2 3 4 2 3" xfId="31058" xr:uid="{7B903B43-0C6D-49A6-9727-D8D888B7F2E1}"/>
    <cellStyle name="Comma 5 3 2 2 3 4 2 4" xfId="30664" xr:uid="{041D7F03-0160-44D8-BDD1-0265CDA0BADC}"/>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5 2" xfId="29934" xr:uid="{494685AF-0887-4B2F-B673-AAA2D6A71859}"/>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4 2" xfId="29933" xr:uid="{9B2CC529-1177-42F3-BD02-4244CA3CA83A}"/>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2 5" xfId="31026" xr:uid="{5C44E956-2742-49E9-8428-22740D671C8D}"/>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2 3" xfId="31162" xr:uid="{6B1BD7C4-2E44-416A-8483-EDEB32572E10}"/>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2 3" xfId="31027" xr:uid="{DE62BA68-8C4C-4A75-84AA-7F79DFE185D2}"/>
    <cellStyle name="Comma 5 3 2 3 5 2 4" xfId="30665" xr:uid="{40E91CE9-FAE0-4A4A-BB16-C0782A9D60D7}"/>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6 2" xfId="29718" xr:uid="{E2CF8A21-A49D-4062-A218-0B7CB0D745A6}"/>
    <cellStyle name="Comma 5 3 2 3 6 2 2" xfId="30957" xr:uid="{8F8C2ECC-CE5A-415D-A9CD-A9A3EDB1C7F9}"/>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2 2" xfId="31215" xr:uid="{C3151A16-BBA8-47F1-A872-2F3F10860F06}"/>
    <cellStyle name="Comma 5 3 2 4 2 2 2 3" xfId="30667" xr:uid="{1B5DB8C6-AAB9-479C-98EA-E8DAB47A0D09}"/>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4" xfId="4393" xr:uid="{A11BE978-7C2A-4394-B26B-C7F4156424D0}"/>
    <cellStyle name="Comma 5 3 2 4 4 2" xfId="9165" xr:uid="{ABCD93B8-6116-4838-BC4E-BD3F86BD9464}"/>
    <cellStyle name="Comma 5 3 2 4 4 2 2" xfId="19545" xr:uid="{7303CAFF-93EF-4D28-99B6-A7799A67C027}"/>
    <cellStyle name="Comma 5 3 2 4 4 2 3" xfId="31059" xr:uid="{266785F0-BEB9-43B7-A016-7C4C3192ADB9}"/>
    <cellStyle name="Comma 5 3 2 4 4 2 4" xfId="30666" xr:uid="{3AD4EE4D-9551-418A-A0B9-356D5465EE8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5 2" xfId="29935" xr:uid="{33DA0D6C-2126-4F0E-A5AD-154CF23F8B14}"/>
    <cellStyle name="Comma 5 3 2 4 5 2 2" xfId="30958" xr:uid="{B6288167-F3EF-48C0-9EAE-9F49B165C7FC}"/>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4 2" xfId="29932" xr:uid="{25AF1F10-0E1C-4936-BC83-2F9C841885FC}"/>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2 2" xfId="31204" xr:uid="{53FEDC8F-7233-40C0-B6A8-00E9C84B4D91}"/>
    <cellStyle name="Comma 5 3 2 6 2 2 3" xfId="30668" xr:uid="{55A9D467-3BFB-4E0E-9EC3-17611FFA3CE0}"/>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2 3" xfId="31153" xr:uid="{E1BB7096-EC90-4029-B5A7-0FAD42F4C98A}"/>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2 3" xfId="31029" xr:uid="{C0D2D35F-E7B3-441D-B8A9-807C30CBF4A0}"/>
    <cellStyle name="Comma 5 3 3 2 5 2 4" xfId="30670" xr:uid="{17AF4E78-0E6D-4FCF-AFAC-0D2D6FE5164D}"/>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6 2" xfId="29719" xr:uid="{96A1D024-8268-4E76-B2EC-700DAF216034}"/>
    <cellStyle name="Comma 5 3 3 2 6 2 2" xfId="30959" xr:uid="{DAE0FF1E-EF08-43F3-A73C-BAA7B7306C91}"/>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2 3" xfId="31060" xr:uid="{4C1E76E2-FBC7-4E4E-BC49-BD83C1CFD7C0}"/>
    <cellStyle name="Comma 5 3 3 3 4 2 4" xfId="30671" xr:uid="{8927AF79-460F-4196-92BC-16D0CE048F72}"/>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5 2" xfId="29699" xr:uid="{81B28F9D-8AA9-4910-9A48-4EE65C1022E0}"/>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4" xfId="5550" xr:uid="{5EA18817-182A-4DFF-8D89-0C3B4AD4769E}"/>
    <cellStyle name="Comma 5 3 3 4 4 2" xfId="29936" xr:uid="{F801DD17-8BA2-4F48-B19F-F2110F15120C}"/>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2 3" xfId="31003" xr:uid="{5E573AEF-FC93-4A83-AC2B-6937BAD6C83E}"/>
    <cellStyle name="Comma 5 3 3 7 2 4" xfId="30669" xr:uid="{F7EA0D66-97C4-40F3-A931-FCFE523E7601}"/>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4" xfId="5553" xr:uid="{35E0FB29-70AE-49EE-AD4C-77EC9E6EEAEA}"/>
    <cellStyle name="Comma 5 3 4 2 4 2" xfId="29937" xr:uid="{F7D8417D-86B8-44F3-8192-B6ED212C1704}"/>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4 2" xfId="29892" xr:uid="{28B005BD-8B7C-45F5-88C2-4C22FDFB4F10}"/>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2 3" xfId="31006" xr:uid="{652E968E-D3FA-4707-B01D-97094D6B1424}"/>
    <cellStyle name="Comma 5 3 4 5 2 4" xfId="30672" xr:uid="{4E2D6263-25F4-463D-94D3-1CFE66A370DC}"/>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2 2" xfId="31216" xr:uid="{4560F66A-A4EC-44A6-90F1-5DA7986E04EA}"/>
    <cellStyle name="Comma 5 3 5 2 2 2 3" xfId="30674" xr:uid="{DCC66FAA-4E41-4EFB-9B03-216E82F99718}"/>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2 3" xfId="31061" xr:uid="{157988F9-5057-414A-B1C6-730F9F4629FF}"/>
    <cellStyle name="Comma 5 3 5 4 2 4" xfId="30673" xr:uid="{BC30637A-9309-45D6-B3EA-4136BB8A9DA2}"/>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5 2" xfId="29688" xr:uid="{F9F675D5-8113-4588-A3AE-224FC6F06B9F}"/>
    <cellStyle name="Comma 5 3 5 5 2 2" xfId="30960" xr:uid="{7875E500-DBEB-4CA4-AF12-2A9373028ADD}"/>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2 2" xfId="31189" xr:uid="{2214C770-FEBD-4FB2-8153-96FA46F9B13C}"/>
    <cellStyle name="Comma 5 3 6 2 2 2 3" xfId="30675" xr:uid="{70A150DB-6F83-42B0-A715-A16026A0644F}"/>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4" xfId="5556" xr:uid="{C05D109D-6652-4B9A-B615-B29DAFDDCF9C}"/>
    <cellStyle name="Comma 5 3 6 4 2" xfId="29921" xr:uid="{C51E7046-954C-4FA0-81CA-3ABC12CDE141}"/>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4 2" xfId="29868" xr:uid="{148AE6C6-3C9E-4E6D-95C0-D85C88EDADA5}"/>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2 2 2" xfId="31121" xr:uid="{CF07C3AB-2C4D-472D-BC21-58F5BE798A45}"/>
    <cellStyle name="Comma 5 3 8 2 2 3" xfId="30676" xr:uid="{DD5071D3-B176-4A5E-B3EE-C9BC5649DD83}"/>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4" xfId="25738" xr:uid="{82C15EC4-AA15-4183-B53D-1323C89E1F7D}"/>
    <cellStyle name="Comma 5 4 2 2 2 2 5" xfId="15652" xr:uid="{62961680-01A7-4209-8590-52B26877995D}"/>
    <cellStyle name="Comma 5 4 2 2 2 3" xfId="2043" xr:uid="{00000000-0005-0000-0000-000007020000}"/>
    <cellStyle name="Comma 5 4 2 2 2 4" xfId="5559" xr:uid="{9B0E2C47-CA6A-4D5E-AD71-7458A8ABD26C}"/>
    <cellStyle name="Comma 5 4 2 2 2 4 2" xfId="29939" xr:uid="{E77E4B37-1023-473D-B823-A966092B7334}"/>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3 3 2" xfId="29895" xr:uid="{F005C7EF-F97C-4135-81B0-7BB5D359B727}"/>
    <cellStyle name="Comma 5 4 2 2 3 4" xfId="30010" xr:uid="{BEF40FD6-867C-4F0E-B7D5-D2A9EEDAE25F}"/>
    <cellStyle name="Comma 5 4 2 2 4" xfId="1613" xr:uid="{00000000-0005-0000-0000-000009020000}"/>
    <cellStyle name="Comma 5 4 2 2 4 2" xfId="26903" xr:uid="{8B3A6ADC-228E-48ED-A885-CFF25D8A396D}"/>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2 3" xfId="31031" xr:uid="{B6F58660-A39C-4763-8A43-9C253FD9994C}"/>
    <cellStyle name="Comma 5 4 2 2 5 2 4" xfId="30677" xr:uid="{3DD2E12D-D946-4D8E-BE9E-BC2E33A64C5A}"/>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2 2" xfId="31217" xr:uid="{D2B06BC6-FAB0-4DD2-A415-01FA1A682016}"/>
    <cellStyle name="Comma 5 4 2 3 2 2 2 3" xfId="30679" xr:uid="{6F17634A-C656-4BDE-ABDE-631F7F98A05E}"/>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2 3" xfId="31062" xr:uid="{D3CF83B4-480B-415E-AF73-CCC5FA70C824}"/>
    <cellStyle name="Comma 5 4 2 3 4 2 4" xfId="30678" xr:uid="{10FA5DDB-8E66-4A39-BFBF-D09CDB0960E7}"/>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5 2" xfId="29689" xr:uid="{9F3CE6F8-799E-4FBC-A9D4-FAF867C49683}"/>
    <cellStyle name="Comma 5 4 2 3 5 2 2" xfId="30961" xr:uid="{F99190AE-028F-4301-BB9F-1110E074192D}"/>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4" xfId="5561" xr:uid="{367EBB3B-9A5D-4E70-8502-526CC8EEFD64}"/>
    <cellStyle name="Comma 5 4 2 4 4 2" xfId="29938" xr:uid="{397CB543-DEA8-462F-98D6-8A7C5CBC8C95}"/>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4 2" xfId="29874" xr:uid="{B8527FC9-A446-4C93-90A2-78F2ABD5D9FB}"/>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2 3" xfId="31159" xr:uid="{E403FF4C-B1E8-42E1-9ECF-5008D27D4796}"/>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2 3" xfId="31032" xr:uid="{DEF4EEB6-28AB-41BA-BFF2-7A7C61321EAB}"/>
    <cellStyle name="Comma 5 4 3 2 5 2 4" xfId="30681" xr:uid="{4EF6A5C3-375D-4403-9D1B-8D91B43C7AAA}"/>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6 2" xfId="29720" xr:uid="{1A4A5A7C-7351-43D2-B3DF-864B1C97F00E}"/>
    <cellStyle name="Comma 5 4 3 2 6 2 2" xfId="30962" xr:uid="{4E9CD10B-1971-4E18-B1AD-EC7A5CB51431}"/>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2 3" xfId="31063" xr:uid="{4ECFCCE6-377C-43EB-B657-8F00BA251960}"/>
    <cellStyle name="Comma 5 4 3 3 4 2 4" xfId="30682" xr:uid="{3876AF0A-6E4D-4053-9A80-038F6DCD8EF8}"/>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5 2" xfId="29705" xr:uid="{B15CE909-C9C3-40A0-8455-FE5E12A46018}"/>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4" xfId="5562" xr:uid="{7C03D70E-5086-4C6D-89E3-E9DB53357221}"/>
    <cellStyle name="Comma 5 4 3 4 4 2" xfId="29940" xr:uid="{0A80C9F8-3AA4-40ED-9AE4-5B274546AA28}"/>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2 3" xfId="31007" xr:uid="{F0229DE4-DA70-4444-888D-FB38F150BD65}"/>
    <cellStyle name="Comma 5 4 3 6 2 4" xfId="30680" xr:uid="{B578D268-E4DF-43C5-9C96-327C24967103}"/>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4" xfId="5565" xr:uid="{D16A0D10-FBA3-4EA5-8CE1-1E4196985AAF}"/>
    <cellStyle name="Comma 5 4 4 2 4 2" xfId="29941" xr:uid="{F25E46E9-8558-4043-ADCB-9C9C47D7CEFB}"/>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3 3 2" xfId="29894" xr:uid="{8D77C375-FDEC-4907-A255-D0B6239AD792}"/>
    <cellStyle name="Comma 5 4 4 3 4" xfId="30009" xr:uid="{CDF06ABB-B7EB-4325-89E0-F9CB296CBBCC}"/>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2 3" xfId="31030" xr:uid="{DAB37AB3-6C01-4DC1-9197-01E7A80416DE}"/>
    <cellStyle name="Comma 5 4 4 5 2 4" xfId="30683" xr:uid="{1F8F53D2-8B33-42D3-9E60-E867CD366200}"/>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2 2" xfId="31218" xr:uid="{F2BAD945-64C0-4B38-8C09-26DD496487BE}"/>
    <cellStyle name="Comma 5 4 5 2 2 2 3" xfId="30685" xr:uid="{A3310739-5307-4198-8F24-D15B491AA5A8}"/>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2 3" xfId="31064" xr:uid="{3984102B-822A-450E-A43C-4246090CCDB8}"/>
    <cellStyle name="Comma 5 4 5 4 2 4" xfId="30684" xr:uid="{588785B0-3463-43A7-92E2-9D66925BECD9}"/>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5 2" xfId="29684" xr:uid="{4487DE43-472A-4A71-9B22-68844F54F5CF}"/>
    <cellStyle name="Comma 5 4 5 5 2 2" xfId="30963" xr:uid="{7EF5E265-F8DD-42D8-916E-4FE670324B78}"/>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2 2" xfId="31190" xr:uid="{65375153-FF84-4309-A5AB-7211D688AF6C}"/>
    <cellStyle name="Comma 5 4 6 2 2 2 3" xfId="30686" xr:uid="{AA82D6A9-E423-4665-BA59-CD8573E965C4}"/>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4" xfId="5567" xr:uid="{69214C48-DCEC-47C1-B288-7DDCDBE36611}"/>
    <cellStyle name="Comma 5 4 6 4 2" xfId="29922" xr:uid="{DEBEC20E-7EF6-43C2-8010-087AFB98BA3B}"/>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4 2" xfId="29862" xr:uid="{81821E37-88CD-41E0-A9C6-01CE1D5393AD}"/>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2 2 2" xfId="31122" xr:uid="{5C2AB8B5-A73F-4FCC-AF90-57C166D98ABC}"/>
    <cellStyle name="Comma 5 4 8 2 2 3" xfId="30687" xr:uid="{E0BA424B-14C3-40B8-BACF-E009F7A5BEF5}"/>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4" xfId="24162" xr:uid="{E433F28E-FBD0-461A-A44F-7B9039781C0F}"/>
    <cellStyle name="Comma 5 5 2 2 2 2 5" xfId="15660" xr:uid="{3F5497FD-51CD-4B7C-B9ED-AAA49343CBCE}"/>
    <cellStyle name="Comma 5 5 2 2 2 3" xfId="3547" xr:uid="{00000000-0005-0000-0000-00001B020000}"/>
    <cellStyle name="Comma 5 5 2 2 2 4" xfId="5569" xr:uid="{8149337E-E2F7-4BC3-B2AD-3A48DB4611B4}"/>
    <cellStyle name="Comma 5 5 2 2 2 4 2" xfId="29943" xr:uid="{0D010CB5-5F6A-4720-B93A-F2E76E3D3185}"/>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3 3 2" xfId="29897" xr:uid="{2E172FD6-8857-4391-B419-ABFDC80BB508}"/>
    <cellStyle name="Comma 5 5 2 2 3 4" xfId="30011" xr:uid="{90B5CBFA-773D-4DCA-9D81-2CAA54A6CBB0}"/>
    <cellStyle name="Comma 5 5 2 2 4" xfId="1628" xr:uid="{00000000-0005-0000-0000-00001D020000}"/>
    <cellStyle name="Comma 5 5 2 2 4 2" xfId="26906" xr:uid="{6F7A2ECF-25AB-4CBD-817C-55807B88D221}"/>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2 3" xfId="31033" xr:uid="{4BA37740-99D8-4CB4-B471-35EA920B8290}"/>
    <cellStyle name="Comma 5 5 2 2 5 2 4" xfId="30688" xr:uid="{AC70B46C-F6DA-4750-B6ED-B64C9D0A9C69}"/>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2 2" xfId="31219" xr:uid="{25CDBFA8-B5EF-4E3D-9F68-CCC9EBFB7FA2}"/>
    <cellStyle name="Comma 5 5 2 3 2 2 2 3" xfId="30690" xr:uid="{59C9BFCC-C44C-4B53-BDE8-EA9524F87295}"/>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2 3" xfId="31065" xr:uid="{5EB8706E-0031-40A6-9765-3B305E95095B}"/>
    <cellStyle name="Comma 5 5 2 3 4 2 4" xfId="30689" xr:uid="{033FE0DB-75AA-4554-B811-17A0F466E96D}"/>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5 2" xfId="29702" xr:uid="{5D2D8791-0CFD-4C9F-850F-A68D1255BD93}"/>
    <cellStyle name="Comma 5 5 2 3 5 2 2" xfId="30964" xr:uid="{A2A588AE-3984-4379-8013-6E0918DDA01D}"/>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4" xfId="5571" xr:uid="{A7DC721F-42E5-4C1F-981A-40EAC95C2325}"/>
    <cellStyle name="Comma 5 5 2 4 4 2" xfId="29942" xr:uid="{31D45137-92A6-45CF-83E9-6D020EE1BB31}"/>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4 2" xfId="29885" xr:uid="{9981A58F-D7D0-4204-A4F1-535CDEC7F29D}"/>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4 2" xfId="29944" xr:uid="{6B08990C-50CE-496C-AF55-F4679CB10C17}"/>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2 5" xfId="30428" xr:uid="{DD045C8D-2616-4424-BD5E-1B33066A33C9}"/>
    <cellStyle name="Comma 5 5 3 3 3" xfId="3632" xr:uid="{00000000-0005-0000-0000-000023020000}"/>
    <cellStyle name="Comma 5 5 3 3 4" xfId="5573" xr:uid="{D0F45DDC-9CDB-4C3E-93A0-24657C4062B9}"/>
    <cellStyle name="Comma 5 5 3 3 4 2" xfId="29896" xr:uid="{531BF005-CF26-4DAC-B1C2-BD66BC46E9D9}"/>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2 5" xfId="31008" xr:uid="{58E598E3-3590-49F1-B280-EAD888A0713F}"/>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2 2" xfId="29804" xr:uid="{75BDAE03-1549-48B9-83F3-375AF8EEC7A4}"/>
    <cellStyle name="Comma 5 5 4 2 2 2 2" xfId="30692" xr:uid="{AF1A20E1-C8F0-45DD-A69C-428A1597AB3F}"/>
    <cellStyle name="Comma 5 5 4 2 3" xfId="25591" xr:uid="{C5C79797-796D-481F-AAE7-1B994078CEAF}"/>
    <cellStyle name="Comma 5 5 4 2 4" xfId="30050" xr:uid="{4FD2E640-EF0A-4B6E-AE70-83AC36DAACDC}"/>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2 3" xfId="31066" xr:uid="{7DC98981-9C7C-4223-A8C3-16FADEBAB0FA}"/>
    <cellStyle name="Comma 5 5 4 5 2 4" xfId="30691" xr:uid="{20EB5551-7940-4282-AE60-DB9923A87B4E}"/>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2 2" xfId="31170" xr:uid="{3DC96652-2A4E-41B6-B5B5-AF5C41938E4F}"/>
    <cellStyle name="Comma 5 5 5 2 2 2 3" xfId="30693" xr:uid="{727C6657-9979-41CA-8FB2-D04CBFA2548B}"/>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4 2" xfId="29841" xr:uid="{232E3991-FF0B-45E7-A910-79D7101065D5}"/>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4 2" xfId="29859" xr:uid="{57A21993-13B3-4F68-9E76-EAB12ABFCDAB}"/>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4" xfId="25213" xr:uid="{39FEBC27-FB7B-46B5-AE79-C04E454412EC}"/>
    <cellStyle name="Comma 5 6 2 2 2 2 5" xfId="15664" xr:uid="{3B247BE5-DA95-4BFE-9265-B2B51170AFF7}"/>
    <cellStyle name="Comma 5 6 2 2 2 3" xfId="3631" xr:uid="{00000000-0005-0000-0000-00002F020000}"/>
    <cellStyle name="Comma 5 6 2 2 2 4" xfId="5577" xr:uid="{6D3BDC34-D827-46F7-88BE-922304634FC0}"/>
    <cellStyle name="Comma 5 6 2 2 2 4 2" xfId="29946" xr:uid="{5B635471-5052-46FB-B146-0AFDD2B36BB8}"/>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3 3 2" xfId="29899" xr:uid="{E6772AFF-F70E-4799-AD63-89E737EDB507}"/>
    <cellStyle name="Comma 5 6 2 2 3 4" xfId="30012" xr:uid="{D420D383-93D8-4BAC-8C64-58B618B5958B}"/>
    <cellStyle name="Comma 5 6 2 2 4" xfId="1643" xr:uid="{00000000-0005-0000-0000-000031020000}"/>
    <cellStyle name="Comma 5 6 2 2 4 2" xfId="26909" xr:uid="{666AAA86-1F0C-4D09-92AE-DEB1BB345679}"/>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2 3" xfId="31034" xr:uid="{1EA9922A-E309-408C-BB74-3D1F5E1A14F2}"/>
    <cellStyle name="Comma 5 6 2 2 5 2 4" xfId="30694" xr:uid="{885FB70C-6BB5-4532-A96A-20D44FAFED30}"/>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2 2" xfId="31220" xr:uid="{E754FD69-8023-47E5-8936-45EC17C01A95}"/>
    <cellStyle name="Comma 5 6 2 3 2 2 2 3" xfId="30696" xr:uid="{8B730094-61E6-4360-85C8-E6490B245982}"/>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2 3" xfId="31067" xr:uid="{0BCC3248-510F-4F80-AE31-2C20A5227116}"/>
    <cellStyle name="Comma 5 6 2 3 4 2 4" xfId="30695" xr:uid="{9A1704C5-92D3-4EC2-ABE4-64113981F989}"/>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5 2" xfId="29715" xr:uid="{4E272700-95C3-44A0-BF31-07E252DAB136}"/>
    <cellStyle name="Comma 5 6 2 3 5 2 2" xfId="30965" xr:uid="{AF3CA143-BBE9-44FB-93FF-A7145ECBFBE4}"/>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4" xfId="5579" xr:uid="{71C6AC17-1809-4613-A9BC-C403E4D7EDC1}"/>
    <cellStyle name="Comma 5 6 2 4 4 2" xfId="29945" xr:uid="{9FB3FC22-56A3-44B5-87A0-EBCF4B7BBF43}"/>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4 2" xfId="29889" xr:uid="{BA1CDCF9-FD46-4D60-8CA7-A7079119BBF5}"/>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4 2" xfId="29947" xr:uid="{8B1B28A8-133C-4516-A9F3-7FE36BF04379}"/>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2 5" xfId="30429" xr:uid="{ED4880D0-7E90-4301-AA4F-4731D701629B}"/>
    <cellStyle name="Comma 5 6 3 3 3" xfId="3540" xr:uid="{00000000-0005-0000-0000-000037020000}"/>
    <cellStyle name="Comma 5 6 3 3 4" xfId="5581" xr:uid="{761EBF54-5B24-4AA9-86E2-6BDAAF962FA7}"/>
    <cellStyle name="Comma 5 6 3 3 4 2" xfId="29898" xr:uid="{AB4FD6CD-0861-47AC-BFF8-0942381BE83B}"/>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2 5" xfId="31009" xr:uid="{B8E6B64A-486D-4071-8DC3-AA330959E8E0}"/>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2 2" xfId="29833" xr:uid="{ACAEC5BD-7D04-4A07-8311-C37FECBDA470}"/>
    <cellStyle name="Comma 5 6 4 2 2 2 2" xfId="30698" xr:uid="{6FD28594-8527-46A9-81FF-53A5969F8A03}"/>
    <cellStyle name="Comma 5 6 4 2 3" xfId="23617" xr:uid="{EB20E96A-ABBE-4405-A83A-0C56D225D782}"/>
    <cellStyle name="Comma 5 6 4 2 4" xfId="30051" xr:uid="{55CA51AD-2F4D-46A7-8227-ED4BBA99702B}"/>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2 3" xfId="31068" xr:uid="{F2786672-7DFE-4FB0-BA25-C00762325A99}"/>
    <cellStyle name="Comma 5 6 4 5 2 4" xfId="30697" xr:uid="{4B424C80-EECD-4381-B558-D0681B8D1102}"/>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2 2" xfId="31205" xr:uid="{7D4C9951-2CC3-4A50-BBC9-67EE0E29863D}"/>
    <cellStyle name="Comma 5 6 5 2 2 2 3" xfId="30699" xr:uid="{776FC7D4-7BCD-4D98-A3F7-74BEEC5CD323}"/>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4 2" xfId="29842" xr:uid="{C378B11F-FE1B-4D48-8F76-B07AE9EB0C13}"/>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4 2" xfId="29871" xr:uid="{C06840A9-7BF7-48E8-BD43-5AA0864EF63B}"/>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2 2" xfId="29735" xr:uid="{FE2222D0-7793-40F0-A436-798F90E6F940}"/>
    <cellStyle name="Comma 5 7 2 2 2 2 2 2" xfId="30701" xr:uid="{9BD97334-2881-445B-A34E-42326F312AE5}"/>
    <cellStyle name="Comma 5 7 2 2 2 3" xfId="25603" xr:uid="{2E4144DF-BA35-444A-B073-CD4ECDA4E41B}"/>
    <cellStyle name="Comma 5 7 2 2 2 4" xfId="30052" xr:uid="{9E34B2C9-B31D-4C5D-8B66-EEB757494DBF}"/>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5" xfId="4877" xr:uid="{662677CF-EED7-4EE9-A1F4-218A4809BCE7}"/>
    <cellStyle name="Comma 5 7 2 2 5 2" xfId="26537" xr:uid="{2AA00ACA-3F70-4143-882E-9AB90CBCFDA9}"/>
    <cellStyle name="Comma 5 7 2 2 5 2 2" xfId="31179" xr:uid="{0FF2F87E-EA1D-4F08-B923-8F0B3224573A}"/>
    <cellStyle name="Comma 5 7 2 2 5 2 3" xfId="30700" xr:uid="{A84E266A-6C4D-48FB-B0F5-7AE41F9D8B5F}"/>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3" xfId="10629" xr:uid="{BB9D0CC4-E015-488B-9CCE-E31DBCA3579D}"/>
    <cellStyle name="Comma 5 7 2 3 2 3 2" xfId="21009" xr:uid="{68F76178-87A8-4557-8677-E967A2D7086C}"/>
    <cellStyle name="Comma 5 7 2 3 2 4" xfId="15343" xr:uid="{190957A6-4825-4713-AF5A-F13B9F2FAB46}"/>
    <cellStyle name="Comma 5 7 2 3 2 5" xfId="30430" xr:uid="{73CA2C10-218A-4D2A-81E4-A47A78477738}"/>
    <cellStyle name="Comma 5 7 2 3 3" xfId="3542" xr:uid="{00000000-0005-0000-0000-000046020000}"/>
    <cellStyle name="Comma 5 7 2 3 4" xfId="5584" xr:uid="{F1C4E9C9-E7C5-4999-9F4B-6A3BEE167DF3}"/>
    <cellStyle name="Comma 5 7 2 3 4 2" xfId="29751" xr:uid="{9A070076-FD0C-4E69-84C5-AB1037CE374D}"/>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2 3" xfId="31111" xr:uid="{F57B2301-3A0F-4B61-985A-7206CFD1129C}"/>
    <cellStyle name="Comma 5 7 2 4 2 2 4" xfId="30702" xr:uid="{A568AC5A-EBC6-4C11-987C-AB2234DC4239}"/>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4 3 2" xfId="29900" xr:uid="{9C01E95A-74BC-47F7-B7A5-8BC1061F59A5}"/>
    <cellStyle name="Comma 5 7 2 4 4" xfId="30013" xr:uid="{106398AA-ED2F-4348-890B-9FBF05EF801E}"/>
    <cellStyle name="Comma 5 7 2 5" xfId="1657" xr:uid="{00000000-0005-0000-0000-000048020000}"/>
    <cellStyle name="Comma 5 7 2 5 2" xfId="25610" xr:uid="{B6E4083F-4A15-4CCF-B5C9-4526FACB1C2F}"/>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2 2" xfId="29677" xr:uid="{2D743BA9-5D74-41FF-8A56-E6FF48540754}"/>
    <cellStyle name="Comma 5 7 3 2 2 2 2" xfId="30704" xr:uid="{F8B265D7-D215-4C1F-B255-1B417890B3FC}"/>
    <cellStyle name="Comma 5 7 3 2 3" xfId="24036" xr:uid="{A956536C-0D0C-4B64-AB6C-3D32B84691CB}"/>
    <cellStyle name="Comma 5 7 3 2 3 2" xfId="27246" xr:uid="{2D391E2F-17BF-40F3-AC9B-F935480D75C5}"/>
    <cellStyle name="Comma 5 7 3 2 4" xfId="30053" xr:uid="{7D739D2D-6EFB-4DC1-9CEE-49DF4959E175}"/>
    <cellStyle name="Comma 5 7 3 3" xfId="1665" xr:uid="{00000000-0005-0000-0000-00004B020000}"/>
    <cellStyle name="Comma 5 7 3 4" xfId="1663" xr:uid="{00000000-0005-0000-0000-00004C020000}"/>
    <cellStyle name="Comma 5 7 3 4 2" xfId="27493" xr:uid="{255A2A1F-FD39-4D43-951D-12CE0A0F4BA0}"/>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2 3" xfId="31069" xr:uid="{4F35AD9B-147C-403E-AC2A-4005FB889638}"/>
    <cellStyle name="Comma 5 7 3 5 2 4" xfId="30703" xr:uid="{2CF44F40-820F-4CCA-B82A-E11E5C240E31}"/>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2 2" xfId="29830" xr:uid="{F7CD230F-B65A-4593-9417-9FB6AD98AA28}"/>
    <cellStyle name="Comma 5 7 4 2 2 2 2" xfId="30706" xr:uid="{8D9CD661-7477-4CA4-A153-5E6471FBB6CB}"/>
    <cellStyle name="Comma 5 7 4 2 3" xfId="23289" xr:uid="{D45419FA-DEA1-4FF5-944A-3804F3B313AF}"/>
    <cellStyle name="Comma 5 7 4 2 4" xfId="30035" xr:uid="{AC32E726-9F55-4195-96E0-7352BD474D9D}"/>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5 2 2" xfId="31114" xr:uid="{FF2EE620-52C5-4E38-901B-D8EC7D6F936B}"/>
    <cellStyle name="Comma 5 7 4 5 2 3" xfId="30705" xr:uid="{1BAA88F6-1BCE-4EA7-8A2A-713DC40B742F}"/>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2 5" xfId="30431" xr:uid="{0C859140-1E98-42C7-9ADC-47E8A5D1F2C8}"/>
    <cellStyle name="Comma 5 7 5 3" xfId="3708" xr:uid="{00000000-0005-0000-0000-000051020000}"/>
    <cellStyle name="Comma 5 7 5 4" xfId="5585" xr:uid="{445FBE4B-D100-4012-9843-6726F1C23419}"/>
    <cellStyle name="Comma 5 7 5 4 2" xfId="29843" xr:uid="{04BAC53C-0E86-4839-945D-6630D920F403}"/>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6 4 2" xfId="29882" xr:uid="{46A80738-32FD-4F61-83A7-D4444073205A}"/>
    <cellStyle name="Comma 5 7 6 5" xfId="30004" xr:uid="{9E45B833-AA3E-4C42-86BA-FF11565FD327}"/>
    <cellStyle name="Comma 5 7 7" xfId="1656" xr:uid="{00000000-0005-0000-0000-000053020000}"/>
    <cellStyle name="Comma 5 7 7 2" xfId="27467" xr:uid="{F7E8B45B-C5F3-45F3-8652-1B25E60F4742}"/>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2 2 2" xfId="31143" xr:uid="{45C30206-3A93-4FA0-9F4F-E970C6555ABA}"/>
    <cellStyle name="Comma 5 8 2 2 2 2 2 3" xfId="30707" xr:uid="{40931A3F-EFB0-4B78-8C96-34DE658927E1}"/>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4 2" xfId="29776" xr:uid="{06F5E240-6626-40DD-94FD-891798718C4E}"/>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2 2" xfId="30708" xr:uid="{33BA462E-2DD6-45C4-9B64-D122CEE1605E}"/>
    <cellStyle name="Comma 5 8 2 3 2 3" xfId="30552" xr:uid="{B6513C23-9EE7-4413-9D8F-CAD62F9FD3DE}"/>
    <cellStyle name="Comma 5 8 2 3 3" xfId="23017" xr:uid="{DB6EE825-2DCD-429A-9F59-4AC7F43A2769}"/>
    <cellStyle name="Comma 5 8 2 3 4" xfId="30054" xr:uid="{978411B6-56DD-4C90-89F4-2121420A39C1}"/>
    <cellStyle name="Comma 5 8 2 3 5" xfId="29660" xr:uid="{A80A5DC5-EADA-408A-9E37-AA5872793871}"/>
    <cellStyle name="Comma 5 8 2 4" xfId="1672" xr:uid="{00000000-0005-0000-0000-000058020000}"/>
    <cellStyle name="Comma 5 8 2 4 2" xfId="28519" xr:uid="{DB5287D2-A3BC-4D9D-A5AD-D97C9934A7A4}"/>
    <cellStyle name="Comma 5 8 2 4 2 2" xfId="30709" xr:uid="{A3272CAB-83C9-416E-A5D9-D0B05295D51B}"/>
    <cellStyle name="Comma 5 8 2 4 2 3" xfId="30584" xr:uid="{E0F084EF-22C3-46D5-95E2-A0541AFFE25C}"/>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2 2" xfId="29808" xr:uid="{A16796A0-C536-46DB-8E0E-8CC66009832A}"/>
    <cellStyle name="Comma 5 8 3 2 2 2 2" xfId="30711" xr:uid="{F658FE12-6F3E-4B0A-B54E-A7FF09FDADE0}"/>
    <cellStyle name="Comma 5 8 3 2 3" xfId="25444" xr:uid="{8F83E9BD-D752-4670-83D0-42D787B89054}"/>
    <cellStyle name="Comma 5 8 3 2 3 2" xfId="27841" xr:uid="{3EDC9502-0DFD-4975-83D4-00C65AD487AD}"/>
    <cellStyle name="Comma 5 8 3 2 4" xfId="30036" xr:uid="{D3FD3568-0D74-4E96-85CC-D3A48B10523B}"/>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2 2" xfId="31172" xr:uid="{842693BC-CC20-404C-8856-79558A6CD263}"/>
    <cellStyle name="Comma 5 8 3 5 2 3" xfId="30710" xr:uid="{813779E3-886C-4293-B28F-F0E9872B5AA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2 2 2" xfId="31135" xr:uid="{62D238FC-6347-4192-97CE-39DC26771B37}"/>
    <cellStyle name="Comma 5 8 4 2 2 2 3" xfId="30712" xr:uid="{CA877F40-44FB-4FD0-BE13-08310BD6406D}"/>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4 2" xfId="29752" xr:uid="{B23374D4-9EA4-47D3-8221-B7DC4E11F6B5}"/>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2 5" xfId="30432" xr:uid="{3EAE95C7-3CF1-49BF-B334-23DF8958441E}"/>
    <cellStyle name="Comma 5 8 5 3" xfId="2086" xr:uid="{00000000-0005-0000-0000-00005E020000}"/>
    <cellStyle name="Comma 5 8 5 4" xfId="24921" xr:uid="{73CD0007-7AA6-4C23-BE0B-E3F5295A5FA9}"/>
    <cellStyle name="Comma 5 8 5 4 2" xfId="29901" xr:uid="{5F75C6C7-0D1C-4F31-BA20-114360A40F9E}"/>
    <cellStyle name="Comma 5 8 5 5" xfId="30014" xr:uid="{C09199D8-A0F8-4F00-B4B1-D5B29F949D0F}"/>
    <cellStyle name="Comma 5 8 6" xfId="1671" xr:uid="{00000000-0005-0000-0000-00005F020000}"/>
    <cellStyle name="Comma 5 8 6 2" xfId="26586" xr:uid="{422903AC-287E-4EC3-BB8E-0A504F69CB1D}"/>
    <cellStyle name="Comma 5 8 6 2 2" xfId="30713" xr:uid="{3462D339-733B-4AEB-9A0A-A3A3A15B2E2A}"/>
    <cellStyle name="Comma 5 8 6 2 3" xfId="30583" xr:uid="{646BD82D-6032-48CF-BAD3-144F8987CF64}"/>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2 2 2" xfId="31136" xr:uid="{6BE75A01-8681-4A86-852E-5CA96578CD07}"/>
    <cellStyle name="Comma 5 9 2 2 2 2 2 3" xfId="30714" xr:uid="{4CB97A7A-50B9-47D4-B501-400C9AC937B3}"/>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4 2" xfId="29764" xr:uid="{5A5A3821-4E20-4ABC-8E69-75E4640375B8}"/>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2 2" xfId="30715" xr:uid="{47DB5FD4-96FA-4173-8E53-6DA4234BEA2D}"/>
    <cellStyle name="Comma 5 9 2 3 2 3" xfId="30553" xr:uid="{F5088134-8CE5-4A2C-9753-895A284CAC6E}"/>
    <cellStyle name="Comma 5 9 2 3 3" xfId="22956" xr:uid="{1221D88C-6031-4EEF-9013-D90C6923BB63}"/>
    <cellStyle name="Comma 5 9 2 3 4" xfId="30037" xr:uid="{8E6C886B-4461-492D-A2D3-77A7DD14FA89}"/>
    <cellStyle name="Comma 5 9 2 3 5" xfId="29661" xr:uid="{5C83A64C-738C-4B76-A536-451C4CDAEBDA}"/>
    <cellStyle name="Comma 5 9 2 4" xfId="1681" xr:uid="{00000000-0005-0000-0000-000064020000}"/>
    <cellStyle name="Comma 5 9 2 4 2" xfId="26144" xr:uid="{11F3DDB7-F030-4752-8665-FF4829009ADA}"/>
    <cellStyle name="Comma 5 9 2 4 2 2" xfId="30716" xr:uid="{BD8F26DD-5947-436A-8E4A-F7C8D3342C18}"/>
    <cellStyle name="Comma 5 9 2 4 2 3" xfId="30586" xr:uid="{A1610AE6-DFB3-4902-854F-8CE0CA56D516}"/>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5 5" xfId="30617" xr:uid="{06850C7D-2AAC-4475-AD05-17DE7A9F5617}"/>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2 2" xfId="30718" xr:uid="{B0C70532-9092-4845-BAD0-1BA2E82A1E86}"/>
    <cellStyle name="Comma 5 9 3 2 2 3" xfId="30601" xr:uid="{431458AB-C9BA-4E59-BFC7-8AC4B17F7501}"/>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2 2" xfId="31198" xr:uid="{0301959F-F531-44B8-B593-826B6FD4315E}"/>
    <cellStyle name="Comma 5 9 3 5 2 3" xfId="30717" xr:uid="{84D65F06-96BE-4435-B794-A50A7ACD6ECD}"/>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2 2 2" xfId="31126" xr:uid="{0B51279B-2A5B-4395-ADC6-689D69249167}"/>
    <cellStyle name="Comma 5 9 4 2 2 2 3" xfId="30719" xr:uid="{2B2AC912-036D-468D-8CF3-4AA2B8F5290D}"/>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4 4 2" xfId="29737" xr:uid="{23982877-3765-4743-AD98-45F4A9C681B2}"/>
    <cellStyle name="Comma 5 9 4 5" xfId="29844" xr:uid="{45E3FC05-22F4-4882-A2EE-6AE2BB9EB86D}"/>
    <cellStyle name="Comma 5 9 4 6" xfId="29989" xr:uid="{6B05C73D-E431-4BD3-A0E9-D68B75A751E3}"/>
    <cellStyle name="Comma 5 9 5" xfId="1688" xr:uid="{00000000-0005-0000-0000-00006A020000}"/>
    <cellStyle name="Comma 5 9 5 2" xfId="24215" xr:uid="{4EF621CF-F50D-4230-AF83-2E870655BDA3}"/>
    <cellStyle name="Comma 5 9 5 2 2" xfId="29798" xr:uid="{AC7AD2D9-EE19-437C-B1CB-74F8FC52A265}"/>
    <cellStyle name="Comma 5 9 5 2 2 2" xfId="30720" xr:uid="{B026E2CA-F479-4414-B3BC-598E63AD2D30}"/>
    <cellStyle name="Comma 5 9 5 3" xfId="24967" xr:uid="{569BA925-3A3B-4717-B1B9-3D852F1BB19D}"/>
    <cellStyle name="Comma 5 9 5 4" xfId="30015" xr:uid="{0A634316-065C-4E51-B319-E58017A9EF5E}"/>
    <cellStyle name="Comma 5 9 6" xfId="1680" xr:uid="{00000000-0005-0000-0000-00006B020000}"/>
    <cellStyle name="Comma 5 9 6 2" xfId="27178" xr:uid="{14EF25F5-D9BE-45D5-9005-4E60957A0203}"/>
    <cellStyle name="Comma 5 9 6 2 2" xfId="30721" xr:uid="{FDE5ECE4-C2F4-4D3A-A86F-4B131C787202}"/>
    <cellStyle name="Comma 5 9 6 2 3" xfId="30585" xr:uid="{A40CFB98-27E5-4F51-8348-E9CA033F2552}"/>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2 2" xfId="29824" xr:uid="{993FD6BC-13E5-4F0C-A1CB-0B9266626B05}"/>
    <cellStyle name="Comma 6 3 2 3" xfId="24576" xr:uid="{A28E2AF0-11DC-454F-8523-E8CC9FF3477F}"/>
    <cellStyle name="Comma 6 3 3" xfId="1691" xr:uid="{00000000-0005-0000-0000-000070020000}"/>
    <cellStyle name="Comma 6 3 3 2" xfId="31309" xr:uid="{B892DCB0-225F-4A82-BF1C-F3D3857F7969}"/>
    <cellStyle name="Comma 6 3 3 3" xfId="31268" xr:uid="{6EC989E8-EEBE-4E56-B842-6FAA8089D686}"/>
    <cellStyle name="Comma 6 3 4" xfId="1689" xr:uid="{00000000-0005-0000-0000-000071020000}"/>
    <cellStyle name="Comma 6 3 5" xfId="30402" xr:uid="{826A58AB-2EF0-437D-8B25-98E5B40781A9}"/>
    <cellStyle name="Comma 6 3 5 2" xfId="30433" xr:uid="{C80FF380-C62E-48FE-B3CF-F41618084E64}"/>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4" xfId="25682" xr:uid="{EF41D050-0AE8-4E89-BB9E-051DF5630730}"/>
    <cellStyle name="Comma 6 4 2 2 2 2 5" xfId="15669" xr:uid="{F2560B0F-AD65-4450-AD2A-D2B82D41C930}"/>
    <cellStyle name="Comma 6 4 2 2 2 3" xfId="3575" xr:uid="{00000000-0005-0000-0000-000075020000}"/>
    <cellStyle name="Comma 6 4 2 2 2 4" xfId="5591" xr:uid="{8BF347F7-3DE4-4C27-A5DD-8CA2A1920DC5}"/>
    <cellStyle name="Comma 6 4 2 2 2 4 2" xfId="29949" xr:uid="{233E463F-54C2-4C29-870A-0D49BFA16A91}"/>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3 3 2" xfId="29903" xr:uid="{4DA074B1-E9A6-4FB2-9574-AF0CB56E487E}"/>
    <cellStyle name="Comma 6 4 2 2 3 4" xfId="30017" xr:uid="{B0E6ED8B-7F94-4C65-B922-D81312B6C1B9}"/>
    <cellStyle name="Comma 6 4 2 2 4" xfId="1694" xr:uid="{00000000-0005-0000-0000-000077020000}"/>
    <cellStyle name="Comma 6 4 2 2 4 2" xfId="26920" xr:uid="{5EED627A-0015-4E1B-A2B6-EF5D8B44E99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2 3" xfId="31036" xr:uid="{E5D61C2A-5E38-417B-8489-A5D1DF3FC18F}"/>
    <cellStyle name="Comma 6 4 2 2 5 2 4" xfId="30722" xr:uid="{0FF41AB0-D970-4E31-9E8E-8298D6AF25BD}"/>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2 2" xfId="31221" xr:uid="{020E94C7-3C33-4C62-9CE1-8B3A7270B784}"/>
    <cellStyle name="Comma 6 4 2 3 2 2 2 3" xfId="30724" xr:uid="{F335279E-1B9E-4D18-8CA1-66BD0EDC3A2A}"/>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2 3" xfId="31070" xr:uid="{55898A08-20A6-4893-81F2-362535D71995}"/>
    <cellStyle name="Comma 6 4 2 3 4 2 4" xfId="30723" xr:uid="{991663E5-093A-4C82-AB81-8EF79A9D4B8B}"/>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5 2" xfId="29690" xr:uid="{63269818-A85D-49A6-B8ED-4F376BDFFA23}"/>
    <cellStyle name="Comma 6 4 2 3 5 2 2" xfId="30966" xr:uid="{7D70C7BF-EF85-401A-AD86-BF5235BE5695}"/>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4" xfId="5593" xr:uid="{5E240531-8C52-4B64-996E-6CF2C56EAD6B}"/>
    <cellStyle name="Comma 6 4 2 4 4 2" xfId="29948" xr:uid="{F9D8C378-6662-4A0B-BF57-80CDD28C6729}"/>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4 2" xfId="29875" xr:uid="{1F5868CB-B8F6-4FD2-BE45-16F85B1BB38D}"/>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2 3" xfId="31161" xr:uid="{B8B7D374-F9E5-4444-AC13-477FC287386D}"/>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2 3" xfId="31037" xr:uid="{48EC53A8-509B-4602-9481-7646B7A295C3}"/>
    <cellStyle name="Comma 6 4 3 2 5 2 4" xfId="30726" xr:uid="{DAB1BA0C-8406-4AF8-9D58-1646B3244154}"/>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6 2" xfId="29721" xr:uid="{B517F1E3-A38C-4F58-A6FD-5D445DFE68EB}"/>
    <cellStyle name="Comma 6 4 3 2 6 2 2" xfId="30967" xr:uid="{68C3F424-D42B-415D-A275-3C3491C69598}"/>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2 3" xfId="31071" xr:uid="{64CBF01D-BCC0-4E97-A30C-4817D685CDEB}"/>
    <cellStyle name="Comma 6 4 3 3 4 2 4" xfId="30727" xr:uid="{32E7DD8E-8E93-48A0-B22A-199885881375}"/>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5 2" xfId="29706" xr:uid="{8C47B7A5-55DE-41F0-ABE8-96B67015A584}"/>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4" xfId="5594" xr:uid="{597046DC-F5C8-4A2C-9A13-CCBC4373604F}"/>
    <cellStyle name="Comma 6 4 3 4 4 2" xfId="29950" xr:uid="{A9380C1B-14A6-4B53-9630-BB03006EEA3E}"/>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2 3" xfId="31010" xr:uid="{2C79F960-4C49-4A44-BE3E-BA4DD4C9FBB0}"/>
    <cellStyle name="Comma 6 4 3 6 2 4" xfId="30725" xr:uid="{888020BF-966F-45AF-AD87-05FC86173A31}"/>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4" xfId="5597" xr:uid="{D7CC43DA-455D-407E-BF01-57D0564EA6B6}"/>
    <cellStyle name="Comma 6 4 4 2 4 2" xfId="29951" xr:uid="{FDB36AFE-899A-4744-9DD8-6E4865CE36DC}"/>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3 3 2" xfId="29902" xr:uid="{DE18F8CC-9AE1-4F5E-9463-70483CF3EC52}"/>
    <cellStyle name="Comma 6 4 4 3 4" xfId="30016" xr:uid="{54B5A641-CBAA-4C36-9169-160B5E571C1F}"/>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2 3" xfId="31035" xr:uid="{7E47475A-DD01-4834-94C2-1630B8804BB1}"/>
    <cellStyle name="Comma 6 4 4 5 2 4" xfId="30728" xr:uid="{162F962F-579D-4E61-99F1-D903E08A5944}"/>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2 2" xfId="31222" xr:uid="{691BCCD8-3FCB-46F4-AA19-66BD8B2792E8}"/>
    <cellStyle name="Comma 6 4 5 2 2 2 3" xfId="30730" xr:uid="{787E4866-BDC8-4893-9282-491F88D13FE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2 3" xfId="31072" xr:uid="{22979A5B-49A1-42E6-BA89-CCDBEAE37202}"/>
    <cellStyle name="Comma 6 4 5 4 2 4" xfId="30729" xr:uid="{E5F89DE4-F2D2-4C08-B671-36C13540F10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5 2" xfId="29685" xr:uid="{EF3BD0A6-DB09-431F-92E2-3C8D869A5B95}"/>
    <cellStyle name="Comma 6 4 5 5 2 2" xfId="30968" xr:uid="{308557D5-49FB-45ED-B51A-8AA44B8D7B71}"/>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2 2" xfId="31171" xr:uid="{9743733B-E35B-44C2-895E-4E9F3FD9AD20}"/>
    <cellStyle name="Comma 6 4 6 2 2 2 3" xfId="30731" xr:uid="{36F4C335-21C6-4B80-A783-6DEE9EA2C7B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4" xfId="5599" xr:uid="{A8028302-ED8A-40B8-8A70-7BEFE282F4FC}"/>
    <cellStyle name="Comma 6 4 6 4 2" xfId="29923" xr:uid="{CDA048C9-974C-400A-AA42-F64BD97DF22B}"/>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4 2" xfId="29863" xr:uid="{C263C62B-DABD-420C-A97D-0F3CE47933DF}"/>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2 2 2" xfId="31123" xr:uid="{24EFB6D6-DF65-42CC-96F4-F84914B8D4E7}"/>
    <cellStyle name="Comma 6 4 8 2 2 3" xfId="30732" xr:uid="{29EF420D-7071-41EC-A1CD-1C25DE9D0314}"/>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0 2" xfId="30005" xr:uid="{9BBA55C4-F717-4123-9745-FD974FD5C92B}"/>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2 2" xfId="31192" xr:uid="{325C7F89-E089-4071-A4CA-9ADB67FB52F9}"/>
    <cellStyle name="Comma 6 5 2 2 2 2 3" xfId="30734" xr:uid="{16F0985C-0D59-4C77-AE81-D539AE6EC8DC}"/>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2 5" xfId="31038" xr:uid="{8012AB0B-EB59-44A7-8DB7-259914660E82}"/>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2 3" xfId="31073" xr:uid="{A2A4928A-1757-4797-9AD6-3490D0D71705}"/>
    <cellStyle name="Comma 6 5 3 2 2 4" xfId="30735" xr:uid="{CC9E0DDD-F5C7-4081-BD6A-4AF5E6D9D0A0}"/>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2 3" xfId="31025" xr:uid="{14ACCE49-649F-4D5B-8F9D-24E42BD4A4E9}"/>
    <cellStyle name="Comma 6 5 7 2 4" xfId="30733" xr:uid="{57466AA1-E89A-486E-89A6-F5D9E03FEBE5}"/>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8 2" xfId="29825" xr:uid="{FA06CDE3-AD95-4F28-BB21-F621D65E4E87}"/>
    <cellStyle name="Comma 6 5 8 2 2" xfId="30969" xr:uid="{50FCA492-10FD-4CB8-BB65-65A595E6C1EE}"/>
    <cellStyle name="Comma 6 5 8 3" xfId="30627" xr:uid="{D6644BB0-0D0B-41C4-A086-5EB2E7A61544}"/>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6 7" xfId="30434" xr:uid="{86EF0529-B324-4719-B2B1-2B9231FB2917}"/>
    <cellStyle name="Comma 6 6 8" xfId="31260" xr:uid="{40BDEAA4-3800-4985-8263-4E0A9E3CC9C3}"/>
    <cellStyle name="Comma 6 7" xfId="22762" xr:uid="{37A7E8A0-43E7-41E2-BDB1-D7874A32CC13}"/>
    <cellStyle name="Comma 6 7 2" xfId="30401" xr:uid="{8AB278A9-D60A-4CCF-8FB0-D023A9F7D997}"/>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4 2" xfId="29777" xr:uid="{69895E25-65E5-4D76-A26D-A63F28A4B978}"/>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3 4" xfId="30055" xr:uid="{82D7F95B-ADDB-4CD3-8CA5-38E26A9A1505}"/>
    <cellStyle name="Comma 7 10 3 5" xfId="29662" xr:uid="{6948ED0E-1928-433B-8896-129390D39D27}"/>
    <cellStyle name="Comma 7 10 4" xfId="1709" xr:uid="{00000000-0005-0000-0000-00008B020000}"/>
    <cellStyle name="Comma 7 10 4 2" xfId="25724" xr:uid="{65959AE7-EB73-4A29-AEDE-5086AD6654D1}"/>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2 3" xfId="31011" xr:uid="{D6C854D8-D37F-4A44-B89C-1C0E594B72EA}"/>
    <cellStyle name="Comma 7 10 5 2 4" xfId="30736" xr:uid="{1539EA9C-5098-413E-9C5B-D0DF900926AD}"/>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10" xfId="31256" xr:uid="{E835B43B-FDA2-4DDE-83E1-FBF9D27ED0DE}"/>
    <cellStyle name="Comma 7 11 2" xfId="1713" xr:uid="{00000000-0005-0000-0000-00008D020000}"/>
    <cellStyle name="Comma 7 11 2 2" xfId="25052" xr:uid="{23ABD4A7-3C9B-4DBA-8948-EF7696DC0549}"/>
    <cellStyle name="Comma 7 11 2 2 2" xfId="29812" xr:uid="{2804BB26-590B-4F9E-8251-636B18D7E4FE}"/>
    <cellStyle name="Comma 7 11 2 2 2 2" xfId="30738" xr:uid="{3DAD6463-AE5B-4A7E-A235-D117BC01C86B}"/>
    <cellStyle name="Comma 7 11 2 3" xfId="25318" xr:uid="{7CB5C089-12DC-4C77-B45B-B4312F852EC0}"/>
    <cellStyle name="Comma 7 11 2 4" xfId="30038" xr:uid="{567DD56B-F8B3-45D4-86C5-0960C07F73C2}"/>
    <cellStyle name="Comma 7 11 3" xfId="1714" xr:uid="{00000000-0005-0000-0000-00008E020000}"/>
    <cellStyle name="Comma 7 11 3 2" xfId="31310" xr:uid="{BF8591BA-BEDC-47CC-8EFA-C694600B8972}"/>
    <cellStyle name="Comma 7 11 3 3" xfId="31272" xr:uid="{2324712B-9FE1-4E85-A8B2-EE1C9063D0B9}"/>
    <cellStyle name="Comma 7 11 4" xfId="1712" xr:uid="{00000000-0005-0000-0000-00008F020000}"/>
    <cellStyle name="Comma 7 11 5" xfId="4893" xr:uid="{4D7EF800-D3FE-4415-997D-80EB71861FD5}"/>
    <cellStyle name="Comma 7 11 5 2" xfId="14185" xr:uid="{237C6960-02C1-47B1-93F9-D85783831FC0}"/>
    <cellStyle name="Comma 7 11 5 2 2" xfId="31115" xr:uid="{F9048556-5930-4AED-AE0A-49345657D6F3}"/>
    <cellStyle name="Comma 7 11 5 2 3" xfId="30737" xr:uid="{1DDC157D-0ED6-4BFF-BF05-1F10AA0C45F1}"/>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2 2 2" xfId="31132" xr:uid="{739F47EE-1697-4F75-9A1F-73E308A7FAE6}"/>
    <cellStyle name="Comma 7 12 2 2 2 3" xfId="30739" xr:uid="{79E3D847-09B7-406F-A8CF-8B9C6BA67CC6}"/>
    <cellStyle name="Comma 7 12 2 3" xfId="10392" xr:uid="{1C9A0FA7-3839-49B7-B9C6-489E59242394}"/>
    <cellStyle name="Comma 7 12 2 3 2" xfId="20772" xr:uid="{E2D691C5-6C3C-43B7-8FBD-A5642F6BDFE7}"/>
    <cellStyle name="Comma 7 12 2 4" xfId="15106" xr:uid="{394B16FD-FC1A-4870-BC31-909DEE327F64}"/>
    <cellStyle name="Comma 7 12 2 5" xfId="30435" xr:uid="{E91DB9E4-8773-4A90-836F-853E0ADD18FD}"/>
    <cellStyle name="Comma 7 12 3" xfId="3597" xr:uid="{00000000-0005-0000-0000-000090020000}"/>
    <cellStyle name="Comma 7 12 4" xfId="5602" xr:uid="{CC94EC69-AD3D-4EA5-A1E0-1BACCD539177}"/>
    <cellStyle name="Comma 7 12 4 2" xfId="29744" xr:uid="{E94F5ABB-9BF5-4EDB-9248-CDB704943345}"/>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3 4 2" xfId="29857" xr:uid="{8E68E056-46A1-493A-A824-DE927F27CD41}"/>
    <cellStyle name="Comma 7 13 5" xfId="30000" xr:uid="{CDAD209D-5AEE-42B6-A650-1520C83196B3}"/>
    <cellStyle name="Comma 7 14" xfId="1708" xr:uid="{00000000-0005-0000-0000-000092020000}"/>
    <cellStyle name="Comma 7 14 2" xfId="24640" xr:uid="{A6E59767-7C11-40A9-9CB4-E620D76DFBAF}"/>
    <cellStyle name="Comma 7 14 2 2" xfId="30740" xr:uid="{20627FD3-BC5A-44E9-9321-3CFCE969D60D}"/>
    <cellStyle name="Comma 7 14 2 3" xfId="30578" xr:uid="{293AA1E7-D6FF-4E29-9D1A-3B9D5650BE0B}"/>
    <cellStyle name="Comma 7 14 3" xfId="24749" xr:uid="{21C0A86C-9258-4F6E-BBD2-E1ADC08986B9}"/>
    <cellStyle name="Comma 7 14 4" xfId="31257" xr:uid="{60B07CE3-3025-411C-B89F-E948725F8A6F}"/>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5" xfId="15350" xr:uid="{E02DAF09-C053-4B2A-9C91-91990EE68988}"/>
    <cellStyle name="Comma 7 2 2 2 2 4" xfId="3674" xr:uid="{00000000-0005-0000-0000-000096020000}"/>
    <cellStyle name="Comma 7 2 2 2 2 4 2" xfId="26165" xr:uid="{EE1A87B6-5E5A-437E-A7D8-9561D25E3C7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2 3" xfId="31039" xr:uid="{AA539B6E-4723-4789-AC85-1CFE67B89BFD}"/>
    <cellStyle name="Comma 7 2 2 2 2 5 2 4" xfId="30741" xr:uid="{9E89B3B5-DBDF-44A9-AA99-6000B493F40F}"/>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6 2" xfId="29722" xr:uid="{A9AFC85D-8C0D-4130-B886-7E8359B0A603}"/>
    <cellStyle name="Comma 7 2 2 2 2 6 2 2" xfId="30970" xr:uid="{8CEB5E9E-E0FF-4F20-96AA-69D70D0E860D}"/>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2 2" xfId="31223" xr:uid="{64669DDE-E9DA-4EAC-840F-300D8458696F}"/>
    <cellStyle name="Comma 7 2 2 2 3 2 2 2 3" xfId="30743" xr:uid="{9BE22F56-5609-4E7F-8914-A50524A8AE51}"/>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4" xfId="4408" xr:uid="{2E431FD9-BDF8-4500-8041-84C831D3FB1C}"/>
    <cellStyle name="Comma 7 2 2 2 3 4 2" xfId="9180" xr:uid="{F943D953-EB9B-4C27-86D3-A0F6B8DC61E1}"/>
    <cellStyle name="Comma 7 2 2 2 3 4 2 2" xfId="19560" xr:uid="{B9C0123D-1762-4075-A637-E47C3ABE72BD}"/>
    <cellStyle name="Comma 7 2 2 2 3 4 2 3" xfId="31074" xr:uid="{D38E3B53-D156-4B44-AB59-891FBD40DA19}"/>
    <cellStyle name="Comma 7 2 2 2 3 4 2 4" xfId="30742" xr:uid="{5EC7C62E-B9BD-4D62-B823-6C633004A8F9}"/>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5 2" xfId="29713" xr:uid="{727D4473-6337-4C2B-993C-B70A69606063}"/>
    <cellStyle name="Comma 7 2 2 2 3 5 2 2" xfId="30971" xr:uid="{0009754D-8DF5-4501-AFC6-1CE7BF8EF82E}"/>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4 2" xfId="29952" xr:uid="{896A5489-FC9F-470C-A32A-715D7DC9DC2F}"/>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2 2" xfId="31210" xr:uid="{41DF6F33-8D60-4576-8FB0-D042E3C8EBFB}"/>
    <cellStyle name="Comma 7 2 2 2 5 2 2 3" xfId="30744" xr:uid="{9A76BCD1-2FA8-476D-82A1-5C281FED076E}"/>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4" xfId="5607" xr:uid="{F2C21B10-845E-4AC6-B077-E2669363A096}"/>
    <cellStyle name="Comma 7 2 2 3 2 4 2" xfId="29953" xr:uid="{D1E25D06-EBB3-4F98-B33B-12157C3439B0}"/>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2 5" xfId="30436" xr:uid="{05238282-1775-49FC-85C1-8ED1502C2358}"/>
    <cellStyle name="Comma 7 2 2 3 3 3" xfId="3609" xr:uid="{00000000-0005-0000-0000-00009B020000}"/>
    <cellStyle name="Comma 7 2 2 3 3 4" xfId="5608" xr:uid="{BC4ED24D-C538-4B6F-951C-1BD6831C47CE}"/>
    <cellStyle name="Comma 7 2 2 3 3 4 2" xfId="29904" xr:uid="{8D00CB34-EEFC-4608-9CEE-C41B70B1020A}"/>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2 5" xfId="31013" xr:uid="{E512D330-B569-42B6-B9FD-CEFB02E870B3}"/>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2 2" xfId="31224" xr:uid="{510942B6-0D2C-405B-ABD3-31DD104B2B1D}"/>
    <cellStyle name="Comma 7 2 2 4 2 2 2 3" xfId="30746" xr:uid="{3CE79F9A-1CEF-4341-8F09-994E691C3E10}"/>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4" xfId="4409" xr:uid="{2884BD95-8C96-4C48-BFE0-B4B8C01AC220}"/>
    <cellStyle name="Comma 7 2 2 4 4 2" xfId="9181" xr:uid="{51D2ED3C-38AC-433A-8617-49E6706C9BEB}"/>
    <cellStyle name="Comma 7 2 2 4 4 2 2" xfId="19561" xr:uid="{EB9E0A14-A346-4595-B7BB-C9951BF96F16}"/>
    <cellStyle name="Comma 7 2 2 4 4 2 3" xfId="31075" xr:uid="{786407AF-304B-44BB-91C9-41B73DBEF52E}"/>
    <cellStyle name="Comma 7 2 2 4 4 2 4" xfId="30745" xr:uid="{5E54725C-897D-40F1-8695-19F030094CFB}"/>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5 2" xfId="29695" xr:uid="{C51DD962-D486-41B6-AEF9-F352089D8979}"/>
    <cellStyle name="Comma 7 2 2 4 5 2 2" xfId="30972" xr:uid="{B554B0FB-577C-43D4-A599-63A4BA115F07}"/>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2 2" xfId="31184" xr:uid="{FC14198E-000A-4F8E-9452-58AE2CA30190}"/>
    <cellStyle name="Comma 7 2 2 5 2 2 2 3" xfId="30747" xr:uid="{A5AC0F89-1883-4D8B-B375-FC2E34278669}"/>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4 2" xfId="29924" xr:uid="{A6817449-271B-4CF5-A4A3-F87834A3357F}"/>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4 2" xfId="29880" xr:uid="{E8ADF7C4-F8D2-4A89-906B-03E3C1A7B97B}"/>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2 2" xfId="31168" xr:uid="{868935A9-795E-4969-B715-257C032BF947}"/>
    <cellStyle name="Comma 7 2 2 7 2 2 3" xfId="30748" xr:uid="{C0A2DEC5-358A-4E0F-873B-906DEBD77BD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2 3" xfId="31164" xr:uid="{C56FF428-67DB-4E35-8FFF-769DCB0D3C4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5 2" xfId="30072" xr:uid="{CA91868D-1CB6-464E-8CBF-4DCD3DCE018A}"/>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2 3" xfId="31040" xr:uid="{75B026AB-7DD8-43E2-9850-05B56B1C9A25}"/>
    <cellStyle name="Comma 7 2 3 2 5 2 4" xfId="30749" xr:uid="{3152E72E-1085-4AC3-8737-1EDAD6857F17}"/>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6 2" xfId="29723" xr:uid="{3978CA91-463F-4FB3-83B5-1A479610C314}"/>
    <cellStyle name="Comma 7 2 3 2 6 2 2" xfId="30973" xr:uid="{FBC6C47D-C56E-4878-A380-938D7859EBA3}"/>
    <cellStyle name="Comma 7 2 3 2 7" xfId="24740" xr:uid="{113CF7D5-3CC3-4C78-AA45-6BB36B301A7F}"/>
    <cellStyle name="Comma 7 2 3 2 8" xfId="13088" xr:uid="{84212721-431A-4A5B-A3B6-C12D2C24C27E}"/>
    <cellStyle name="Comma 7 2 3 2 9" xfId="29990" xr:uid="{E6F54CCC-E5B6-4A92-8CFB-C7AA169FBB12}"/>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2 2" xfId="31225" xr:uid="{C8EBC6BE-55BB-4085-B6E1-FC370F250ABF}"/>
    <cellStyle name="Comma 7 2 3 3 2 2 2 3" xfId="30751" xr:uid="{D91F4771-FE89-42CC-ACEC-7AC06163A138}"/>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2 3" xfId="31076" xr:uid="{135B9B38-57A7-4FCB-B543-F2903615F848}"/>
    <cellStyle name="Comma 7 2 3 3 4 2 4" xfId="30750" xr:uid="{C0FDE45D-0A74-4B48-B868-CC3A381D3938}"/>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5 2" xfId="29700" xr:uid="{8F0345B5-C42A-4F97-AC9E-5A49983112D6}"/>
    <cellStyle name="Comma 7 2 3 3 5 2 2" xfId="30974" xr:uid="{49AB00ED-D3D7-42C2-B932-B7FA414535C5}"/>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4" xfId="5611" xr:uid="{B015D05F-1EF5-4A33-9017-141199658DDE}"/>
    <cellStyle name="Comma 7 2 3 4 4 2" xfId="29954" xr:uid="{6F5E6FF8-BD18-41B0-9298-1562BF4F1B7A}"/>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2 2" xfId="31182" xr:uid="{20ACC1DA-DDA0-4DFF-BBE4-E7B9006F30B2}"/>
    <cellStyle name="Comma 7 2 3 5 2 2 3" xfId="30752" xr:uid="{D28CA131-6C32-427C-80B1-1949D54DB14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5" xfId="15688" xr:uid="{07D45072-101C-4827-B8D1-A00007F60C66}"/>
    <cellStyle name="Comma 7 2 4 2 3" xfId="3578" xr:uid="{00000000-0005-0000-0000-0000A5020000}"/>
    <cellStyle name="Comma 7 2 4 2 4" xfId="5614" xr:uid="{B5F8E063-CC13-48F7-B354-52022C29F059}"/>
    <cellStyle name="Comma 7 2 4 2 4 2" xfId="29778" xr:uid="{717A8B57-F613-4934-A2BA-B4DA41722BE9}"/>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2 5" xfId="30437" xr:uid="{DF58A38D-B193-4A6E-8EE2-33862B27ADE5}"/>
    <cellStyle name="Comma 7 2 4 3 3" xfId="3690" xr:uid="{00000000-0005-0000-0000-0000A6020000}"/>
    <cellStyle name="Comma 7 2 4 3 4" xfId="5615" xr:uid="{9A822023-40EF-4024-BA32-71C8DA489B1B}"/>
    <cellStyle name="Comma 7 2 4 3 4 2" xfId="29754" xr:uid="{74AF2044-288C-4259-962B-6890C3AD7521}"/>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2 5" xfId="31012" xr:uid="{4DF67780-7E6B-44B0-A3FE-2A2D9262F36F}"/>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2 2" xfId="29809" xr:uid="{204B9508-2436-4FC6-8C97-CBC6E74FC93F}"/>
    <cellStyle name="Comma 7 2 5 2 2 2 2" xfId="30754" xr:uid="{B5D93598-8236-4471-B3EC-1978D2E1072A}"/>
    <cellStyle name="Comma 7 2 5 2 3" xfId="25638" xr:uid="{B96FBEC1-5BE6-4663-9CFF-AEA34151F77D}"/>
    <cellStyle name="Comma 7 2 5 2 4" xfId="30056" xr:uid="{E4DAD63E-503C-406A-B8BA-9B1C802DB5C2}"/>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2 3" xfId="31077" xr:uid="{17B13F84-67BE-4A07-A34F-F4CE611049F3}"/>
    <cellStyle name="Comma 7 2 5 5 2 4" xfId="30753" xr:uid="{E58FD6DF-6DEC-499C-BEC4-86D88EF5CE76}"/>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2 2" xfId="31186" xr:uid="{7F1F2059-99DE-446F-8BD0-EAEBA6DBAE22}"/>
    <cellStyle name="Comma 7 2 6 2 2 2 3" xfId="30755" xr:uid="{9590EA42-5241-4666-9BE3-D0CB28A14838}"/>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4 2" xfId="29765" xr:uid="{F47EEEA3-4F8B-40CC-BF5B-CF0F5EF74B6F}"/>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4 2" xfId="29869" xr:uid="{5E7A83DB-A0C5-4ED1-A233-B36A18D163CB}"/>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4" xfId="25737" xr:uid="{0BD68913-1C0D-4A18-9932-CBE888208981}"/>
    <cellStyle name="Comma 7 3 2 2 2 2 5" xfId="15690" xr:uid="{AB7D13A1-97DD-4AAE-B47E-73DAD8FE81CB}"/>
    <cellStyle name="Comma 7 3 2 2 2 3" xfId="3677" xr:uid="{00000000-0005-0000-0000-0000B2020000}"/>
    <cellStyle name="Comma 7 3 2 2 2 4" xfId="5620" xr:uid="{F8F8D46F-8C1B-40ED-AC69-279F85441D7E}"/>
    <cellStyle name="Comma 7 3 2 2 2 4 2" xfId="29956" xr:uid="{8B3FC41C-7281-4CF2-A98D-63A3095363A9}"/>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3 3 2" xfId="29906" xr:uid="{93403E33-B739-48C8-B3FF-C5FA96787F9D}"/>
    <cellStyle name="Comma 7 3 2 2 3 4" xfId="30019" xr:uid="{83A93D49-37FF-4080-A033-54F7CB7FA7AE}"/>
    <cellStyle name="Comma 7 3 2 2 4" xfId="1740" xr:uid="{00000000-0005-0000-0000-0000B4020000}"/>
    <cellStyle name="Comma 7 3 2 2 4 2" xfId="26934" xr:uid="{BB2C93DE-0EA2-4180-8F0A-5D7729C94327}"/>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2 3" xfId="31042" xr:uid="{A4B4FE6B-5C09-45A8-B162-ECE9F59A9D18}"/>
    <cellStyle name="Comma 7 3 2 2 5 2 4" xfId="30756" xr:uid="{F2ABCE9C-BFA0-49C6-A07A-003C2976380F}"/>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2 2" xfId="31226" xr:uid="{A413791A-F936-450E-8898-B28874C3FB8E}"/>
    <cellStyle name="Comma 7 3 2 3 2 2 2 3" xfId="30758" xr:uid="{F6141DB5-1C57-421B-B213-CF6C071CD99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2 3" xfId="31078" xr:uid="{4789A897-290F-4E25-A48E-8AA52182CD7F}"/>
    <cellStyle name="Comma 7 3 2 3 4 2 4" xfId="30757" xr:uid="{117CC0FA-7F90-489F-8F9C-66A69315D0FF}"/>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5 2" xfId="29691" xr:uid="{249FB12A-7A27-4B61-879F-A256C0817664}"/>
    <cellStyle name="Comma 7 3 2 3 5 2 2" xfId="30975" xr:uid="{2A7E378A-0FD3-4967-96A4-3E638EC84947}"/>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4" xfId="5622" xr:uid="{4CBC5550-7EB1-496E-BF60-43A6D36D04BB}"/>
    <cellStyle name="Comma 7 3 2 4 4 2" xfId="29955" xr:uid="{55B8B43E-4A73-4E99-BCC6-D74B637F3A5B}"/>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4 2" xfId="29876" xr:uid="{4FC4C9B9-B5E7-45D0-B8BB-332448A3B3EC}"/>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2 3" xfId="31147" xr:uid="{0F0E9F80-7732-414C-B0DB-5DCE9C6228C8}"/>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2 3" xfId="31043" xr:uid="{63AC0313-CC44-4BAB-B99B-3AFFB46C8671}"/>
    <cellStyle name="Comma 7 3 3 2 5 2 4" xfId="30760" xr:uid="{8E4BCF6B-DBB4-4075-978A-BD1BDD7DB325}"/>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6 2" xfId="29724" xr:uid="{3D06F1E3-79B4-4811-B657-F16B4EEA06E8}"/>
    <cellStyle name="Comma 7 3 3 2 6 2 2" xfId="30976" xr:uid="{112E69B3-69F1-44A5-8738-0AA881F3DFDC}"/>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2 3" xfId="31079" xr:uid="{7AD836FD-8CD5-4690-A33A-8DF428ABF448}"/>
    <cellStyle name="Comma 7 3 3 3 4 2 4" xfId="30761" xr:uid="{95AEBBD9-A3AC-4749-8833-DDB070EBC3BF}"/>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5 2" xfId="29707" xr:uid="{629F5DA6-01D3-4F91-A6F3-08DAFF81178A}"/>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4" xfId="5623" xr:uid="{2F7F323B-1E99-4199-9FD5-7182F60C697E}"/>
    <cellStyle name="Comma 7 3 3 4 4 2" xfId="29957" xr:uid="{DF3BC11F-BB56-413E-BA58-E5E717506BBC}"/>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2 3" xfId="31014" xr:uid="{19B449DC-F951-4406-BBDC-1E361946CBF1}"/>
    <cellStyle name="Comma 7 3 3 6 2 4" xfId="30759" xr:uid="{09060111-3662-4062-98E2-27280CA31DEF}"/>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4" xfId="5626" xr:uid="{827FF525-FDEF-478D-B14C-FAE5C7BAAA47}"/>
    <cellStyle name="Comma 7 3 4 2 4 2" xfId="29958" xr:uid="{20F9AA12-6498-407B-9E82-41086B0B3BDD}"/>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3 3 2" xfId="29905" xr:uid="{01103EB1-3290-4D07-BEF6-3D3C9114883A}"/>
    <cellStyle name="Comma 7 3 4 3 4" xfId="30018" xr:uid="{00434217-AB1C-4C6B-A83C-62A5AC08F336}"/>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2 3" xfId="31041" xr:uid="{29E5A903-E367-4DFA-8B14-41FC53E28582}"/>
    <cellStyle name="Comma 7 3 4 5 2 4" xfId="30762" xr:uid="{5C39344B-BBCA-404A-B8F8-90DD4B557283}"/>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2 2" xfId="31227" xr:uid="{B1824CD6-0A45-4DFE-A5DA-1765F10D715A}"/>
    <cellStyle name="Comma 7 3 5 2 2 2 3" xfId="30764" xr:uid="{7B31E587-79F0-4CA4-A017-3FC64EB68955}"/>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2 3" xfId="31080" xr:uid="{7E1DD9F1-4C18-4368-A763-2CFDB57D9BB0}"/>
    <cellStyle name="Comma 7 3 5 4 2 4" xfId="30763" xr:uid="{CEB76293-5225-4DF8-B182-6C8C0AFD630E}"/>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5 2" xfId="29686" xr:uid="{DD02D9DC-2EC2-4EBC-A2AB-DA7D0EF6B5A6}"/>
    <cellStyle name="Comma 7 3 5 5 2 2" xfId="30977" xr:uid="{235E9461-30B4-44D8-929B-6F79698976C3}"/>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2 2" xfId="31169" xr:uid="{00E20836-A709-4D76-A735-95493E287AD1}"/>
    <cellStyle name="Comma 7 3 6 2 2 2 3" xfId="30765" xr:uid="{80F05594-7611-41F2-83FC-870D7DE32EE2}"/>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4" xfId="5628" xr:uid="{5B76C98F-C0BF-4CF0-91A7-53BE3B77CE07}"/>
    <cellStyle name="Comma 7 3 6 4 2" xfId="29925" xr:uid="{741779F3-8687-413A-BABB-6A7AC4C6DE25}"/>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4 2" xfId="29864" xr:uid="{AF8F967D-6CD8-4490-B648-1B12B79D6ED9}"/>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2 2 2" xfId="31124" xr:uid="{25B90749-E1DC-406F-B88F-4BB77DEB39C9}"/>
    <cellStyle name="Comma 7 3 8 2 2 3" xfId="30766" xr:uid="{2521966B-AD35-4B5A-923F-A6EECC98E499}"/>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4" xfId="25726" xr:uid="{A1B5A541-62DD-4F3C-A2B9-76C97AB30F96}"/>
    <cellStyle name="Comma 7 4 2 2 2 2 5" xfId="15698" xr:uid="{A876339B-699C-4347-AB50-4795736B3C8C}"/>
    <cellStyle name="Comma 7 4 2 2 2 3" xfId="2074" xr:uid="{00000000-0005-0000-0000-0000C6020000}"/>
    <cellStyle name="Comma 7 4 2 2 2 4" xfId="5630" xr:uid="{0F96B69B-244A-4F6D-84EA-8F9BE20B728E}"/>
    <cellStyle name="Comma 7 4 2 2 2 4 2" xfId="29960" xr:uid="{C6BDF0EC-6B58-4DBD-A047-E46FD0F0B294}"/>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3 3 2" xfId="29908" xr:uid="{017EC55E-1B0E-4659-9FEC-BE3BA3E8B5C9}"/>
    <cellStyle name="Comma 7 4 2 2 3 4" xfId="30020" xr:uid="{76B366F6-D4B3-4EDF-A05B-E111BAF2E291}"/>
    <cellStyle name="Comma 7 4 2 2 4" xfId="1755" xr:uid="{00000000-0005-0000-0000-0000C8020000}"/>
    <cellStyle name="Comma 7 4 2 2 4 2" xfId="26941" xr:uid="{EACAFCDE-67F4-4E83-A579-0DC3A6628F60}"/>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2 3" xfId="31044" xr:uid="{0466D549-57DE-48E9-B876-F7DA4CBAA235}"/>
    <cellStyle name="Comma 7 4 2 2 5 2 4" xfId="30767" xr:uid="{B6266582-5973-4625-BC73-800F26BE8E45}"/>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2 2" xfId="31228" xr:uid="{5DCE9DDA-5CBE-40F0-BC23-B3C9BE848D80}"/>
    <cellStyle name="Comma 7 4 2 3 2 2 2 3" xfId="30769" xr:uid="{C45D28CF-F3F7-4E67-9E26-B73EEE81ED73}"/>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2 3" xfId="31081" xr:uid="{F6B95315-CE84-493B-AAC8-03822C5B8988}"/>
    <cellStyle name="Comma 7 4 2 3 4 2 4" xfId="30768" xr:uid="{622C6861-D115-499C-A407-9F5AA1C65C51}"/>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5 2" xfId="29703" xr:uid="{2CD370FC-BE89-44C6-B960-89019767396E}"/>
    <cellStyle name="Comma 7 4 2 3 5 2 2" xfId="30978" xr:uid="{AB2A1405-E9B2-4D65-9C63-84C25CAAF278}"/>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4" xfId="5632" xr:uid="{FFE912BB-055C-46DF-8818-DF8382E88359}"/>
    <cellStyle name="Comma 7 4 2 4 4 2" xfId="29959" xr:uid="{89796A6F-5040-434A-BAAD-19672D0CD23D}"/>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4 2" xfId="29886" xr:uid="{E23FAD94-262E-486E-AC68-65CF7F67F6ED}"/>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4 2" xfId="29961" xr:uid="{CBFC30DF-918A-4635-9F73-C3728EBCA183}"/>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2 5" xfId="30438" xr:uid="{B1C8CA97-8768-4B9B-AA25-B2978BD9674C}"/>
    <cellStyle name="Comma 7 4 3 3 3" xfId="3617" xr:uid="{00000000-0005-0000-0000-0000CE020000}"/>
    <cellStyle name="Comma 7 4 3 3 4" xfId="5634" xr:uid="{C0C64253-4544-4979-A07F-7EEC2FA73C74}"/>
    <cellStyle name="Comma 7 4 3 3 4 2" xfId="29907" xr:uid="{7158D19A-9FDF-4D3B-84E8-BAA5FCE634A9}"/>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2 5" xfId="31015" xr:uid="{AE91DB1F-9BFA-4E40-ABB4-055D676741C7}"/>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2 2" xfId="29795" xr:uid="{FD56B18F-F2A1-4404-84AA-2710BD5F70E9}"/>
    <cellStyle name="Comma 7 4 4 2 2 2 2" xfId="30771" xr:uid="{319C5315-1AFF-4ADF-8B9D-E9FDD8A5291F}"/>
    <cellStyle name="Comma 7 4 4 2 3" xfId="24977" xr:uid="{BAF6A2DD-6226-43D4-A684-8150AEF97C75}"/>
    <cellStyle name="Comma 7 4 4 2 4" xfId="30057" xr:uid="{75B74586-5889-4F8A-8B94-D1B0980FFA5F}"/>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2 3" xfId="31082" xr:uid="{54FF0A26-6FC3-46E7-B541-2D3D4C7445BB}"/>
    <cellStyle name="Comma 7 4 4 5 2 4" xfId="30770" xr:uid="{9E45CC61-8D14-4306-AE88-07132C06F482}"/>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2 2" xfId="31202" xr:uid="{C4434D6B-27E6-4DB2-B5C6-11D236A9EB9B}"/>
    <cellStyle name="Comma 7 4 5 2 2 2 3" xfId="30772" xr:uid="{5B586058-E49A-4F5A-A031-B1916C57A197}"/>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4 2" xfId="29845" xr:uid="{4B10996F-A14C-46DD-8C2F-249591EC5D98}"/>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4 2" xfId="29860" xr:uid="{805902E2-1874-4F43-B319-8A070BE8AB08}"/>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2 2" xfId="29820" xr:uid="{5C6E918E-4939-45E8-B81B-2BB9443B9369}"/>
    <cellStyle name="Comma 7 5 2 2 2 2 2 2" xfId="30774" xr:uid="{8331577E-3BE0-4863-9249-C2E29EC91883}"/>
    <cellStyle name="Comma 7 5 2 2 2 3" xfId="25615" xr:uid="{E11AB7C8-071A-4B09-83C8-46783A515B04}"/>
    <cellStyle name="Comma 7 5 2 2 2 4" xfId="30058" xr:uid="{EDBA2B5F-6CEF-4901-AC0B-962DF8EC9CB1}"/>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5" xfId="4913" xr:uid="{292E7043-3ECC-4B86-8A68-9553D6F91E71}"/>
    <cellStyle name="Comma 7 5 2 2 5 2" xfId="26639" xr:uid="{499C625A-4CCE-4EF2-A8EA-D9B86F988028}"/>
    <cellStyle name="Comma 7 5 2 2 5 2 2" xfId="31180" xr:uid="{87B6A0FC-0A0D-4749-B9C8-431AB1B2B79E}"/>
    <cellStyle name="Comma 7 5 2 2 5 2 3" xfId="30773" xr:uid="{6B021D7B-467E-41E0-86AE-C149D8B144C3}"/>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3" xfId="10640" xr:uid="{8F13F77B-5886-4B31-9A6B-6F7BBF4680C1}"/>
    <cellStyle name="Comma 7 5 2 3 2 3 2" xfId="21020" xr:uid="{806E31E5-44E7-4543-8EE7-D88714002892}"/>
    <cellStyle name="Comma 7 5 2 3 2 4" xfId="15354" xr:uid="{2B1DDC52-F985-4BDE-9709-0D693B7B1532}"/>
    <cellStyle name="Comma 7 5 2 3 2 5" xfId="30439" xr:uid="{4C69A4F6-066B-4602-A2FB-2507B99DA2D3}"/>
    <cellStyle name="Comma 7 5 2 3 3" xfId="3604" xr:uid="{00000000-0005-0000-0000-0000DD020000}"/>
    <cellStyle name="Comma 7 5 2 3 4" xfId="5637" xr:uid="{22F7C8BC-3E9A-4B2A-806B-9A80343B7F05}"/>
    <cellStyle name="Comma 7 5 2 3 4 2" xfId="29755" xr:uid="{CB335343-DFF7-47C9-BAD2-5555E0887C81}"/>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2 3" xfId="31109" xr:uid="{F6B2EA94-75BA-4FE9-BA97-825E66BAC5CD}"/>
    <cellStyle name="Comma 7 5 2 4 2 2 4" xfId="30775" xr:uid="{9413EA06-846F-4538-A8B6-AC9D9CB1956E}"/>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4 3 2" xfId="29909" xr:uid="{FC352166-CC94-4832-943B-05E380014AC4}"/>
    <cellStyle name="Comma 7 5 2 4 4" xfId="30021" xr:uid="{F9CFF630-ED37-41F2-88D7-D77DA160E269}"/>
    <cellStyle name="Comma 7 5 2 5" xfId="1769" xr:uid="{00000000-0005-0000-0000-0000DF020000}"/>
    <cellStyle name="Comma 7 5 2 5 2" xfId="22841" xr:uid="{D1DB451F-6159-4A74-9B86-700896744C6A}"/>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2 2" xfId="29799" xr:uid="{E1BC0F88-3013-4A17-86BC-D393EC6A12C2}"/>
    <cellStyle name="Comma 7 5 3 2 2 2 2" xfId="30777" xr:uid="{0405C4BC-9FA5-4E1C-AE2C-0E8E035E6E55}"/>
    <cellStyle name="Comma 7 5 3 2 3" xfId="24071" xr:uid="{8A811A5F-863A-432D-8845-82D7A335A18F}"/>
    <cellStyle name="Comma 7 5 3 2 3 2" xfId="26964" xr:uid="{ACD1A0F0-669A-46F3-822C-B3E39EEFFB34}"/>
    <cellStyle name="Comma 7 5 3 2 4" xfId="30059" xr:uid="{4003CD9E-9CDC-471A-80E3-40C67E7AE6F3}"/>
    <cellStyle name="Comma 7 5 3 3" xfId="1777" xr:uid="{00000000-0005-0000-0000-0000E2020000}"/>
    <cellStyle name="Comma 7 5 3 4" xfId="1775" xr:uid="{00000000-0005-0000-0000-0000E3020000}"/>
    <cellStyle name="Comma 7 5 3 4 2" xfId="25794" xr:uid="{C46FFFC4-5367-43D9-A0F2-883957F7948E}"/>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2 3" xfId="31083" xr:uid="{D2DA8AD8-9203-46A4-840D-08F9276927A9}"/>
    <cellStyle name="Comma 7 5 3 5 2 4" xfId="30776" xr:uid="{ADEA8ABE-EF1C-4EE3-B196-098AA0C6560D}"/>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2 2" xfId="29813" xr:uid="{ACABB38E-F2C3-4AC1-BAE5-A0B7DA0C7293}"/>
    <cellStyle name="Comma 7 5 4 2 2 2 2" xfId="30779" xr:uid="{AF40BC1E-0D28-4ADA-909F-280C9863C3CF}"/>
    <cellStyle name="Comma 7 5 4 2 3" xfId="25559" xr:uid="{57C8C355-B884-4ABB-8802-01C4ABA7B528}"/>
    <cellStyle name="Comma 7 5 4 2 4" xfId="30039" xr:uid="{2590A26D-2BC3-46D2-9CBC-376320D777B3}"/>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5 2 2" xfId="31116" xr:uid="{AFD7E339-6562-4166-B7E4-17A96787670E}"/>
    <cellStyle name="Comma 7 5 4 5 2 3" xfId="30778" xr:uid="{171CD150-B758-49E1-ADA7-FED0D3CB3AFB}"/>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2 5" xfId="30440" xr:uid="{03E98A0F-5295-4006-9775-DC44882EA57A}"/>
    <cellStyle name="Comma 7 5 5 3" xfId="3668" xr:uid="{00000000-0005-0000-0000-0000E8020000}"/>
    <cellStyle name="Comma 7 5 5 4" xfId="5638" xr:uid="{549DF708-A440-479B-B2F3-1DB44B4EF640}"/>
    <cellStyle name="Comma 7 5 5 4 2" xfId="29846" xr:uid="{0CCCBC86-3CE8-47B5-9F99-C8ED5F9D97B3}"/>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6 4 2" xfId="29872" xr:uid="{1E50365E-F381-4A78-9DEE-85DE002A0ED4}"/>
    <cellStyle name="Comma 7 5 6 5" xfId="30002" xr:uid="{2C6228CA-1ACB-48D5-AC98-48ED27FB57CC}"/>
    <cellStyle name="Comma 7 5 7" xfId="1768" xr:uid="{00000000-0005-0000-0000-0000EA020000}"/>
    <cellStyle name="Comma 7 5 7 2" xfId="25768" xr:uid="{F584A0C8-D732-472C-8BC3-DCA82A4452C1}"/>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2 2" xfId="29800" xr:uid="{6530A366-0929-4E11-BB5C-1247AF3904CA}"/>
    <cellStyle name="Comma 7 6 2 2 2 2 2 2" xfId="30781" xr:uid="{CD5614D8-BFEE-49F5-8B7B-9193CFB74C10}"/>
    <cellStyle name="Comma 7 6 2 2 2 3" xfId="23934" xr:uid="{E36F713B-902C-474C-93D2-2A68907E4954}"/>
    <cellStyle name="Comma 7 6 2 2 2 4" xfId="30060" xr:uid="{01672D53-D010-430C-A056-32DE89E2A64E}"/>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5" xfId="4918" xr:uid="{568104A5-BF9E-4CAB-8466-A723EBB6FFCC}"/>
    <cellStyle name="Comma 7 6 2 2 5 2" xfId="27423" xr:uid="{6D27C4D8-3DCA-45E9-B4AB-2A98FB1E5EE5}"/>
    <cellStyle name="Comma 7 6 2 2 5 2 2" xfId="31191" xr:uid="{5D3FFA2F-4D53-434E-94A8-7F717C58A0F3}"/>
    <cellStyle name="Comma 7 6 2 2 5 2 3" xfId="30780" xr:uid="{1CC38D04-CD23-46B7-BB5E-CB53C7761DA1}"/>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3" xfId="10641" xr:uid="{6E4FC81E-5D87-4568-B43B-22C6D3B722B4}"/>
    <cellStyle name="Comma 7 6 2 3 2 3 2" xfId="21021" xr:uid="{4C3A11D8-3CA8-4B93-8360-3532C16154E6}"/>
    <cellStyle name="Comma 7 6 2 3 2 4" xfId="15355" xr:uid="{F5ABC2AE-96BF-4503-97DF-050751112AFA}"/>
    <cellStyle name="Comma 7 6 2 3 2 5" xfId="30441" xr:uid="{D87D8F3D-F43C-41C0-8037-C1D88E2C0419}"/>
    <cellStyle name="Comma 7 6 2 3 3" xfId="3618" xr:uid="{00000000-0005-0000-0000-0000F1020000}"/>
    <cellStyle name="Comma 7 6 2 3 4" xfId="5639" xr:uid="{A859882B-B923-4E27-B0EB-8C0E2A828252}"/>
    <cellStyle name="Comma 7 6 2 3 4 2" xfId="29756" xr:uid="{2383F154-FBC3-4396-AA20-4E3ACC12478B}"/>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2 3" xfId="31110" xr:uid="{53BB95EB-C7DA-4A8C-A4C2-E7F1D2015036}"/>
    <cellStyle name="Comma 7 6 2 4 2 2 4" xfId="30782" xr:uid="{BFE3B2AC-07A6-4004-A56B-5447B1DA410D}"/>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4 3 2" xfId="29910" xr:uid="{A56ADC01-A341-4692-A5BD-408AA86B465C}"/>
    <cellStyle name="Comma 7 6 2 4 4" xfId="30022" xr:uid="{038B0F77-68FE-441B-A2D7-3E607D8FBD3E}"/>
    <cellStyle name="Comma 7 6 2 5" xfId="1784" xr:uid="{00000000-0005-0000-0000-0000F3020000}"/>
    <cellStyle name="Comma 7 6 2 5 2" xfId="25694" xr:uid="{43A0D14E-D700-4A27-B4AB-31B149617AF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2 2" xfId="29807" xr:uid="{C1CE4960-82BB-4DAF-BD8F-C3EF7E964D61}"/>
    <cellStyle name="Comma 7 6 3 2 2 2 2" xfId="30784" xr:uid="{05E51192-649A-411F-9AB3-46D1F40C9C68}"/>
    <cellStyle name="Comma 7 6 3 2 3" xfId="25625" xr:uid="{EF760203-0895-4660-ABBE-998EE7974075}"/>
    <cellStyle name="Comma 7 6 3 2 3 2" xfId="26189" xr:uid="{817FEF4E-F9EF-4ACF-AE83-5398CABA09AF}"/>
    <cellStyle name="Comma 7 6 3 2 4" xfId="30061" xr:uid="{A2F331B9-7AA9-4AC8-AD6F-60544D09BFCC}"/>
    <cellStyle name="Comma 7 6 3 3" xfId="1792" xr:uid="{00000000-0005-0000-0000-0000F6020000}"/>
    <cellStyle name="Comma 7 6 3 4" xfId="1790" xr:uid="{00000000-0005-0000-0000-0000F7020000}"/>
    <cellStyle name="Comma 7 6 3 4 2" xfId="26138" xr:uid="{E6EA9670-01AD-4097-8942-F95C02BBB311}"/>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2 3" xfId="31084" xr:uid="{5B1F8756-6123-46BD-9F5C-3032651408D7}"/>
    <cellStyle name="Comma 7 6 3 5 2 4" xfId="30783" xr:uid="{75EF5744-0076-4620-A6E4-89D8800440B2}"/>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2 2" xfId="29811" xr:uid="{57D54F67-70B5-4496-B67A-CCD271CE0A1A}"/>
    <cellStyle name="Comma 7 6 4 2 2 2 2" xfId="30786" xr:uid="{275B49E3-BA19-4808-AF0E-992BAD75E9CA}"/>
    <cellStyle name="Comma 7 6 4 2 3" xfId="24294" xr:uid="{089D13FD-4729-4D15-80E1-E28074858099}"/>
    <cellStyle name="Comma 7 6 4 2 4" xfId="30040" xr:uid="{3CAEEE8B-0AAD-4E47-8D9D-7B15CA8A6CF5}"/>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5 2 2" xfId="31117" xr:uid="{108BB9CF-32ED-4F0D-84FA-ED3968C16286}"/>
    <cellStyle name="Comma 7 6 4 5 2 3" xfId="30785" xr:uid="{0C9D9E98-C376-4509-99C7-461FA0F154D1}"/>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2 5" xfId="30442" xr:uid="{F7FA1887-1CFD-4A77-A944-6246311872AB}"/>
    <cellStyle name="Comma 7 6 5 3" xfId="2063" xr:uid="{00000000-0005-0000-0000-0000FC020000}"/>
    <cellStyle name="Comma 7 6 5 4" xfId="5640" xr:uid="{E6B8AE12-F1B5-499A-8F3E-004979DA9C30}"/>
    <cellStyle name="Comma 7 6 5 4 2" xfId="29847" xr:uid="{7BBD256C-B730-43AF-815C-82C21BC38304}"/>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6 4 2" xfId="29883" xr:uid="{BA8926F2-5495-4B23-B877-3C97DC6CD642}"/>
    <cellStyle name="Comma 7 6 6 5" xfId="30006" xr:uid="{FA1DB840-8290-41D1-B01F-2F13D74261E2}"/>
    <cellStyle name="Comma 7 6 7" xfId="1783" xr:uid="{00000000-0005-0000-0000-0000FE020000}"/>
    <cellStyle name="Comma 7 6 7 2" xfId="27963" xr:uid="{1D32C5D1-031B-4E2E-A3F9-D5DB05CFD04C}"/>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2 2 2" xfId="31137" xr:uid="{7B4E6E3D-5D0B-40D6-84BD-43D775109142}"/>
    <cellStyle name="Comma 7 7 2 2 2 2 2 3" xfId="30787" xr:uid="{B018A964-2BCE-44BC-8397-0B29A05DF726}"/>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4 2" xfId="29766" xr:uid="{FA4FB0BF-A96C-40AA-BA96-8F4951D06A90}"/>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2 2" xfId="30788" xr:uid="{1E3CD265-152F-4835-8EE5-09A9941F2276}"/>
    <cellStyle name="Comma 7 7 2 3 2 3" xfId="30554" xr:uid="{02D9238D-CBBE-43CD-9C24-03C90F95B3B3}"/>
    <cellStyle name="Comma 7 7 2 3 3" xfId="23910" xr:uid="{53A23F6E-80A4-406E-B3C9-3A9ED17968CC}"/>
    <cellStyle name="Comma 7 7 2 3 4" xfId="30041" xr:uid="{B10D0033-ABBF-4989-8018-A0B99E559E65}"/>
    <cellStyle name="Comma 7 7 2 3 5" xfId="29663" xr:uid="{F6B21234-EF52-417D-A18F-B6EF8AD1E09D}"/>
    <cellStyle name="Comma 7 7 2 4" xfId="1799" xr:uid="{00000000-0005-0000-0000-000003030000}"/>
    <cellStyle name="Comma 7 7 2 4 2" xfId="25969" xr:uid="{928C0968-72D2-40CF-B38F-C587FD022FFD}"/>
    <cellStyle name="Comma 7 7 2 4 2 2" xfId="30789" xr:uid="{7E046A25-CAE9-4CDB-BD51-E8747CBC0EBF}"/>
    <cellStyle name="Comma 7 7 2 4 2 3" xfId="30588" xr:uid="{B9BA8C80-016D-4DAF-B5A7-EEAE08BA1850}"/>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5 5" xfId="30619" xr:uid="{E846814E-5B6C-4A6E-9E58-68D4CC744C88}"/>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2 2" xfId="30791" xr:uid="{54EA8795-81FA-4C62-9DDB-F155986CC086}"/>
    <cellStyle name="Comma 7 7 3 2 2 3" xfId="30602" xr:uid="{AC10B343-A6F7-4CEA-BFEF-D4DBB8A29826}"/>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2 2" xfId="31197" xr:uid="{222CF450-24C8-4421-8103-13361694F782}"/>
    <cellStyle name="Comma 7 7 3 5 2 3" xfId="30790" xr:uid="{7960C803-F401-450C-B756-1ADD0E85CCC6}"/>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2 2 2" xfId="31127" xr:uid="{578F950F-8ECC-4DFC-BB7D-F799DE989C62}"/>
    <cellStyle name="Comma 7 7 4 2 2 2 3" xfId="30792" xr:uid="{F5A2BB4A-33A4-4166-889B-4FB51AB60A5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4 4 2" xfId="29738" xr:uid="{787F23BB-5755-4C4F-9AEF-D15F9D5BAA42}"/>
    <cellStyle name="Comma 7 7 4 5" xfId="29848" xr:uid="{B9DD2DA5-2A68-4CBC-BCA3-1B5F3034B17B}"/>
    <cellStyle name="Comma 7 7 4 6" xfId="29991" xr:uid="{B686D5D9-8B80-451A-AB28-EB3DD1D3523C}"/>
    <cellStyle name="Comma 7 7 5" xfId="1806" xr:uid="{00000000-0005-0000-0000-000009030000}"/>
    <cellStyle name="Comma 7 7 5 2" xfId="25672" xr:uid="{6DCCAF9D-3C6C-4CF6-ADEB-8BDFB46B6777}"/>
    <cellStyle name="Comma 7 7 5 2 2" xfId="29828" xr:uid="{4A7BD1EE-60D6-4780-87E7-19A73C10E6BF}"/>
    <cellStyle name="Comma 7 7 5 2 2 2" xfId="30793" xr:uid="{BA5C71EA-B3F2-4687-A4B5-790C585B6E1A}"/>
    <cellStyle name="Comma 7 7 5 3" xfId="24747" xr:uid="{3D5F4592-4DA7-47D0-9EA5-0B5125233E85}"/>
    <cellStyle name="Comma 7 7 5 4" xfId="30023" xr:uid="{1DEC4015-E095-4F70-8620-A8BE279518E9}"/>
    <cellStyle name="Comma 7 7 6" xfId="1798" xr:uid="{00000000-0005-0000-0000-00000A030000}"/>
    <cellStyle name="Comma 7 7 6 2" xfId="27388" xr:uid="{FD0E0FBD-37AE-490F-91F8-9CCBB4423EF3}"/>
    <cellStyle name="Comma 7 7 6 2 2" xfId="30794" xr:uid="{CAA61A27-B80A-4F0E-809E-70C3BBC4F0DD}"/>
    <cellStyle name="Comma 7 7 6 2 3" xfId="30587" xr:uid="{779BF925-478F-4B92-9D61-F3E81C8C6CCA}"/>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2 2 2" xfId="31138" xr:uid="{081405D7-D07D-4A91-BD9B-45D8AD436235}"/>
    <cellStyle name="Comma 7 8 2 2 2 2 2 3" xfId="30795" xr:uid="{ED36736C-00D1-4FB1-B140-7B9566A4683E}"/>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4 2" xfId="29767" xr:uid="{E9FED823-1012-4BC6-A428-7E2379C3BA30}"/>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2 2" xfId="30796" xr:uid="{F6B8A557-F23D-438B-8822-B00D42CBEC46}"/>
    <cellStyle name="Comma 7 8 2 3 2 3" xfId="30555" xr:uid="{D701D235-4E4F-4A67-B996-44B03CEEE62B}"/>
    <cellStyle name="Comma 7 8 2 3 3" xfId="23270" xr:uid="{E168AB56-CAC1-4EAC-9C84-294233F63871}"/>
    <cellStyle name="Comma 7 8 2 3 4" xfId="30042" xr:uid="{5595654F-D3F2-4C58-9711-80F5D4516389}"/>
    <cellStyle name="Comma 7 8 2 3 5" xfId="29664" xr:uid="{F89B622F-2B7F-4DD5-B596-4AE854E840FE}"/>
    <cellStyle name="Comma 7 8 2 4" xfId="1808" xr:uid="{00000000-0005-0000-0000-00000F030000}"/>
    <cellStyle name="Comma 7 8 2 4 2" xfId="27624" xr:uid="{E4811423-FA33-410A-9876-3E8BEC2D3065}"/>
    <cellStyle name="Comma 7 8 2 4 2 2" xfId="30797" xr:uid="{F5E6F138-1B96-4B9C-A041-BA40BEE9149A}"/>
    <cellStyle name="Comma 7 8 2 4 2 3" xfId="30590" xr:uid="{113A6CB1-FA98-4193-9DC6-59E261BEBAD5}"/>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5 5" xfId="30618" xr:uid="{36739910-A0E7-407D-A213-70F47A9FB38C}"/>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2 2" xfId="30799" xr:uid="{27CF7EC5-7EB8-4BFD-BCE0-B0F02E2406C6}"/>
    <cellStyle name="Comma 7 8 3 2 2 3" xfId="30603" xr:uid="{5081A3B1-9BBF-4264-A72F-EC54681B085A}"/>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2 2" xfId="31177" xr:uid="{B7C2DA88-707B-4D9B-B86B-2337AB76038C}"/>
    <cellStyle name="Comma 7 8 3 5 2 3" xfId="30798" xr:uid="{C3139D6A-C6C8-4FB4-A5E3-3E0682926834}"/>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2 2 2" xfId="31128" xr:uid="{DCA6D1C7-1322-4480-B219-4BF158B0F1E8}"/>
    <cellStyle name="Comma 7 8 4 2 2 2 3" xfId="30800" xr:uid="{DE93F21A-3123-4AC4-B36D-73D11AF2C594}"/>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4 4 2" xfId="29739" xr:uid="{24393F3C-DB19-4078-9336-35E1AE2F85F6}"/>
    <cellStyle name="Comma 7 8 4 5" xfId="29849" xr:uid="{4A5ECDAD-660F-4328-BAC4-07C32749A506}"/>
    <cellStyle name="Comma 7 8 4 6" xfId="29992" xr:uid="{587744C6-0414-46C8-8D3F-F58C20B13D75}"/>
    <cellStyle name="Comma 7 8 5" xfId="1815" xr:uid="{00000000-0005-0000-0000-000015030000}"/>
    <cellStyle name="Comma 7 8 5 2" xfId="23786" xr:uid="{79A225CD-EE67-4FD6-AD4B-AA6D75F99659}"/>
    <cellStyle name="Comma 7 8 5 2 2" xfId="29829" xr:uid="{85D21D4E-521C-4890-ABEA-B0F0A9C6E194}"/>
    <cellStyle name="Comma 7 8 5 2 2 2" xfId="30801" xr:uid="{32CF2401-1888-4757-9934-9E94BDDB7892}"/>
    <cellStyle name="Comma 7 8 5 3" xfId="24113" xr:uid="{BE8CBB68-BEC0-4594-95E1-007E844A55A2}"/>
    <cellStyle name="Comma 7 8 5 4" xfId="30024" xr:uid="{43D9B9D1-144B-4A25-937C-F86412C4CA52}"/>
    <cellStyle name="Comma 7 8 6" xfId="1807" xr:uid="{00000000-0005-0000-0000-000016030000}"/>
    <cellStyle name="Comma 7 8 6 2" xfId="28223" xr:uid="{1CA307A6-ECBB-4DCD-88E9-ED86F26BE09F}"/>
    <cellStyle name="Comma 7 8 6 2 2" xfId="30802" xr:uid="{36E76C61-6C08-4EC0-ADAB-97813DC20F84}"/>
    <cellStyle name="Comma 7 8 6 2 3" xfId="30589" xr:uid="{E692720D-A46C-47F1-A85F-B7A7AD465287}"/>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2 2 2" xfId="31144" xr:uid="{8996AED9-583D-45D1-90AF-796571A1EF0C}"/>
    <cellStyle name="Comma 7 9 2 2 2 2 3" xfId="30803" xr:uid="{11FE597E-A302-4F05-AB71-E873DAD04A9D}"/>
    <cellStyle name="Comma 7 9 2 2 3" xfId="10987" xr:uid="{5A4792B8-16DA-4A10-B4BA-D0A16135D4E9}"/>
    <cellStyle name="Comma 7 9 2 2 3 2" xfId="21367" xr:uid="{407AA900-0444-45C7-87FB-519CD37F3547}"/>
    <cellStyle name="Comma 7 9 2 2 4" xfId="24622" xr:uid="{263D3238-FB6A-4166-9E0F-9A170E5F5491}"/>
    <cellStyle name="Comma 7 9 2 2 4 2" xfId="30073" xr:uid="{4DA89B82-2FB7-4F27-A5F9-327004076252}"/>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4 2" xfId="29779" xr:uid="{EBB2BB2F-2710-46EF-886B-754275719B42}"/>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2 5" xfId="30443" xr:uid="{92D51025-E4C0-4904-9638-6A17E656034E}"/>
    <cellStyle name="Comma 7 9 3 3" xfId="3679" xr:uid="{00000000-0005-0000-0000-000019030000}"/>
    <cellStyle name="Comma 7 9 3 4" xfId="5644" xr:uid="{E6BE7499-77E4-463B-BA19-0EA0E6022915}"/>
    <cellStyle name="Comma 7 9 3 4 2" xfId="29753" xr:uid="{8B795218-E896-406B-B68C-5A7BF886D01A}"/>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5" xfId="15358" xr:uid="{65EDEDBF-9135-4EDF-B076-15DD1724FE14}"/>
    <cellStyle name="Comma 9 2 2 2 4" xfId="2046" xr:uid="{00000000-0005-0000-0000-00001F030000}"/>
    <cellStyle name="Comma 9 2 2 2 4 2" xfId="26109" xr:uid="{122440CA-696A-44E0-9E96-A87373C105F9}"/>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2 3" xfId="31045" xr:uid="{F0C0A167-9B27-4A98-AB6A-B02856686997}"/>
    <cellStyle name="Comma 9 2 2 2 5 2 4" xfId="30804" xr:uid="{940BAFB2-DDDF-4DFD-AC79-DD26DD309846}"/>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6 2" xfId="29725" xr:uid="{5FAFEE43-02EA-4263-B848-C1EA850D9CC6}"/>
    <cellStyle name="Comma 9 2 2 2 6 2 2" xfId="30979" xr:uid="{5D796100-B80F-4D81-937F-89F02B01DAF1}"/>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2 2" xfId="31229" xr:uid="{E0EAEE44-385B-43C4-A241-FDA503A0345E}"/>
    <cellStyle name="Comma 9 2 2 3 2 2 2 3" xfId="30806" xr:uid="{0E41FCD9-0F8F-41FD-9B49-7F0530E67F12}"/>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4" xfId="4419" xr:uid="{51ADD6C0-603D-4098-9009-CBEFA0A69A4B}"/>
    <cellStyle name="Comma 9 2 2 3 4 2" xfId="9191" xr:uid="{F3BDC41A-CFD9-47C5-A0ED-1DF0D97D107C}"/>
    <cellStyle name="Comma 9 2 2 3 4 2 2" xfId="19571" xr:uid="{6A163FFC-6407-458E-95EF-1755EB510D2C}"/>
    <cellStyle name="Comma 9 2 2 3 4 2 3" xfId="31085" xr:uid="{200D0FEF-51EA-4B32-BD4F-ED01F56CF64F}"/>
    <cellStyle name="Comma 9 2 2 3 4 2 4" xfId="30805" xr:uid="{45D769B4-A51B-4357-BF7C-CEA3942690FF}"/>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5 2" xfId="29711" xr:uid="{8E3DEB05-C8FD-4B12-9825-E73EE046D749}"/>
    <cellStyle name="Comma 9 2 2 3 5 2 2" xfId="30980" xr:uid="{AFFAD961-C129-4BDB-B8E1-FC9907D6727B}"/>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4 2" xfId="29962" xr:uid="{7C9ED966-91AA-4C46-BB66-8180C9956C71}"/>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2 2" xfId="31211" xr:uid="{972E3E93-27A6-4530-8159-6C6AF4E7DBCC}"/>
    <cellStyle name="Comma 9 2 2 5 2 2 3" xfId="30807" xr:uid="{08104823-45CC-4C4D-B84B-B3362DB2DCBC}"/>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4" xfId="5649" xr:uid="{E79966CE-366E-44ED-8CF4-EF18FE3B9A08}"/>
    <cellStyle name="Comma 9 2 3 2 4 2" xfId="29963" xr:uid="{C540771B-03DD-4A97-8D6C-125C8B900220}"/>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2 5" xfId="30444" xr:uid="{B9D0D307-C678-4D48-9BB3-FA80D0D64076}"/>
    <cellStyle name="Comma 9 2 3 3 3" xfId="2079" xr:uid="{00000000-0005-0000-0000-000024030000}"/>
    <cellStyle name="Comma 9 2 3 3 4" xfId="5650" xr:uid="{CE82BC05-DECC-433A-A1AE-079FA93D71A1}"/>
    <cellStyle name="Comma 9 2 3 3 4 2" xfId="29911" xr:uid="{DEAC15BD-E4D5-4066-9D0F-223E4FCD8552}"/>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2 5" xfId="31017" xr:uid="{F7D350F9-DB22-40CD-A277-E89E784C5412}"/>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2 2" xfId="31230" xr:uid="{D86CE846-FB1A-46CF-AAA1-01DB85ECFA69}"/>
    <cellStyle name="Comma 9 2 4 2 2 2 3" xfId="30809" xr:uid="{BE13AE7C-8747-44CE-A1E1-1A36A7111489}"/>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4" xfId="4420" xr:uid="{730607A7-848F-4DD4-AC1A-3254E1DC46BC}"/>
    <cellStyle name="Comma 9 2 4 4 2" xfId="9192" xr:uid="{C7AB3644-B0B6-4154-BE4F-C29BF5ECB030}"/>
    <cellStyle name="Comma 9 2 4 4 2 2" xfId="19572" xr:uid="{7AE53B1F-54DA-4F06-99C4-5B8CE011620E}"/>
    <cellStyle name="Comma 9 2 4 4 2 3" xfId="31086" xr:uid="{BE5A0B73-4A4C-4029-A301-6535C3F13C1D}"/>
    <cellStyle name="Comma 9 2 4 4 2 4" xfId="30808" xr:uid="{C1548C2B-E83F-4CD1-8AE4-504BDC32719D}"/>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5 2" xfId="29693" xr:uid="{E7A06D38-4B4A-4976-BC01-C3B6B233E532}"/>
    <cellStyle name="Comma 9 2 4 5 2 2" xfId="30981" xr:uid="{FFEA7A56-AD8A-44D9-BC17-C7A9B2757E95}"/>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2 2" xfId="31188" xr:uid="{935049C4-8F57-47F7-A020-2141BFAE117B}"/>
    <cellStyle name="Comma 9 2 5 2 2 2 3" xfId="30810" xr:uid="{E09FB7FE-6B02-4145-8F9C-245D63874152}"/>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4 2" xfId="29926" xr:uid="{5C9B02E0-C788-4B1D-BC0E-E607E53C7539}"/>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4 2" xfId="29878" xr:uid="{E41C2E13-76EE-4F01-AD17-0737E327D418}"/>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2 2" xfId="31183" xr:uid="{B8E870C8-2DC3-4142-9B70-BD70882B4D51}"/>
    <cellStyle name="Comma 9 2 7 2 2 3" xfId="30811" xr:uid="{BBA9BA85-2DE8-4D34-8E86-BAE1DE19E844}"/>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2 3" xfId="31150" xr:uid="{5B67C8A6-D0F9-4F81-B1C0-F30C304F8C08}"/>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5 2" xfId="30075" xr:uid="{8548742A-9BBA-4637-B5B9-9DA740E4A09B}"/>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2 3" xfId="31046" xr:uid="{A3B5197F-9B5D-4143-A697-326D2D0AB011}"/>
    <cellStyle name="Comma 9 3 2 5 2 4" xfId="30812" xr:uid="{C5508924-C6EA-4A67-BDDF-7E50FD3BE005}"/>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6 2" xfId="29726" xr:uid="{553F6754-B523-42B0-B4FE-4907B6316108}"/>
    <cellStyle name="Comma 9 3 2 6 2 2" xfId="30982" xr:uid="{699CA55B-0135-496F-BFC8-968E66D2718F}"/>
    <cellStyle name="Comma 9 3 2 7" xfId="25227" xr:uid="{32CD50D2-C9AE-4571-939C-C8C54DC3B34F}"/>
    <cellStyle name="Comma 9 3 2 8" xfId="13101" xr:uid="{B68D3080-BA5F-48EA-9188-311DC047BBAB}"/>
    <cellStyle name="Comma 9 3 2 9" xfId="29993" xr:uid="{9DCA55B1-63A8-4DF5-A458-C59A6106A22A}"/>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2 2" xfId="31231" xr:uid="{122F2141-B372-4667-A3EB-B92731022D63}"/>
    <cellStyle name="Comma 9 3 3 2 2 2 3" xfId="30814" xr:uid="{B37193DA-685B-4302-9C78-E276FA29B8E2}"/>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2 3" xfId="31087" xr:uid="{057F8738-14E9-452A-B2A1-4B72350EA751}"/>
    <cellStyle name="Comma 9 3 3 4 2 4" xfId="30813" xr:uid="{BE881679-89E9-4CF6-A166-B978E2ED3F85}"/>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5 2" xfId="29697" xr:uid="{25FDA149-4835-475C-A7F8-D677AAAFBB08}"/>
    <cellStyle name="Comma 9 3 3 5 2 2" xfId="30983" xr:uid="{8A31E08D-F38C-4717-AA35-0B286BA438E3}"/>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4" xfId="5653" xr:uid="{2992C92C-8EDE-4819-B747-CFD197F07934}"/>
    <cellStyle name="Comma 9 3 4 4 2" xfId="29964" xr:uid="{BB309544-82A9-4F34-A3A4-5C8ABA70C651}"/>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2 2" xfId="31196" xr:uid="{A200391D-8B39-419F-859D-3D90BFEFCC8C}"/>
    <cellStyle name="Comma 9 3 5 2 2 3" xfId="30815" xr:uid="{66DD9239-68FF-45F3-AF1C-1AA6F4162EB8}"/>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5" xfId="15710" xr:uid="{412DA1D9-9811-42B5-8081-0F6DE9609973}"/>
    <cellStyle name="Comma 9 4 2 3" xfId="2863" xr:uid="{00000000-0005-0000-0000-00002E030000}"/>
    <cellStyle name="Comma 9 4 2 4" xfId="5656" xr:uid="{FACDA99C-DDD8-460F-90C1-E63427823092}"/>
    <cellStyle name="Comma 9 4 2 4 2" xfId="29780" xr:uid="{E30DC661-0A7D-4302-84B9-97F8610FC21A}"/>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2 5" xfId="30445" xr:uid="{B26AB995-9DA7-45C6-8F4A-F83B12EC79F3}"/>
    <cellStyle name="Comma 9 4 3 3" xfId="2865" xr:uid="{00000000-0005-0000-0000-00002F030000}"/>
    <cellStyle name="Comma 9 4 3 4" xfId="5657" xr:uid="{5A2DC35C-DA84-47EE-9C97-6ECF34E3F1B9}"/>
    <cellStyle name="Comma 9 4 3 4 2" xfId="29757" xr:uid="{3FF33E2E-17F3-4806-92DB-FC2FBAC24A0C}"/>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2 5" xfId="31016" xr:uid="{C70E7451-E225-40B7-9553-75756977E965}"/>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2 2" xfId="29734" xr:uid="{4EE9F0A9-B64B-4BBC-877F-5C2DC9EA782C}"/>
    <cellStyle name="Comma 9 5 2 2 2 2" xfId="30817" xr:uid="{7DDDB3C0-0AA8-429A-9485-C1BA4A808B64}"/>
    <cellStyle name="Comma 9 5 2 3" xfId="25740" xr:uid="{BD4F76CC-DB4F-408A-9F04-DD94FC6E59F4}"/>
    <cellStyle name="Comma 9 5 2 4" xfId="30062" xr:uid="{2C5886AA-A058-4749-A25F-7DF620D43BC6}"/>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2 3" xfId="31088" xr:uid="{2CDF2188-A78B-4855-8CE4-F384313AF8EE}"/>
    <cellStyle name="Comma 9 5 5 2 4" xfId="30816" xr:uid="{A68B76D1-A43A-4AAC-9BB7-E9A4D4A197E0}"/>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2 2" xfId="31207" xr:uid="{AC86CCF5-87B5-486C-A95D-B373481C3E5D}"/>
    <cellStyle name="Comma 9 6 2 2 2 3" xfId="30818" xr:uid="{A3D88B5A-1B43-49B3-A188-71217E96AF43}"/>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4 2" xfId="29768" xr:uid="{B3881E7F-EA6D-4505-A0C2-F6197E7FCB7D}"/>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4 2" xfId="29866" xr:uid="{F821CFCD-FFB9-4C80-B833-DA30AE5E5A8C}"/>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11" xfId="31726" xr:uid="{50C09DAD-7BB7-4B5C-917D-B69F3EB82B30}"/>
    <cellStyle name="Currency 11 2" xfId="32024" xr:uid="{6BE0BF21-9BDE-45C1-AC91-84D8CFBDE3FE}"/>
    <cellStyle name="Currency 12" xfId="31727" xr:uid="{69491EB7-021E-4ADE-A85E-04FC9A02E371}"/>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2 2" xfId="29676" xr:uid="{8A10BD16-5AEB-494E-881F-7E0D230EA123}"/>
    <cellStyle name="Currency 2 2 2 3" xfId="25761" xr:uid="{8F717FAC-E6A7-4309-961E-F4148D0E234D}"/>
    <cellStyle name="Currency 2 2 3" xfId="1842" xr:uid="{00000000-0005-0000-0000-00003C030000}"/>
    <cellStyle name="Currency 2 2 3 2" xfId="31311" xr:uid="{7BFE6CF7-9CFB-4E56-9502-51B9DDDA54DC}"/>
    <cellStyle name="Currency 2 2 3 3" xfId="31262" xr:uid="{1228AB1E-3502-40BF-A461-A45B15291AD2}"/>
    <cellStyle name="Currency 2 2 4" xfId="1840" xr:uid="{00000000-0005-0000-0000-00003D030000}"/>
    <cellStyle name="Currency 2 2 5" xfId="30404" xr:uid="{6C56C78C-CF80-400B-8AD4-5EA478965CBC}"/>
    <cellStyle name="Currency 2 2 5 2" xfId="30446" xr:uid="{52EAF437-DE7B-45B5-A79E-F2F09DDEC780}"/>
    <cellStyle name="Currency 2 2 6" xfId="31733" xr:uid="{B1431204-32C2-4525-9311-376EB91B9E68}"/>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3 2" xfId="31312" xr:uid="{63EA3BD5-D743-4D3E-B117-DC4C143B3472}"/>
    <cellStyle name="Currency 2 4 3 3" xfId="31271" xr:uid="{143BD92B-F210-4D52-85D1-C1196C82AA7E}"/>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6 3" xfId="29821" xr:uid="{7495F884-4559-4BB6-B6DD-02CAC4FD0E91}"/>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2 5 2" xfId="31273" xr:uid="{C9960BEB-433F-4D8A-AB3D-38B8005C5B97}"/>
    <cellStyle name="Currency 2 5 3" xfId="31313" xr:uid="{17E81078-713B-441E-8C51-6F85DC0B3771}"/>
    <cellStyle name="Currency 2 5 4" xfId="31255" xr:uid="{71529EA7-54A6-4052-B414-B4F635F70A11}"/>
    <cellStyle name="Currency 2 6" xfId="30403" xr:uid="{BCAB48D8-82F5-4F43-A322-3E67DE7472E1}"/>
    <cellStyle name="Currency 2 6 2" xfId="31261" xr:uid="{E8739B1A-634F-45BD-BCE4-041B23EE0F95}"/>
    <cellStyle name="Currency 2 7" xfId="31732" xr:uid="{64F74D17-D806-4C43-B557-ADB798BEED05}"/>
    <cellStyle name="Currency 3" xfId="551" xr:uid="{00000000-0005-0000-0000-000048030000}"/>
    <cellStyle name="Currency 3 10" xfId="30620" xr:uid="{CC98C09A-FB90-4F09-8713-CE67BE1C4FA6}"/>
    <cellStyle name="Currency 3 11" xfId="30918" xr:uid="{AC79C766-96F4-4BB0-9D53-CAD075CD5FB9}"/>
    <cellStyle name="Currency 3 12" xfId="31731" xr:uid="{BBB3409B-21CA-4FEF-99F6-CD30D3F98184}"/>
    <cellStyle name="Currency 3 2" xfId="552" xr:uid="{00000000-0005-0000-0000-000049030000}"/>
    <cellStyle name="Currency 3 2 2" xfId="1851" xr:uid="{00000000-0005-0000-0000-00004A030000}"/>
    <cellStyle name="Currency 3 2 2 2" xfId="30604" xr:uid="{87CC1BB8-D490-4CBA-AE62-52158B1BF23D}"/>
    <cellStyle name="Currency 3 2 2 2 2" xfId="30820" xr:uid="{0C94806D-7676-421F-9E69-D685AFF23599}"/>
    <cellStyle name="Currency 3 2 2 3" xfId="30565" xr:uid="{1EE52B54-EC85-4641-BC5E-D5D513A14121}"/>
    <cellStyle name="Currency 3 2 2 4" xfId="30931" xr:uid="{9104C6C5-305B-4CE0-B9BE-66CC40287E6D}"/>
    <cellStyle name="Currency 3 2 3" xfId="1852" xr:uid="{00000000-0005-0000-0000-00004B030000}"/>
    <cellStyle name="Currency 3 2 3 2" xfId="30615" xr:uid="{2D020D6F-B1E2-42BA-9525-8CD612C11686}"/>
    <cellStyle name="Currency 3 2 3 2 2" xfId="30821" xr:uid="{793F920B-E972-4134-AAFB-C8B0826B0E0C}"/>
    <cellStyle name="Currency 3 2 3 3" xfId="30576" xr:uid="{B4E6E47A-8B2C-4E61-BB8D-30D9C4F7C82A}"/>
    <cellStyle name="Currency 3 2 3 4" xfId="30942" xr:uid="{F852420D-7AB5-4DD1-92DF-D97324C12DE3}"/>
    <cellStyle name="Currency 3 2 4" xfId="1850" xr:uid="{00000000-0005-0000-0000-00004C030000}"/>
    <cellStyle name="Currency 3 2 4 2" xfId="30557" xr:uid="{143D821B-A1E5-45AA-8D28-FA09A9A6E54E}"/>
    <cellStyle name="Currency 3 2 4 2 2" xfId="30822" xr:uid="{5A603EFF-9CB2-4DC6-9418-67911C9EF2AE}"/>
    <cellStyle name="Currency 3 2 5" xfId="6683" xr:uid="{4FCFE811-3755-46F4-8803-2EFC844A90DA}"/>
    <cellStyle name="Currency 3 2 5 2" xfId="17063" xr:uid="{1F927C96-6E01-4C40-9B2D-7222789598FC}"/>
    <cellStyle name="Currency 3 2 5 2 2" xfId="30819" xr:uid="{82416E93-F733-465F-9221-BF5CA319CA6B}"/>
    <cellStyle name="Currency 3 2 5 3" xfId="30447" xr:uid="{CFB4445B-2822-44EE-97D3-586E0F3CB5E1}"/>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3 3" xfId="30413" xr:uid="{D9261D7C-4BB0-4F23-8A7D-89513C8C9F65}"/>
    <cellStyle name="Currency 3 4" xfId="30414" xr:uid="{56B42A0C-41FC-4CE6-B7AD-37115BE76475}"/>
    <cellStyle name="Currency 3 4 2" xfId="30448" xr:uid="{FAFC5492-58AD-4064-AA46-E99FA44DE317}"/>
    <cellStyle name="Currency 3 4 2 2" xfId="30605" xr:uid="{26A558A6-6954-4BC7-9B2E-CB04CA19DF15}"/>
    <cellStyle name="Currency 3 4 2 2 2" xfId="30823" xr:uid="{BAD0F4FB-A620-4584-9052-59B615478FE4}"/>
    <cellStyle name="Currency 3 4 2 3" xfId="30566" xr:uid="{CF89AC64-B129-47C4-9033-859EF82BC59F}"/>
    <cellStyle name="Currency 3 4 2 4" xfId="30932" xr:uid="{BFD1A78F-8924-435D-8C6C-0D4901C78012}"/>
    <cellStyle name="Currency 3 4 3" xfId="30558" xr:uid="{20CD84F8-EDE8-4AF4-B532-A3E1B5109EF4}"/>
    <cellStyle name="Currency 3 4 3 2" xfId="30635" xr:uid="{DF88B98C-68E1-47F3-A338-2C5D7520D934}"/>
    <cellStyle name="Currency 3 4 3 3" xfId="30945" xr:uid="{45BC16B4-B7BF-4099-8716-EADE89E871F5}"/>
    <cellStyle name="Currency 3 4 4" xfId="30591" xr:uid="{68808DD4-EE59-4BA1-BF12-A45A21B1D415}"/>
    <cellStyle name="Currency 3 4 5" xfId="30624" xr:uid="{D16E1CA0-3C3A-427D-9FC3-9BB85E6A1553}"/>
    <cellStyle name="Currency 3 4 6" xfId="30922" xr:uid="{FAD81B93-BBB8-43D5-BD80-94DF096C6A51}"/>
    <cellStyle name="Currency 3 5" xfId="30415" xr:uid="{81863DDD-1FEA-49F1-AEA7-615BE80C86A1}"/>
    <cellStyle name="Currency 3 5 2" xfId="30449" xr:uid="{CE9DCB24-732B-4ADA-857C-6F58DD618B77}"/>
    <cellStyle name="Currency 3 5 2 2" xfId="30606" xr:uid="{34227F4F-8C86-4B60-BC19-C90512E35E07}"/>
    <cellStyle name="Currency 3 5 2 2 2" xfId="30824" xr:uid="{239D24BD-EA61-4223-A6AC-E2D0B4B19C16}"/>
    <cellStyle name="Currency 3 5 2 3" xfId="30567" xr:uid="{DD97E0D8-3A98-41BE-B0BE-039F013CA0A8}"/>
    <cellStyle name="Currency 3 5 2 4" xfId="30933" xr:uid="{7558C0CC-CC3C-48DB-873C-E663906AD405}"/>
    <cellStyle name="Currency 3 5 3" xfId="30592" xr:uid="{06599778-836F-4CFE-92BA-FDF17CE2D98E}"/>
    <cellStyle name="Currency 3 5 3 2" xfId="30636" xr:uid="{2D11F2B4-9C32-4FD4-856C-702A205F961B}"/>
    <cellStyle name="Currency 3 5 3 3" xfId="30946" xr:uid="{DF42840B-E34C-485E-9570-C84EC1F5ECCC}"/>
    <cellStyle name="Currency 3 5 4" xfId="30625" xr:uid="{DFF81114-405C-4BD9-882E-3E6DCC627BBA}"/>
    <cellStyle name="Currency 3 5 5" xfId="30923" xr:uid="{889487E8-CDE1-4124-A152-07293079280A}"/>
    <cellStyle name="Currency 3 6" xfId="30556" xr:uid="{E6F281E3-0276-4ECA-AC9C-37A1F772038D}"/>
    <cellStyle name="Currency 3 7" xfId="30573" xr:uid="{5086352A-41FE-4853-9FBE-0A6014B61D30}"/>
    <cellStyle name="Currency 3 7 2" xfId="30612" xr:uid="{7367140C-062D-4451-8ECD-8EE326D93E2A}"/>
    <cellStyle name="Currency 3 7 3" xfId="30631" xr:uid="{EE3C1B3E-C238-41D4-83A6-0E95DA0C6E18}"/>
    <cellStyle name="Currency 3 7 4" xfId="30938" xr:uid="{95BC5195-8BFF-481F-A698-758C4BBDB773}"/>
    <cellStyle name="Currency 3 8" xfId="30546" xr:uid="{0CD1A085-9703-4560-91E9-56A6256AB4B6}"/>
    <cellStyle name="Currency 3 9" xfId="30577" xr:uid="{DB854ECE-A65B-4464-A0DC-C7561B51E415}"/>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4 2" xfId="29781" xr:uid="{BF8FBF9C-A9AE-4570-B79D-C7C876F315A5}"/>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3 4" xfId="30063" xr:uid="{40918CAD-B437-47A8-B12D-997B4568D142}"/>
    <cellStyle name="Currency 4 10 3 5" xfId="29665" xr:uid="{67C50BD9-2CAF-4C73-BD9D-C799CBCDBB6B}"/>
    <cellStyle name="Currency 4 10 4" xfId="1854" xr:uid="{00000000-0005-0000-0000-000051030000}"/>
    <cellStyle name="Currency 4 10 4 2" xfId="24284" xr:uid="{ED9A845B-35BA-45AD-AF0D-05D9F0ECF894}"/>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2 3" xfId="31018" xr:uid="{0871327B-F0E4-4A2A-83E5-48144795B73F}"/>
    <cellStyle name="Currency 4 10 5 2 4" xfId="30825" xr:uid="{F6878F02-5380-4822-B59B-FA3551951465}"/>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2 2" xfId="29797" xr:uid="{E480E336-5C3C-44AC-9220-09707E85CE00}"/>
    <cellStyle name="Currency 4 11 2 2 2 2" xfId="30827" xr:uid="{4D352770-668B-4CB1-9BFD-BFF3A4AC1C1B}"/>
    <cellStyle name="Currency 4 11 2 3" xfId="22791" xr:uid="{5ABBA574-11C1-4A53-8D6F-81175CE6891C}"/>
    <cellStyle name="Currency 4 11 2 4" xfId="30043" xr:uid="{91030C44-997A-4D80-B0EF-B6069FB20D88}"/>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5 2 2" xfId="31118" xr:uid="{C0B40B35-E5C0-4FB5-9DCF-943164FD01CF}"/>
    <cellStyle name="Currency 4 11 5 2 3" xfId="30826" xr:uid="{E4F6EF9A-2249-4A18-99D1-59B07C1167CD}"/>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2 2 2" xfId="31133" xr:uid="{59565F86-36CB-4BB2-8FFA-3406B5C83954}"/>
    <cellStyle name="Currency 4 12 2 2 2 3" xfId="30828" xr:uid="{CADA9377-013A-437D-AE8B-EEFEA9B1C519}"/>
    <cellStyle name="Currency 4 12 2 3" xfId="10393" xr:uid="{74AA856C-1546-48A1-902B-0B9C48E13197}"/>
    <cellStyle name="Currency 4 12 2 3 2" xfId="20773" xr:uid="{DB56C7FD-1566-4A75-8FCC-9C848565BFF6}"/>
    <cellStyle name="Currency 4 12 2 4" xfId="15107" xr:uid="{29096738-BB6A-486C-9D3B-D9E98C7DF5A2}"/>
    <cellStyle name="Currency 4 12 2 5" xfId="30450" xr:uid="{A1023E56-DF96-4373-8785-3BEA0179AB65}"/>
    <cellStyle name="Currency 4 12 3" xfId="3606" xr:uid="{00000000-0005-0000-0000-000056030000}"/>
    <cellStyle name="Currency 4 12 4" xfId="5661" xr:uid="{442882FD-A814-4225-99B5-C1E0B22554C2}"/>
    <cellStyle name="Currency 4 12 4 2" xfId="29745" xr:uid="{80832A7C-4F8F-4063-9660-3EE52C1F2BAF}"/>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3 4 2" xfId="29858" xr:uid="{B799D5DA-0548-4483-A7DA-59D6502F3999}"/>
    <cellStyle name="Currency 4 13 5" xfId="30001" xr:uid="{4FCFD07F-7408-4267-B201-B872777B8AC2}"/>
    <cellStyle name="Currency 4 14" xfId="1853" xr:uid="{00000000-0005-0000-0000-000058030000}"/>
    <cellStyle name="Currency 4 14 2" xfId="25803" xr:uid="{FBE6B4CA-BCAB-44EE-A7E9-70F4C6699F61}"/>
    <cellStyle name="Currency 4 14 2 2" xfId="30829" xr:uid="{08C9B446-C64D-40BA-8420-DEAE598B52CC}"/>
    <cellStyle name="Currency 4 14 2 3" xfId="30580" xr:uid="{7D39938B-7E55-4F5A-BF14-F961544A2D2A}"/>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2 3" xfId="31048" xr:uid="{3B7AB140-6A10-4BC0-BE67-072D624912D8}"/>
    <cellStyle name="Currency 4 2 2 2 2 5 2 4" xfId="30830" xr:uid="{841903E7-109E-4832-AD2D-F43F3855F60D}"/>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6 2" xfId="29727" xr:uid="{D4F02699-9D7A-4636-8246-722EE6D50577}"/>
    <cellStyle name="Currency 4 2 2 2 2 6 2 2" xfId="30984" xr:uid="{25D31D1E-9374-4588-8BAD-34D1CFD1B55D}"/>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2 2" xfId="31232" xr:uid="{3429C379-89FB-4D0B-AA6F-20CAB746CD96}"/>
    <cellStyle name="Currency 4 2 2 2 3 2 2 2 3" xfId="30832" xr:uid="{8634E1EF-FB6D-4204-A640-59C7D326ADDF}"/>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2 3" xfId="31089" xr:uid="{D1E76A2F-6447-478C-A663-6EA53EC550CC}"/>
    <cellStyle name="Currency 4 2 2 2 3 4 2 4" xfId="30831" xr:uid="{657565F7-E228-4780-9F08-C035C0197582}"/>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5 2" xfId="29714" xr:uid="{EC6735F0-7DE9-4568-B77B-F6FDEF7A8DC7}"/>
    <cellStyle name="Currency 4 2 2 2 3 5 2 2" xfId="30985" xr:uid="{CFC58C28-6C1B-47B8-8F44-D625CD50AA8A}"/>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4 2" xfId="29965" xr:uid="{FF29FBEB-C139-42CC-898F-F368F7E51091}"/>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2 2" xfId="31174" xr:uid="{599A9C6C-AF98-47C8-9562-6F1C30BA128B}"/>
    <cellStyle name="Currency 4 2 2 2 5 2 2 3" xfId="30833" xr:uid="{92DF8621-EC15-4BA9-BFE4-A154DAF79516}"/>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4" xfId="5666" xr:uid="{8018743C-C0EA-4511-8D4B-89AF2CE609A2}"/>
    <cellStyle name="Currency 4 2 2 3 2 4 2" xfId="29966" xr:uid="{BCF43D88-6F00-4BCB-8D9B-D13D0B18D182}"/>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2 5" xfId="30451" xr:uid="{3FE6DD69-5112-4CB9-B21A-BAC2204DC643}"/>
    <cellStyle name="Currency 4 2 2 3 3 3" xfId="3657" xr:uid="{00000000-0005-0000-0000-000061030000}"/>
    <cellStyle name="Currency 4 2 2 3 3 4" xfId="5667" xr:uid="{54673D43-2BB9-4497-8CC5-C0E86AE657BC}"/>
    <cellStyle name="Currency 4 2 2 3 3 4 2" xfId="29912" xr:uid="{DD81D97E-F9C6-4B81-A72E-F394027770CE}"/>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2 5" xfId="31020" xr:uid="{CF2B4C35-60CF-460E-A7D8-6BD89E16FAF9}"/>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2 2" xfId="31233" xr:uid="{69AF95F0-2C79-4BC4-A731-DBA5CA72172F}"/>
    <cellStyle name="Currency 4 2 2 4 2 2 2 3" xfId="30835" xr:uid="{F7ED024B-50A5-4D78-9170-B4E74ADDAF8F}"/>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2 3" xfId="31090" xr:uid="{ADCB1A0A-2CA2-44D3-9A0C-3CB9A9AFA32C}"/>
    <cellStyle name="Currency 4 2 2 4 4 2 4" xfId="30834" xr:uid="{93DE7190-B7AD-4AB0-B507-D2661CDEBD52}"/>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5 2" xfId="29696" xr:uid="{DF7D1619-517D-47AF-AAFD-626650862B22}"/>
    <cellStyle name="Currency 4 2 2 4 5 2 2" xfId="30986" xr:uid="{6FA4CAAA-8E9A-4CF5-91CC-0CAAFF2C5227}"/>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2 2" xfId="31213" xr:uid="{DDC9AFF2-2326-4EB9-95EC-058A72C5EA4C}"/>
    <cellStyle name="Currency 4 2 2 5 2 2 2 3" xfId="30836" xr:uid="{33C4AC48-D594-48B2-8E15-C4425C6412AB}"/>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4 2" xfId="29927" xr:uid="{924939E3-BF39-442A-AD08-F63E11A1C0F0}"/>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4 2" xfId="29881" xr:uid="{90064861-D917-4C49-97BF-764532CE1FD2}"/>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2 2" xfId="31193" xr:uid="{8BFEFF6A-F05D-4F21-A359-E27BC701FB97}"/>
    <cellStyle name="Currency 4 2 2 7 2 2 3" xfId="30837" xr:uid="{AD4086B9-CE40-4A7C-AF4B-5AEC0730E92D}"/>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2 3" xfId="31165" xr:uid="{3B754025-5AC2-41B4-85AB-66A50B2BE5A3}"/>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5 2" xfId="30082" xr:uid="{21807AB0-79A4-4976-8C9B-271BC80672DC}"/>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2 3" xfId="31049" xr:uid="{92252FF1-0E6E-4F89-9FC8-C021125B6D9E}"/>
    <cellStyle name="Currency 4 2 3 2 5 2 4" xfId="30838" xr:uid="{2AE58734-02FC-450F-90A1-8F5E85C2D3B9}"/>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6 2" xfId="29728" xr:uid="{FE5A2704-6749-4B6E-8BB6-A7683E9B9E0D}"/>
    <cellStyle name="Currency 4 2 3 2 6 2 2" xfId="30987" xr:uid="{39D5B816-D691-4D85-95CC-46B2E8671A0E}"/>
    <cellStyle name="Currency 4 2 3 2 7" xfId="23523" xr:uid="{E6D4F43F-005B-44E0-A529-E07D81929683}"/>
    <cellStyle name="Currency 4 2 3 2 8" xfId="13107" xr:uid="{2F7DCC0A-CB6C-48C1-8D0F-8FB466F04FD1}"/>
    <cellStyle name="Currency 4 2 3 2 9" xfId="29994" xr:uid="{CE033F57-9BDB-4821-8A87-DD0E4EAE44F2}"/>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2 2" xfId="31234" xr:uid="{C99B5626-34D4-4ECE-A3A0-3BD7C3C868CA}"/>
    <cellStyle name="Currency 4 2 3 3 2 2 2 3" xfId="30840" xr:uid="{540CDF2A-17D0-4EA1-8CE7-D91FE6235E7F}"/>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2 3" xfId="31091" xr:uid="{2085B30E-C37C-4522-A981-D6661F484E54}"/>
    <cellStyle name="Currency 4 2 3 3 4 2 4" xfId="30839" xr:uid="{C2DA64AC-30E0-4B03-B951-7E831A57408C}"/>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5 2" xfId="29701" xr:uid="{8B2CE640-C1D9-4645-B3FB-D2F01298CF19}"/>
    <cellStyle name="Currency 4 2 3 3 5 2 2" xfId="30988" xr:uid="{0C3D6EFD-9BBD-4736-8CE3-EC30A16ED133}"/>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4" xfId="5670" xr:uid="{49E33153-542F-4E88-B6C3-166F4B1C18DC}"/>
    <cellStyle name="Currency 4 2 3 4 4 2" xfId="29967" xr:uid="{D1E42E86-3344-414E-8575-B8C7A311F714}"/>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2 2" xfId="31199" xr:uid="{A372AF4B-0BAD-46E7-AA5D-F790CCD5BF14}"/>
    <cellStyle name="Currency 4 2 3 5 2 2 3" xfId="30841" xr:uid="{2DA2947D-AA7D-4126-9341-6CAA595EB8A4}"/>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5" xfId="15720" xr:uid="{B01317A4-4A1D-4031-9F10-55C58A1D8E6D}"/>
    <cellStyle name="Currency 4 2 4 2 3" xfId="2862" xr:uid="{00000000-0005-0000-0000-00006B030000}"/>
    <cellStyle name="Currency 4 2 4 2 4" xfId="5673" xr:uid="{B894F6FB-E5D2-4426-BAE5-F361ED958DC3}"/>
    <cellStyle name="Currency 4 2 4 2 4 2" xfId="29782" xr:uid="{779327EA-EF40-48DB-992B-79710876AA2B}"/>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2 5" xfId="30452" xr:uid="{3E7E8B7A-271B-4ED0-B1E0-67B7EC7F1A1F}"/>
    <cellStyle name="Currency 4 2 4 3 3" xfId="3544" xr:uid="{00000000-0005-0000-0000-00006C030000}"/>
    <cellStyle name="Currency 4 2 4 3 4" xfId="5674" xr:uid="{08E421AE-DDE3-4B6C-AA1C-46544E7401B9}"/>
    <cellStyle name="Currency 4 2 4 3 4 2" xfId="29759" xr:uid="{2AC4BDB1-E701-44D9-B0FC-9883B7A7B3FF}"/>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2 5" xfId="31019" xr:uid="{CFD86F19-DED4-497F-A8E9-A80709CF90C1}"/>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2 2" xfId="29679" xr:uid="{33DBED40-3AE8-4C44-861D-1863CE025044}"/>
    <cellStyle name="Currency 4 2 5 2 2 2 2" xfId="30843" xr:uid="{883563B9-AF8B-4872-A207-9A25B2B164BE}"/>
    <cellStyle name="Currency 4 2 5 2 3" xfId="23374" xr:uid="{043B26EB-F4A5-45D7-8163-B3F881D5C636}"/>
    <cellStyle name="Currency 4 2 5 2 4" xfId="30064" xr:uid="{2461003D-E32D-42BD-BB02-6DB484292D06}"/>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2 3" xfId="31092" xr:uid="{E7D19E49-7B60-44F2-B6FD-9392A2CF31AF}"/>
    <cellStyle name="Currency 4 2 5 5 2 4" xfId="30842" xr:uid="{784B0320-B780-4FBA-9D1B-039687A1453B}"/>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2 2" xfId="31176" xr:uid="{93D65879-61DA-41FA-BF5B-6144E174BADC}"/>
    <cellStyle name="Currency 4 2 6 2 2 2 3" xfId="30844" xr:uid="{9E43A73B-313A-47DA-AE4A-45B5A584F094}"/>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4 2" xfId="29769" xr:uid="{3E9B3AED-6894-4FB7-981B-D2BD8B1F19DF}"/>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4 2" xfId="29870" xr:uid="{65B5D0E8-B145-4E9B-89E2-C7AEE6F364BA}"/>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4" xfId="5679" xr:uid="{61CE8434-0474-4A82-9F1F-8BA9FFBDF874}"/>
    <cellStyle name="Currency 4 3 2 2 2 4 2" xfId="29969" xr:uid="{A6E3D5D1-B127-4385-8A3C-57C615A4EC53}"/>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3 3 2" xfId="29914" xr:uid="{B4D4653B-9700-4885-9B5D-00CF112D66D6}"/>
    <cellStyle name="Currency 4 3 2 2 3 4" xfId="30026" xr:uid="{BE5F880F-D1A7-43E6-9257-37876B1379C7}"/>
    <cellStyle name="Currency 4 3 2 2 4" xfId="1885" xr:uid="{00000000-0005-0000-0000-00007A030000}"/>
    <cellStyle name="Currency 4 3 2 2 4 2" xfId="26962" xr:uid="{DB772303-1715-451F-983D-FA4084595956}"/>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2 3" xfId="31051" xr:uid="{395ABA41-C54B-4D28-9E45-B54CD7F229E6}"/>
    <cellStyle name="Currency 4 3 2 2 5 2 4" xfId="30845" xr:uid="{34E27599-88F6-41D0-87AB-5DEC06A25F09}"/>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2 2" xfId="31235" xr:uid="{F67D50A3-C1A7-4415-BBD6-E83CA67CA0E1}"/>
    <cellStyle name="Currency 4 3 2 3 2 2 2 3" xfId="30847" xr:uid="{FCC25CCB-B954-4AC4-AED2-AF96C2ACAAD6}"/>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2 3" xfId="31093" xr:uid="{5F90A487-DD6C-4B22-8CD2-6F6807FDE49D}"/>
    <cellStyle name="Currency 4 3 2 3 4 2 4" xfId="30846" xr:uid="{88CE84D6-B319-4B38-9C82-3871BE944E4C}"/>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5 2" xfId="29692" xr:uid="{72B473B9-F902-428F-854C-CB54D507686F}"/>
    <cellStyle name="Currency 4 3 2 3 5 2 2" xfId="30989" xr:uid="{A7C94F98-A8FA-4C61-B245-EF8864580272}"/>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4" xfId="5681" xr:uid="{C640D449-3274-4163-9177-C2B189F2C72C}"/>
    <cellStyle name="Currency 4 3 2 4 4 2" xfId="29968" xr:uid="{82E5840C-98F6-4266-BB3E-9495DB6AA215}"/>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4 2" xfId="29877" xr:uid="{A7BF50A6-9658-419F-8EF1-2A93352FCFF0}"/>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2 3" xfId="31148" xr:uid="{0C03AF1E-A399-4040-90B7-A6DB64E525B5}"/>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2 3" xfId="31052" xr:uid="{0BFC20F7-3A11-46FD-A2F7-E61DF009DCA7}"/>
    <cellStyle name="Currency 4 3 3 2 5 2 4" xfId="30849" xr:uid="{9DD54116-BB81-4751-8D21-DAB26CEE32EB}"/>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6 2" xfId="29729" xr:uid="{D3EB36FD-8CEE-4738-97ED-A99FD52FAEF4}"/>
    <cellStyle name="Currency 4 3 3 2 6 2 2" xfId="30990" xr:uid="{DE4878C6-2BEC-46D2-8EF8-E46B9720E401}"/>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2 3" xfId="31094" xr:uid="{292C4124-F0A2-4D10-B359-250B7466A5C3}"/>
    <cellStyle name="Currency 4 3 3 3 4 2 4" xfId="30850" xr:uid="{A251918D-5AFF-4910-8A3B-8CF0EE42D7C7}"/>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5 2" xfId="29708" xr:uid="{0A9E1880-5A33-4257-9F52-C4E2B68CBF61}"/>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4" xfId="5682" xr:uid="{FFFF2C30-4094-4398-B9F9-3EFC21446922}"/>
    <cellStyle name="Currency 4 3 3 4 4 2" xfId="29970" xr:uid="{7281F1A7-5F24-44A1-A148-B239A0D0B065}"/>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2 3" xfId="31021" xr:uid="{E791E615-2623-44F5-A62F-E2834F94C37C}"/>
    <cellStyle name="Currency 4 3 3 6 2 4" xfId="30848" xr:uid="{B37A22F8-B1F5-4E35-B076-D364916926AD}"/>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4" xfId="5685" xr:uid="{61FA4F1F-147C-45F5-8CB7-1B0BF2586D1D}"/>
    <cellStyle name="Currency 4 3 4 2 4 2" xfId="29971" xr:uid="{504B7EA9-2541-4886-B966-3E2F7E9D8798}"/>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3 3 2" xfId="29913" xr:uid="{52E0AAA9-AC47-4051-8A56-EA4E1FA813B4}"/>
    <cellStyle name="Currency 4 3 4 3 4" xfId="30025" xr:uid="{BDE30902-7BFB-4D12-BD65-976D37EB3886}"/>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2 3" xfId="31050" xr:uid="{FB39CD15-218C-4493-A9AF-8E1F9FF5135F}"/>
    <cellStyle name="Currency 4 3 4 5 2 4" xfId="30851" xr:uid="{E1B2DA33-F3FC-4394-A0AA-285A315E6745}"/>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2 2" xfId="31236" xr:uid="{543C203C-95B6-4864-94A6-8BD3E79DA64B}"/>
    <cellStyle name="Currency 4 3 5 2 2 2 3" xfId="30853" xr:uid="{0971C87F-E455-41E8-ABF8-2BC0027F690C}"/>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2 3" xfId="31095" xr:uid="{A8CD7337-3682-4CEA-AF65-6EE0FD3A735D}"/>
    <cellStyle name="Currency 4 3 5 4 2 4" xfId="30852" xr:uid="{A9A8128F-3665-438B-8D34-4F62BF436405}"/>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5 2" xfId="29687" xr:uid="{8351C799-133B-4166-88AA-AFA491555915}"/>
    <cellStyle name="Currency 4 3 5 5 2 2" xfId="30991" xr:uid="{8AE52235-88AA-4879-8CF8-35F89D2E8477}"/>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2 2" xfId="31167" xr:uid="{282841D4-51CD-48A0-8C75-7AB767A6AA5C}"/>
    <cellStyle name="Currency 4 3 6 2 2 2 3" xfId="30854" xr:uid="{6C61F38E-E05A-4904-B280-18DC8E4926BF}"/>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4" xfId="5687" xr:uid="{167B630D-F127-4469-8162-A32592159BAA}"/>
    <cellStyle name="Currency 4 3 6 4 2" xfId="29928" xr:uid="{61D729A3-778D-4A96-BFF7-41C4C5FAF594}"/>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4 2" xfId="29865" xr:uid="{ED283249-7832-40BF-813D-7A87C76D57BB}"/>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2 2 2" xfId="31125" xr:uid="{D7F480B7-CB4C-485D-96A0-E1B2EBD6C500}"/>
    <cellStyle name="Currency 4 3 8 2 2 3" xfId="30855" xr:uid="{DC34D8E2-CC8E-42A4-BA04-DCD8DE3CEB56}"/>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4" xfId="5689" xr:uid="{49DCF050-5439-44B0-B2A0-27FBC55DC5F2}"/>
    <cellStyle name="Currency 4 4 2 2 2 4 2" xfId="29973" xr:uid="{D1DCE2EF-CF6D-4E8A-B51C-2B950AC4303B}"/>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3 3 2" xfId="29916" xr:uid="{4DEBB916-963E-4C15-96CA-2D790B655BDA}"/>
    <cellStyle name="Currency 4 4 2 2 3 4" xfId="30027" xr:uid="{C5F67086-089E-473F-A519-DBC59DD5DC2B}"/>
    <cellStyle name="Currency 4 4 2 2 4" xfId="1900" xr:uid="{00000000-0005-0000-0000-00008E030000}"/>
    <cellStyle name="Currency 4 4 2 2 4 2" xfId="26967" xr:uid="{7B61A0D3-E365-47E1-BF65-D22D21EAE7CE}"/>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2 3" xfId="31053" xr:uid="{67C2670F-6277-4849-9F51-8CFAF8E73D83}"/>
    <cellStyle name="Currency 4 4 2 2 5 2 4" xfId="30856" xr:uid="{971BAED6-D407-4FD7-A43D-F427F1A24A97}"/>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2 2" xfId="31237" xr:uid="{E94BF9FB-9A35-482A-8B21-EE0A99A9AEF2}"/>
    <cellStyle name="Currency 4 4 2 3 2 2 2 3" xfId="30858" xr:uid="{84D2B151-C397-47FE-9C49-48B74BB9F4A9}"/>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2 3" xfId="31096" xr:uid="{DBDCC3BC-59A6-4FDF-8CB5-5162634392A0}"/>
    <cellStyle name="Currency 4 4 2 3 4 2 4" xfId="30857" xr:uid="{E266DC82-37B3-4A61-9149-D8B676B10235}"/>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5 2" xfId="29704" xr:uid="{3EFD9C23-21A4-42B7-958E-84631AA98301}"/>
    <cellStyle name="Currency 4 4 2 3 5 2 2" xfId="30992" xr:uid="{8BD50B0A-F77B-4D5C-9272-98C9DD72C43D}"/>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4" xfId="5691" xr:uid="{5A4FEA78-B599-41CC-9868-BAC943503E9D}"/>
    <cellStyle name="Currency 4 4 2 4 4 2" xfId="29972" xr:uid="{B94433C2-4C03-4B4D-94A5-E917D4637908}"/>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4 2" xfId="29887" xr:uid="{1E337AB5-CDC0-4D6B-AC88-B5A57522C2AF}"/>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4 2" xfId="29974" xr:uid="{C447A071-5548-47AC-88AC-3044929A90F6}"/>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2 5" xfId="30453" xr:uid="{3220311B-FB69-4A21-9EA6-BA827237813C}"/>
    <cellStyle name="Currency 4 4 3 3 3" xfId="3585" xr:uid="{00000000-0005-0000-0000-000094030000}"/>
    <cellStyle name="Currency 4 4 3 3 4" xfId="5693" xr:uid="{193A20EF-0047-4A6C-B664-DEFD302C7B8D}"/>
    <cellStyle name="Currency 4 4 3 3 4 2" xfId="29915" xr:uid="{42A8928A-AD1B-4DB0-86BB-E8BF6D29469A}"/>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2 5" xfId="31022" xr:uid="{C772FF49-A530-4A0E-B7EF-F2DE775CB904}"/>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2 2" xfId="29796" xr:uid="{F7B71C15-7722-459E-8BE7-FADD50187F71}"/>
    <cellStyle name="Currency 4 4 4 2 2 2 2" xfId="30860" xr:uid="{9D9B1BB6-7F98-4579-9936-669B30E05F76}"/>
    <cellStyle name="Currency 4 4 4 2 3" xfId="23159" xr:uid="{84ACC6A3-99BA-4642-A269-125562AF4504}"/>
    <cellStyle name="Currency 4 4 4 2 4" xfId="30065" xr:uid="{1B217033-AB76-4D61-9FDE-F4F6F11BB015}"/>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2 3" xfId="31097" xr:uid="{922E07EA-F204-451A-9C0B-BC8E8926C35D}"/>
    <cellStyle name="Currency 4 4 4 5 2 4" xfId="30859" xr:uid="{301E1222-4E62-42A9-A362-C26BC40FFCB3}"/>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2 2" xfId="31178" xr:uid="{E6ECC9DB-DC28-467B-B7F1-CDE8E720F8D3}"/>
    <cellStyle name="Currency 4 4 5 2 2 2 3" xfId="30861" xr:uid="{8A1F00C7-AFCE-4683-94ED-A78DC54E07F5}"/>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4 2" xfId="29850" xr:uid="{53673545-98E4-4DAE-8363-8BC88BF5941E}"/>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4 2" xfId="29861" xr:uid="{349FD21A-67D9-40B3-8E31-F2333293EFC2}"/>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2 2" xfId="29815" xr:uid="{54AEC88B-7641-4033-8E17-654214DB9AAB}"/>
    <cellStyle name="Currency 4 5 2 2 2 2 2 2" xfId="30863" xr:uid="{7381C2EE-3CA1-46AD-B6E8-34B86631DCC2}"/>
    <cellStyle name="Currency 4 5 2 2 2 3" xfId="25550" xr:uid="{28F1393C-3413-4434-818B-1BEA030FD1C4}"/>
    <cellStyle name="Currency 4 5 2 2 2 4" xfId="30066" xr:uid="{0B5255B4-B7A2-4EE0-89D0-EB53C585A7A2}"/>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5" xfId="4958" xr:uid="{06F5503A-5501-48DF-AE79-3F46F4403A51}"/>
    <cellStyle name="Currency 4 5 2 2 5 2" xfId="28398" xr:uid="{6F744894-9EB6-451C-8783-B144588227CA}"/>
    <cellStyle name="Currency 4 5 2 2 5 2 2" xfId="31206" xr:uid="{D619C706-0816-463B-AC58-19A8A3D29D53}"/>
    <cellStyle name="Currency 4 5 2 2 5 2 3" xfId="30862" xr:uid="{B367D80E-8DFE-4B0E-B803-BCECA40AD35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2 5" xfId="30454" xr:uid="{355E64D1-2E56-48F9-84A3-D2E0274B7114}"/>
    <cellStyle name="Currency 4 5 2 3 3" xfId="3676" xr:uid="{00000000-0005-0000-0000-0000A3030000}"/>
    <cellStyle name="Currency 4 5 2 3 4" xfId="5696" xr:uid="{0CD193E0-BEC1-4BF2-9788-987F9986CB96}"/>
    <cellStyle name="Currency 4 5 2 3 4 2" xfId="29760" xr:uid="{99F86FCC-1A9F-4D57-BA3E-48351CE66BC9}"/>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2 3" xfId="31108" xr:uid="{49C92F80-9083-4A60-A898-B9E99DF67213}"/>
    <cellStyle name="Currency 4 5 2 4 2 2 4" xfId="30864" xr:uid="{6CEECFC6-3451-4ABE-A9DF-E8C6F4B15275}"/>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4 3 2" xfId="29917" xr:uid="{5BBE9C94-0D99-4B58-8FC7-D89D9325D11D}"/>
    <cellStyle name="Currency 4 5 2 4 4" xfId="30028" xr:uid="{9967B865-BEDC-4A63-801B-5525C2EDC36C}"/>
    <cellStyle name="Currency 4 5 2 5" xfId="1914" xr:uid="{00000000-0005-0000-0000-0000A5030000}"/>
    <cellStyle name="Currency 4 5 2 5 2" xfId="24047" xr:uid="{0D05523D-B528-4033-A555-6E964F1AABAC}"/>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2 2" xfId="29818" xr:uid="{4B3D4FBF-846C-4EAB-8330-290E50CB5918}"/>
    <cellStyle name="Currency 4 5 3 2 2 2 2" xfId="30866" xr:uid="{56E3ECBD-CC6C-4809-A0CF-27A26DF84B37}"/>
    <cellStyle name="Currency 4 5 3 2 3" xfId="25620" xr:uid="{CE950C91-DA13-4A1B-A20A-059D6EE2D92A}"/>
    <cellStyle name="Currency 4 5 3 2 3 2" xfId="26037" xr:uid="{BE3BCC2F-6352-4B40-AC21-B009231F1344}"/>
    <cellStyle name="Currency 4 5 3 2 4" xfId="30067" xr:uid="{B604ADA6-9D95-4C24-AA2C-55BB6B9DA913}"/>
    <cellStyle name="Currency 4 5 3 3" xfId="1922" xr:uid="{00000000-0005-0000-0000-0000A8030000}"/>
    <cellStyle name="Currency 4 5 3 4" xfId="1920" xr:uid="{00000000-0005-0000-0000-0000A9030000}"/>
    <cellStyle name="Currency 4 5 3 4 2" xfId="22936" xr:uid="{71B5603C-6766-4D0C-B1CC-BB0C74847168}"/>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2 3" xfId="31098" xr:uid="{33326015-762D-4E88-83D4-A64BE6A0CC24}"/>
    <cellStyle name="Currency 4 5 3 5 2 4" xfId="30865" xr:uid="{F643D74F-7AFF-4B03-A864-927FA527D96F}"/>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2 2" xfId="29802" xr:uid="{C804928D-1D33-4538-9314-49B044D66F42}"/>
    <cellStyle name="Currency 4 5 4 2 2 2 2" xfId="30868" xr:uid="{B0C9A63D-7494-4D52-8251-421A392B421C}"/>
    <cellStyle name="Currency 4 5 4 2 3" xfId="24067" xr:uid="{0D856946-7117-49EA-AC01-0064A38C42CE}"/>
    <cellStyle name="Currency 4 5 4 2 4" xfId="30044" xr:uid="{EEFDFB76-2D08-40FB-A6B7-3476F3E82C64}"/>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5 2 2" xfId="31119" xr:uid="{599ACB9C-A937-47CA-9D0F-C4AB326FB162}"/>
    <cellStyle name="Currency 4 5 4 5 2 3" xfId="30867" xr:uid="{E8603F16-F09A-4E09-9D28-44B44FEF8439}"/>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2 5" xfId="30455" xr:uid="{D1D92241-B440-4161-9AD3-507B6B28F8E2}"/>
    <cellStyle name="Currency 4 5 5 3" xfId="3687" xr:uid="{00000000-0005-0000-0000-0000AE030000}"/>
    <cellStyle name="Currency 4 5 5 4" xfId="5697" xr:uid="{87D1524C-BFE7-422B-B989-9D522BADBCA1}"/>
    <cellStyle name="Currency 4 5 5 4 2" xfId="29851" xr:uid="{866D774B-6445-4880-8BA7-0099CB8DF3AA}"/>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6 4 2" xfId="29873" xr:uid="{AB0F7101-5019-4E1F-BD3B-6E1E7DC5302C}"/>
    <cellStyle name="Currency 4 5 6 5" xfId="30003" xr:uid="{8A598608-F3B4-41BB-B471-9AEA4AC2105B}"/>
    <cellStyle name="Currency 4 5 7" xfId="1913" xr:uid="{00000000-0005-0000-0000-0000B0030000}"/>
    <cellStyle name="Currency 4 5 7 2" xfId="25775" xr:uid="{E7C99D6A-38BF-4E4B-8018-AFD0CBFA99FB}"/>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2 2" xfId="29801" xr:uid="{909C59C1-8B84-41E5-BC5D-A742D25F0966}"/>
    <cellStyle name="Currency 4 6 2 2 2 2 2 2" xfId="30870" xr:uid="{33A67EFD-F51B-4EDD-ACDC-7AA56856132E}"/>
    <cellStyle name="Currency 4 6 2 2 2 3" xfId="25071" xr:uid="{E0EA9661-5210-4CF1-B311-A122A5430DBF}"/>
    <cellStyle name="Currency 4 6 2 2 2 4" xfId="30068" xr:uid="{B544388C-494D-4615-984D-2FF79A0A057C}"/>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5" xfId="4963" xr:uid="{2250466A-D110-4398-98F0-42A79CBF6180}"/>
    <cellStyle name="Currency 4 6 2 2 5 2" xfId="28537" xr:uid="{891F3589-F1CB-45CE-84A4-2A06312D3154}"/>
    <cellStyle name="Currency 4 6 2 2 5 2 2" xfId="31208" xr:uid="{0C5E9D99-D942-47ED-AA42-8E46FBC624DE}"/>
    <cellStyle name="Currency 4 6 2 2 5 2 3" xfId="30869" xr:uid="{AFFC98E0-9F11-4EDB-A318-463DF76AA7AC}"/>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2 5" xfId="30456" xr:uid="{78266109-4A71-4784-91E5-B862DD85110C}"/>
    <cellStyle name="Currency 4 6 2 3 3" xfId="3636" xr:uid="{00000000-0005-0000-0000-0000B7030000}"/>
    <cellStyle name="Currency 4 6 2 3 4" xfId="5698" xr:uid="{B38A81BB-9A36-40AA-950D-281B6FFF8927}"/>
    <cellStyle name="Currency 4 6 2 3 4 2" xfId="29761" xr:uid="{67054A47-93D4-47AB-AD53-E56BF5421076}"/>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2 3" xfId="31000" xr:uid="{50D06B9C-4AB5-43C5-B1A6-6C448FBE4A75}"/>
    <cellStyle name="Currency 4 6 2 4 2 2 4" xfId="30871" xr:uid="{04687B75-08B5-48CB-8CF3-ADAA48B62C27}"/>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4 3 2" xfId="29918" xr:uid="{5A87EBC1-D111-497B-B547-E9E6BC33C8DF}"/>
    <cellStyle name="Currency 4 6 2 4 4" xfId="30029" xr:uid="{8DDC0C0A-0576-413A-A87E-09C0201918F9}"/>
    <cellStyle name="Currency 4 6 2 5" xfId="1929" xr:uid="{00000000-0005-0000-0000-0000B9030000}"/>
    <cellStyle name="Currency 4 6 2 5 2" xfId="23050" xr:uid="{DEB66FCC-EAF6-49BE-BE1E-44208B92D060}"/>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2 2" xfId="29793" xr:uid="{5BD17850-E81F-4D87-8CFA-6F1B58B55BE2}"/>
    <cellStyle name="Currency 4 6 3 2 2 2 2" xfId="30873" xr:uid="{4106EB6B-C055-4934-8903-1EC3CEE1C66A}"/>
    <cellStyle name="Currency 4 6 3 2 3" xfId="23227" xr:uid="{2C26A46C-6DAC-4B8D-A2CE-FB3895391873}"/>
    <cellStyle name="Currency 4 6 3 2 3 2" xfId="27864" xr:uid="{10E1699B-2241-47D5-9787-3D9730D666CE}"/>
    <cellStyle name="Currency 4 6 3 2 4" xfId="30069" xr:uid="{C6C642F4-8913-48F4-A9F0-7CC515AFA269}"/>
    <cellStyle name="Currency 4 6 3 3" xfId="1937" xr:uid="{00000000-0005-0000-0000-0000BC030000}"/>
    <cellStyle name="Currency 4 6 3 4" xfId="1935" xr:uid="{00000000-0005-0000-0000-0000BD030000}"/>
    <cellStyle name="Currency 4 6 3 4 2" xfId="27207" xr:uid="{76CF2D70-31C2-4FE1-8EE7-818EBE82C205}"/>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2 3" xfId="31099" xr:uid="{61AF2E4D-FDA5-40C5-9E4A-57B74CB50473}"/>
    <cellStyle name="Currency 4 6 3 5 2 4" xfId="30872" xr:uid="{03009555-2AD8-4DBA-836C-59EF688A36D7}"/>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2 2" xfId="29805" xr:uid="{50A05FD2-552A-489D-921C-33EF4CB07C26}"/>
    <cellStyle name="Currency 4 6 4 2 2 2 2" xfId="30875" xr:uid="{20DD1A3A-4C66-426C-8AF0-5DD8ECADACD2}"/>
    <cellStyle name="Currency 4 6 4 2 3" xfId="22734" xr:uid="{49722CC7-D743-4F52-82C1-3F54B76E2373}"/>
    <cellStyle name="Currency 4 6 4 2 4" xfId="30045" xr:uid="{103C0001-4553-4204-B33E-FA357C6EA3AE}"/>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5 2 2" xfId="31120" xr:uid="{9BFE5A8D-C545-4F3A-8596-DCD99BE51191}"/>
    <cellStyle name="Currency 4 6 4 5 2 3" xfId="30874" xr:uid="{A064A3F5-5B54-4892-9309-AD84AB3D99CF}"/>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2 5" xfId="30457" xr:uid="{E18A8C60-CC08-4E1E-A0CA-FB0ED894DFBA}"/>
    <cellStyle name="Currency 4 6 5 3" xfId="2085" xr:uid="{00000000-0005-0000-0000-0000C2030000}"/>
    <cellStyle name="Currency 4 6 5 4" xfId="5699" xr:uid="{7B617730-E9B4-416A-9358-07A6A410E9D6}"/>
    <cellStyle name="Currency 4 6 5 4 2" xfId="29852" xr:uid="{E0193312-E9E5-449A-AE34-3BA53CF5D6B0}"/>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6 4 2" xfId="29884" xr:uid="{99FEDB83-0EE7-41D5-884E-FFFD18F1BF1A}"/>
    <cellStyle name="Currency 4 6 6 5" xfId="30007" xr:uid="{1460142F-DF54-4A6F-A3ED-28B82CD6A1AD}"/>
    <cellStyle name="Currency 4 6 7" xfId="1928" xr:uid="{00000000-0005-0000-0000-0000C4030000}"/>
    <cellStyle name="Currency 4 6 7 2" xfId="28518" xr:uid="{2B3A5AD4-3B72-4F07-A3C7-D11D3D3B1C66}"/>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2 2 2" xfId="31139" xr:uid="{2D7C246A-68B7-4CFD-A4B1-20F461BF2A36}"/>
    <cellStyle name="Currency 4 7 2 2 2 2 2 3" xfId="30876" xr:uid="{58998F0B-85AE-486C-A382-95439DE4F342}"/>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4 2" xfId="29770" xr:uid="{0C7B32D4-BB29-4F76-8B8A-FD0BCD18A388}"/>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2 2" xfId="30877" xr:uid="{46A40648-E8C7-46BB-B02E-964BBBAC44C8}"/>
    <cellStyle name="Currency 4 7 2 3 2 3" xfId="30559" xr:uid="{7FB00D90-5EFF-407A-A2EE-BCB114692E06}"/>
    <cellStyle name="Currency 4 7 2 3 3" xfId="24175" xr:uid="{26544DD9-D091-4B2C-811F-DB5F89FFB9E2}"/>
    <cellStyle name="Currency 4 7 2 3 4" xfId="30046" xr:uid="{03F34DAA-9662-4CDA-B389-E9B2513FC7EF}"/>
    <cellStyle name="Currency 4 7 2 3 5" xfId="29666" xr:uid="{B1A5471A-E9DF-4A58-98F4-687E63BF72A9}"/>
    <cellStyle name="Currency 4 7 2 4" xfId="1944" xr:uid="{00000000-0005-0000-0000-0000C9030000}"/>
    <cellStyle name="Currency 4 7 2 4 2" xfId="27767" xr:uid="{35AA840F-E0D9-4801-A904-7666944D530D}"/>
    <cellStyle name="Currency 4 7 2 4 2 2" xfId="30878" xr:uid="{1515B294-8235-40E8-A6B4-154D4660E385}"/>
    <cellStyle name="Currency 4 7 2 4 2 3" xfId="30594" xr:uid="{1E8B89AC-8DA1-43FC-A4C2-8D0D6782A5B1}"/>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5 5" xfId="30616" xr:uid="{21AA2613-708A-4885-9EF8-F8F95C75AC44}"/>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2 2" xfId="30880" xr:uid="{0702549B-AD85-4AE4-A433-868C879C86F7}"/>
    <cellStyle name="Currency 4 7 3 2 2 3" xfId="30607" xr:uid="{A38BBF4E-F180-48DE-B4A0-4A2613B2FFB9}"/>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2 2" xfId="31181" xr:uid="{60D792DD-C0A3-4059-B1B7-EE8D93B21A3E}"/>
    <cellStyle name="Currency 4 7 3 5 2 3" xfId="30879" xr:uid="{965771F9-B135-4B0F-888D-B2C2DB99A4E6}"/>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2 2 2" xfId="31129" xr:uid="{5CB58FDC-842F-4366-B972-CDDC1BFA162B}"/>
    <cellStyle name="Currency 4 7 4 2 2 2 3" xfId="30881" xr:uid="{89EB998A-6F45-4617-8268-95C9947F0B85}"/>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4 4 2" xfId="29740" xr:uid="{424C1383-0C0A-4A87-94FC-0B530D5B9FC1}"/>
    <cellStyle name="Currency 4 7 4 5" xfId="29853" xr:uid="{83D46F38-F5C3-4492-BE02-3C9E29784F87}"/>
    <cellStyle name="Currency 4 7 4 6" xfId="29995" xr:uid="{D5B75D03-C87F-4FB3-9F1A-AC55BC0986B3}"/>
    <cellStyle name="Currency 4 7 5" xfId="1951" xr:uid="{00000000-0005-0000-0000-0000CF030000}"/>
    <cellStyle name="Currency 4 7 5 2" xfId="25268" xr:uid="{CDE00D5B-E828-41FA-A68A-9B3CE7066B15}"/>
    <cellStyle name="Currency 4 7 5 2 2" xfId="29733" xr:uid="{6772595D-F27B-4705-AC0E-A786A7A8AE55}"/>
    <cellStyle name="Currency 4 7 5 2 2 2" xfId="30882" xr:uid="{1E6F16AA-3248-4BCF-B673-DB6874B6D555}"/>
    <cellStyle name="Currency 4 7 5 3" xfId="25600" xr:uid="{6CD831BA-6D09-4C68-9F08-905171E640CA}"/>
    <cellStyle name="Currency 4 7 5 4" xfId="30030" xr:uid="{540ADC2A-6053-4F65-B211-C07661CCB067}"/>
    <cellStyle name="Currency 4 7 6" xfId="1943" xr:uid="{00000000-0005-0000-0000-0000D0030000}"/>
    <cellStyle name="Currency 4 7 6 2" xfId="26143" xr:uid="{D0C1945C-72AA-4573-AA8D-1633DBEA2CAD}"/>
    <cellStyle name="Currency 4 7 6 2 2" xfId="30883" xr:uid="{BD05442E-4299-43AF-92D8-BA01610430CE}"/>
    <cellStyle name="Currency 4 7 6 2 3" xfId="30593" xr:uid="{D3EEBA4A-4BA4-4D6E-A7B4-E64301858765}"/>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2 2 2" xfId="31140" xr:uid="{AAC7DD63-F3B0-4EA7-A2AB-A56CAF05FE90}"/>
    <cellStyle name="Currency 4 8 2 2 2 2 2 3" xfId="30884" xr:uid="{27A2AC4E-6837-47B5-B15A-55F5344721D7}"/>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4 2" xfId="29771" xr:uid="{2A63CC11-416D-448A-B04D-B1999AFE4288}"/>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2 2" xfId="30885" xr:uid="{757A3CB7-1C55-4D56-B945-482D3CE86FCE}"/>
    <cellStyle name="Currency 4 8 2 3 2 3" xfId="30560" xr:uid="{1C10DF34-CC59-4FAB-BE80-EACF5A93CA72}"/>
    <cellStyle name="Currency 4 8 2 3 3" xfId="23120" xr:uid="{1602DC18-E900-4AE9-A316-7D2565CB3207}"/>
    <cellStyle name="Currency 4 8 2 3 4" xfId="30047" xr:uid="{1CDABCE1-0483-422E-A6D0-DA2E0546B955}"/>
    <cellStyle name="Currency 4 8 2 3 5" xfId="29667" xr:uid="{791DC7EE-5FE3-4AE5-8D27-7C884F499AE2}"/>
    <cellStyle name="Currency 4 8 2 4" xfId="1953" xr:uid="{00000000-0005-0000-0000-0000D5030000}"/>
    <cellStyle name="Currency 4 8 2 4 2" xfId="28681" xr:uid="{83965D3F-0DFF-4118-9460-A46F81EC8DEC}"/>
    <cellStyle name="Currency 4 8 2 4 2 2" xfId="30886" xr:uid="{6A9CCD15-757E-42F7-A126-7DE3F6BF7048}"/>
    <cellStyle name="Currency 4 8 2 4 2 3" xfId="30596" xr:uid="{A308E91F-CE51-4207-A946-3A96D42EA8B7}"/>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5 5" xfId="30639" xr:uid="{145C9633-4B64-48AF-8723-20B8C3906735}"/>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2 2" xfId="30888" xr:uid="{6B43E411-504A-48A0-881D-A4CB093416FC}"/>
    <cellStyle name="Currency 4 8 3 2 2 3" xfId="30608" xr:uid="{E9C158B3-78D8-4AF3-8BD1-0F4A0B4EB020}"/>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2 2" xfId="31194" xr:uid="{1FA06368-9692-4F87-BA84-A8F7113127B3}"/>
    <cellStyle name="Currency 4 8 3 5 2 3" xfId="30887" xr:uid="{74CDC86A-7890-43A0-9099-81F98F0722EF}"/>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2 2 2" xfId="31130" xr:uid="{1050FCCF-014F-4A61-8409-ABEAF81E4B6C}"/>
    <cellStyle name="Currency 4 8 4 2 2 2 3" xfId="30889" xr:uid="{FC86CB32-E70B-4812-90F6-F48A30AB6E2C}"/>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4 4 2" xfId="29741" xr:uid="{95BBA192-E16E-479F-A9AC-4984C46E7EF3}"/>
    <cellStyle name="Currency 4 8 4 5" xfId="29854" xr:uid="{C8D3D891-209E-4B26-9316-25A831B4C4AB}"/>
    <cellStyle name="Currency 4 8 4 6" xfId="29996" xr:uid="{86931842-3154-47E1-A149-1B03081C7CA9}"/>
    <cellStyle name="Currency 4 8 5" xfId="1960" xr:uid="{00000000-0005-0000-0000-0000DB030000}"/>
    <cellStyle name="Currency 4 8 5 2" xfId="25623" xr:uid="{FDE13DD4-4BFE-4241-AF39-D2C68C9AD7B0}"/>
    <cellStyle name="Currency 4 8 5 2 2" xfId="29814" xr:uid="{51867E3E-322C-45C2-AAB5-A9260D89EAA5}"/>
    <cellStyle name="Currency 4 8 5 2 2 2" xfId="30890" xr:uid="{1A883A60-46C3-43A6-A992-715105DD7CC1}"/>
    <cellStyle name="Currency 4 8 5 3" xfId="23099" xr:uid="{7A60B91C-EC8E-45C0-8A86-C875998593D9}"/>
    <cellStyle name="Currency 4 8 5 4" xfId="30031" xr:uid="{A621AE50-9826-4A13-9FC9-FFD777B68BD3}"/>
    <cellStyle name="Currency 4 8 6" xfId="1952" xr:uid="{00000000-0005-0000-0000-0000DC030000}"/>
    <cellStyle name="Currency 4 8 6 2" xfId="25843" xr:uid="{F485F629-3DA4-44A2-B8A8-546D8AA4877F}"/>
    <cellStyle name="Currency 4 8 6 2 2" xfId="30891" xr:uid="{529C92E7-70BA-45B3-AD7F-442288B598B1}"/>
    <cellStyle name="Currency 4 8 6 2 3" xfId="30595" xr:uid="{C285BB10-709D-4317-88CD-0FA126CCFB66}"/>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2 2 2" xfId="31145" xr:uid="{ED8C307C-F610-47C6-A831-49895CEE396D}"/>
    <cellStyle name="Currency 4 9 2 2 2 2 3" xfId="30892" xr:uid="{33621EAE-9D95-48E9-891A-0F259B49272F}"/>
    <cellStyle name="Currency 4 9 2 2 3" xfId="11019" xr:uid="{D7DEB894-76C8-4B7B-B912-EBD1C82FE3F2}"/>
    <cellStyle name="Currency 4 9 2 2 3 2" xfId="21399" xr:uid="{8065ECFA-8095-493D-9111-5F5913647C23}"/>
    <cellStyle name="Currency 4 9 2 2 4" xfId="25612" xr:uid="{A7FF5CE1-F4BB-4703-8B1C-0C380512F35C}"/>
    <cellStyle name="Currency 4 9 2 2 4 2" xfId="30076" xr:uid="{A4FDCC8D-1AF2-4A28-BC45-E5AB8BDBB980}"/>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4 2" xfId="29783" xr:uid="{F000CD1D-B1BA-49CE-A26C-7AEFE89CA9A5}"/>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2 5" xfId="30458" xr:uid="{E82066D7-0909-4523-8345-4B323B12606B}"/>
    <cellStyle name="Currency 4 9 3 3" xfId="3656" xr:uid="{00000000-0005-0000-0000-0000DF030000}"/>
    <cellStyle name="Currency 4 9 3 4" xfId="5703" xr:uid="{572965EA-1F6C-4640-9DDC-DE1E721E4148}"/>
    <cellStyle name="Currency 4 9 3 4 2" xfId="29758" xr:uid="{B6BCDE65-9BFA-44F5-9903-F31404CCA55C}"/>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2 3" xfId="31054" xr:uid="{65379D5D-A019-44C2-A4F5-8978204D96E1}"/>
    <cellStyle name="Currency 5 2 2 2 5 2 4" xfId="30893" xr:uid="{742D8526-B98A-43F7-82DB-E1B0DFFD6C96}"/>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6 2" xfId="29730" xr:uid="{65C9FCB2-3DEC-4426-9C59-F87A66AA0CC0}"/>
    <cellStyle name="Currency 5 2 2 2 6 2 2" xfId="30993" xr:uid="{AFC39984-8795-40B8-B32F-0117AF697C54}"/>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2 2" xfId="31238" xr:uid="{87F82027-79CD-47F8-AA9B-02A445559384}"/>
    <cellStyle name="Currency 5 2 2 3 2 2 2 3" xfId="30895" xr:uid="{17A3B4CC-F29C-453C-BBA9-895349B92972}"/>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2 3" xfId="31100" xr:uid="{448935C6-ECC2-4E7F-9166-42A235C27226}"/>
    <cellStyle name="Currency 5 2 2 3 4 2 4" xfId="30894" xr:uid="{C5657449-ECBB-4564-A545-23B9D035DF66}"/>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5 2" xfId="29712" xr:uid="{DD288719-AB35-4C89-88F1-540C0355360C}"/>
    <cellStyle name="Currency 5 2 2 3 5 2 2" xfId="30994" xr:uid="{2203EE67-0F45-4FCA-8501-AF4CCD1B0C73}"/>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4 2" xfId="29975" xr:uid="{1A47C2B6-3535-4DAD-8D31-63333AA84210}"/>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2 2" xfId="31201" xr:uid="{E9A01D91-80DD-41A2-BDF4-F2C3BA223E61}"/>
    <cellStyle name="Currency 5 2 2 5 2 2 3" xfId="30896" xr:uid="{4927734C-1128-4F35-ADA5-EBE5F5527F8D}"/>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4" xfId="5708" xr:uid="{5ED9074E-CFC1-4F0E-AAA7-8ED93D6F736E}"/>
    <cellStyle name="Currency 5 2 3 2 4 2" xfId="29976" xr:uid="{EA9668FA-7D48-4451-A463-CEDC38FAAA6D}"/>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2 5" xfId="30459" xr:uid="{DAB7CACA-8941-4CE4-B122-9A8774B9A021}"/>
    <cellStyle name="Currency 5 2 3 3 3" xfId="3579" xr:uid="{00000000-0005-0000-0000-0000E9030000}"/>
    <cellStyle name="Currency 5 2 3 3 4" xfId="5709" xr:uid="{59616245-D824-46F1-81B0-F7CE84542057}"/>
    <cellStyle name="Currency 5 2 3 3 4 2" xfId="29919" xr:uid="{9D672207-4D78-471A-8306-1D5902F0DCD8}"/>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2 5" xfId="31024" xr:uid="{0D38C156-3687-44A0-89ED-AC90BFF6346D}"/>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2 2" xfId="31239" xr:uid="{73676227-5E83-4702-8972-5E4E8CEB392D}"/>
    <cellStyle name="Currency 5 2 4 2 2 2 3" xfId="30898" xr:uid="{13AFE293-B1E9-4C3C-B65C-D9B74021402C}"/>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4" xfId="4435" xr:uid="{EAF59091-946C-4F5C-9343-3EB106ED6014}"/>
    <cellStyle name="Currency 5 2 4 4 2" xfId="9207" xr:uid="{9DE673C5-9FAC-4C6B-A3AD-1258CD7F4F41}"/>
    <cellStyle name="Currency 5 2 4 4 2 2" xfId="19587" xr:uid="{7306ABE8-FFF7-463F-8A00-99CCC9E3B069}"/>
    <cellStyle name="Currency 5 2 4 4 2 3" xfId="31101" xr:uid="{04F8AB4D-3583-413E-A867-E9E1E954177D}"/>
    <cellStyle name="Currency 5 2 4 4 2 4" xfId="30897" xr:uid="{033065B8-3DEE-4E7E-9008-7D6E15491596}"/>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5 2" xfId="29694" xr:uid="{5AD77B6F-1F47-49A8-8F2D-FBDD0BA971A3}"/>
    <cellStyle name="Currency 5 2 4 5 2 2" xfId="30995" xr:uid="{61B4BDAA-FE5F-4AB7-9E5D-32E54EF4F78A}"/>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2 2" xfId="31212" xr:uid="{BF6DB955-8871-4EAF-9EB8-C68B85D30551}"/>
    <cellStyle name="Currency 5 2 5 2 2 2 3" xfId="30899" xr:uid="{C2C9D297-6FFA-48E8-8FCF-9BB4213F41C3}"/>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4 2" xfId="29929" xr:uid="{7102F65A-C7BE-4D84-A759-F42C9E8516B6}"/>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4 2" xfId="29879" xr:uid="{C483D0FC-BB86-4D28-A080-8736F3CBDE28}"/>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2 2" xfId="31175" xr:uid="{0ABF76C8-146E-4EA9-9EF4-12330D97B2F4}"/>
    <cellStyle name="Currency 5 2 7 2 2 3" xfId="30900" xr:uid="{B13E3068-9BEB-46ED-BF85-C4985B631957}"/>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2 3" xfId="31151" xr:uid="{50F8AEFD-436B-4734-8134-882238514C1B}"/>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5 2" xfId="30077" xr:uid="{F958E69A-68BF-4BA9-81F7-14578EED27A9}"/>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2 3" xfId="31055" xr:uid="{033E1420-9C77-473B-804F-C41CBED77E74}"/>
    <cellStyle name="Currency 5 3 2 5 2 4" xfId="30901" xr:uid="{13CA0AD7-30C4-4001-B64F-03E7560C4A03}"/>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6 2" xfId="29731" xr:uid="{7E661BEA-FF8D-4BD4-AFEB-927EC4D8CCA8}"/>
    <cellStyle name="Currency 5 3 2 6 2 2" xfId="30996" xr:uid="{6539BE70-08E3-4AA4-B58E-F300449EC90E}"/>
    <cellStyle name="Currency 5 3 2 7" xfId="22910" xr:uid="{2A10CFEC-0929-4835-ABE0-3A392EEEC7A6}"/>
    <cellStyle name="Currency 5 3 2 8" xfId="13120" xr:uid="{47A9C792-CC8F-4DF3-B7EE-6BD5C7B06878}"/>
    <cellStyle name="Currency 5 3 2 9" xfId="29997" xr:uid="{2C104A3A-A926-488C-8CAB-843E476B7B22}"/>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2 2" xfId="31240" xr:uid="{3C0EFCA0-5665-4D69-876A-58B83D160D6D}"/>
    <cellStyle name="Currency 5 3 3 2 2 2 3" xfId="30903" xr:uid="{DFA99822-3024-4E51-8F42-35A278ABE4E4}"/>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2 3" xfId="31102" xr:uid="{785265B5-1F83-4815-9163-77914337B262}"/>
    <cellStyle name="Currency 5 3 3 4 2 4" xfId="30902" xr:uid="{7FC14047-A419-4FF0-AC80-82C714D7AF82}"/>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5 2" xfId="29698" xr:uid="{A379AF37-E0F1-412B-A298-3E3C42206E20}"/>
    <cellStyle name="Currency 5 3 3 5 2 2" xfId="30997" xr:uid="{1F76261D-623D-47D8-8A94-50739780B2FC}"/>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4" xfId="5712" xr:uid="{3EEC26B5-3962-41F9-B6A3-EC813AA1EBAC}"/>
    <cellStyle name="Currency 5 3 4 4 2" xfId="29977" xr:uid="{D1112619-8F7B-4CEF-915B-708D2443B095}"/>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2 2" xfId="31187" xr:uid="{C9C22307-3BA8-47BE-87A8-DE51ADDD98DB}"/>
    <cellStyle name="Currency 5 3 5 2 2 3" xfId="30904" xr:uid="{D3CCDC70-5088-44B7-86FC-33B08181C61A}"/>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5" xfId="15742" xr:uid="{A7D646FF-DCED-4ADD-A46C-B4FB30D778F5}"/>
    <cellStyle name="Currency 5 4 2 3" xfId="3642" xr:uid="{00000000-0005-0000-0000-0000F3030000}"/>
    <cellStyle name="Currency 5 4 2 4" xfId="5715" xr:uid="{671213EE-3688-4CDB-B942-51A717C3AE88}"/>
    <cellStyle name="Currency 5 4 2 4 2" xfId="29784" xr:uid="{19716B96-BD5D-41F7-9047-88F0E9D8F84C}"/>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2 5" xfId="30460" xr:uid="{C4BF89D7-9F8D-4225-9959-7ECED6738608}"/>
    <cellStyle name="Currency 5 4 3 3" xfId="2076" xr:uid="{00000000-0005-0000-0000-0000F4030000}"/>
    <cellStyle name="Currency 5 4 3 4" xfId="5716" xr:uid="{C626BE1A-2589-41B4-9BF0-6DAE18296A2F}"/>
    <cellStyle name="Currency 5 4 3 4 2" xfId="29762" xr:uid="{0D89A086-9FE6-4E3D-B526-1494DED2FF2F}"/>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2 5" xfId="31023" xr:uid="{FA1B9D74-2E46-4D44-8B9F-96DCD9E4367B}"/>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2 2" xfId="29792" xr:uid="{1F4A1241-11FA-4754-B428-B23B31049367}"/>
    <cellStyle name="Currency 5 5 2 2 2 2" xfId="30906" xr:uid="{80A3C272-8E3F-47B7-88D9-24B437AF7685}"/>
    <cellStyle name="Currency 5 5 2 3" xfId="23372" xr:uid="{B1715BAC-BC59-417D-8714-CAE2DF61EF57}"/>
    <cellStyle name="Currency 5 5 2 4" xfId="30070" xr:uid="{71DD050B-1240-4EA7-9026-B2947CE56546}"/>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2 3" xfId="31103" xr:uid="{B937916B-8AE6-4502-9C61-03713E9CBD21}"/>
    <cellStyle name="Currency 5 5 5 2 4" xfId="30905" xr:uid="{4ACA4BB3-F1EB-41B8-9D97-8BA7228130D4}"/>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2 2" xfId="31203" xr:uid="{ABAD1DC5-D818-4810-B437-4255C3E9C2B6}"/>
    <cellStyle name="Currency 5 6 2 2 2 3" xfId="30907" xr:uid="{8826BB34-1D56-4F2D-8AA5-9443D9B05EC7}"/>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4 2" xfId="29772" xr:uid="{05354970-BE85-4C7B-82A1-A927A75CB5E7}"/>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4 2" xfId="29867" xr:uid="{78EF0E7C-CE30-48B2-8566-392947B9B818}"/>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2 3" xfId="31160" xr:uid="{7174CBCE-36C5-49A4-8A6A-16D407A6799D}"/>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5 2" xfId="30090" xr:uid="{0BC24850-1976-4B8D-9771-DD8AE4D32C8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2 3" xfId="31056" xr:uid="{5A5FF8E9-866E-408A-B46E-C2931AFFF820}"/>
    <cellStyle name="Currency 6 2 5 2 4" xfId="30909" xr:uid="{BE2DD6EC-46BA-44B9-B70A-5F3A211DC23A}"/>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6 2" xfId="29732" xr:uid="{CA4427FA-A10B-4481-823D-5EF31B041201}"/>
    <cellStyle name="Currency 6 2 6 2 2" xfId="30998" xr:uid="{EF69C268-86AE-4EDB-AC7E-3233C401BC61}"/>
    <cellStyle name="Currency 6 2 7" xfId="24758" xr:uid="{E9123834-46AB-4CF8-ABC6-146C5D9A9E59}"/>
    <cellStyle name="Currency 6 2 8" xfId="13121" xr:uid="{AF98AD0D-47DC-446A-B679-F04EDFEFA06F}"/>
    <cellStyle name="Currency 6 2 9" xfId="29998" xr:uid="{9296D3E2-4786-402C-9F10-BE45CC94E49E}"/>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2 3" xfId="31104" xr:uid="{7343AD9B-9F62-4FE0-BEFA-F619984343F2}"/>
    <cellStyle name="Currency 6 3 4 2 4" xfId="30910" xr:uid="{B5D80BAF-81AD-475A-AFB2-441CB8F3FF0E}"/>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5 2" xfId="29716" xr:uid="{00913BD0-ABC3-4764-9C14-4A1079851A3F}"/>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4" xfId="5719" xr:uid="{11FA6911-EB75-43D7-84D4-A0499B2EEBBB}"/>
    <cellStyle name="Currency 6 4 4 2" xfId="29978" xr:uid="{AF218B08-8952-477D-9428-2F58BAAF89AB}"/>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2 3" xfId="31005" xr:uid="{975FE8FC-D74B-4BAB-BB02-E6313F0E9F56}"/>
    <cellStyle name="Currency 6 7 2 4" xfId="30908" xr:uid="{8B99E9DC-DF10-4D98-B2A7-FC4E44B23349}"/>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2 3" xfId="31155" xr:uid="{A4B65126-91AD-4731-B18E-C941117B3CBF}"/>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2 6 2" xfId="30084" xr:uid="{A2DDCFAE-5DAF-42B0-8BC1-D233D3247146}"/>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2 5" xfId="31047" xr:uid="{FF6DB03D-F4BC-4037-887B-3140CF3B8F7C}"/>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4" xfId="5922" xr:uid="{888BDFFC-D2BF-45F4-A2B0-4399EE5C49DE}"/>
    <cellStyle name="Currency 7 4 2" xfId="25904" xr:uid="{3BF6F9AB-DC2E-447F-A41D-2567B62C22C6}"/>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8 2" xfId="29985" xr:uid="{38CCC4F8-3A05-4E8F-A88E-F9A4A5382814}"/>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8 4" xfId="30930" xr:uid="{D45966F1-6C24-42C2-8D71-F9FB2965BA9E}"/>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1 7" xfId="31254" xr:uid="{28E00C5A-101C-4D57-87F3-FFA1BE1BED88}"/>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4" xfId="5019" xr:uid="{0C061EC0-651E-4DB0-B891-F07E2F1BDD54}"/>
    <cellStyle name="Normal 10 9 3 4 2" xfId="29763" xr:uid="{7DD32FFB-9842-4328-84E5-E9D8D2B0F68E}"/>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3 4" xfId="30032" xr:uid="{A3EAF4AB-5115-481D-A447-9586BF9ECF1A}"/>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3" xfId="25235" xr:uid="{43C97933-000E-4EB9-ADD0-F68EC944A8A0}"/>
    <cellStyle name="Normal 15 4" xfId="29986" xr:uid="{4C44E769-B72D-47F8-BFD8-967FDABB778E}"/>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5 2 2" xfId="30108" xr:uid="{F7E39ECD-4D10-4D07-8F21-75FAF9DEBFA7}"/>
    <cellStyle name="Normal 17 5 3" xfId="30383" xr:uid="{B45CE350-A162-4B94-B9BF-8DDA18EE9D32}"/>
    <cellStyle name="Normal 17 5 4" xfId="30370" xr:uid="{8603D28E-B236-4EC6-AE4B-CCA2E34ECDF2}"/>
    <cellStyle name="Normal 17 5 4 2" xfId="31709" xr:uid="{8378316B-0AEB-4628-8314-F5A160EE652A}"/>
    <cellStyle name="Normal 17 5 5" xfId="32004" xr:uid="{8377B691-2AFC-443B-8FCA-8EB296436BAE}"/>
    <cellStyle name="Normal 17 6" xfId="29639" xr:uid="{2615603F-F587-465C-9DB1-DFE5AAD13470}"/>
    <cellStyle name="Normal 17 6 2" xfId="30107" xr:uid="{1CE297B0-511C-45BD-82B6-9F5EFC6F4E9E}"/>
    <cellStyle name="Normal 17 7" xfId="30353" xr:uid="{B6AE06BD-E46D-4EF1-88E1-B52B46EEF606}"/>
    <cellStyle name="Normal 17 7 2" xfId="31693" xr:uid="{715E5696-15DC-46D7-B1F6-6B19405350CB}"/>
    <cellStyle name="Normal 17 8" xfId="31987" xr:uid="{B489DFF5-F3EE-4CCC-A360-9EC5DC833894}"/>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2 4" xfId="31001" xr:uid="{F18E5E9C-D8D8-4F69-9CEA-1EB84E6CB813}"/>
    <cellStyle name="Normal 2 18 2 5" xfId="30916" xr:uid="{C8A5B2B3-A9B4-4CC3-9248-93D24488B8AF}"/>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6" xfId="16166" xr:uid="{184E429F-5396-4319-8D7D-B20F7B31B908}"/>
    <cellStyle name="Normal 2 19" xfId="12346" xr:uid="{2851D229-502A-4D82-8490-01DA0EBA2159}"/>
    <cellStyle name="Normal 2 19 2" xfId="24058" xr:uid="{C9B81072-9CE2-4F0C-B5E2-CE8D5CE0A9C0}"/>
    <cellStyle name="Normal 2 19 3" xfId="24240" xr:uid="{1066F9CC-788C-4F68-89FE-9B9F75C44A5D}"/>
    <cellStyle name="Normal 2 19 4" xfId="25829" xr:uid="{5058E664-5536-45CD-84E0-6FADFD894F75}"/>
    <cellStyle name="Normal 2 19 5" xfId="24509" xr:uid="{D329221E-E5FF-44FA-92BC-FF4B1867B2F5}"/>
    <cellStyle name="Normal 2 19 6" xfId="29617" xr:uid="{903768B7-2C41-46B2-A4D0-9D86B34D41A4}"/>
    <cellStyle name="Normal 2 19 7" xfId="29591" xr:uid="{8AF71700-81D8-4687-AC91-003585AB8325}"/>
    <cellStyle name="Normal 2 19 7 2" xfId="30106" xr:uid="{C4AE6AE8-64C8-4402-93EB-4E613E643CC2}"/>
    <cellStyle name="Normal 2 19 8" xfId="31112" xr:uid="{AD9EAF03-CE2E-4033-B917-F2FC89D9335A}"/>
    <cellStyle name="Normal 2 19 8 2" xfId="31695" xr:uid="{E7154EF1-2601-4A7C-8056-AA513484E4A7}"/>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1" xfId="22712" xr:uid="{946996B7-D821-4E03-9730-38F8FCB07445}"/>
    <cellStyle name="Normal 2 22" xfId="23637" xr:uid="{A4E39459-462C-454A-A30C-B043BE56C80C}"/>
    <cellStyle name="Normal 2 23" xfId="12387" xr:uid="{E65DE861-3430-4CC0-B8E2-F1AE8E21C22C}"/>
    <cellStyle name="Normal 2 24" xfId="29564" xr:uid="{8B3042BB-E780-4116-ACB4-69BF5D526462}"/>
    <cellStyle name="Normal 2 25" xfId="30101" xr:uid="{5AB8A7DA-FFAA-4EB5-9950-87FFA7645D23}"/>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2" xfId="12383" xr:uid="{8C915B8E-2FA3-4DC4-BD95-7A870649C7C0}"/>
    <cellStyle name="Normal 23" xfId="30099" xr:uid="{C20B993B-01C2-4C51-8F98-6A9CBB8E2F4D}"/>
    <cellStyle name="Normal 23 2" xfId="30396" xr:uid="{287CA121-5416-4078-9572-C7B4DE184957}"/>
    <cellStyle name="Normal 23 2 2" xfId="32021" xr:uid="{765B09F7-C3B9-41DD-9C24-5666249D136A}"/>
    <cellStyle name="Normal 23 3" xfId="31722" xr:uid="{23061F0C-4409-4E5F-A960-26EABC21E703}"/>
    <cellStyle name="Normal 23 4" xfId="32017" xr:uid="{468AB7C1-4BEE-44C9-8B86-5065562C55FA}"/>
    <cellStyle name="Normal 24" xfId="31724" xr:uid="{4AD80940-F9FE-4312-92C2-BB9034C34D3B}"/>
    <cellStyle name="Normal 24 2" xfId="32022" xr:uid="{89DE89C1-34EC-490A-8341-093FB1E461B4}"/>
    <cellStyle name="Normal 25" xfId="30098" xr:uid="{07506169-A6FD-44A0-8C52-1A1EF451F172}"/>
    <cellStyle name="Normal 26" xfId="30103" xr:uid="{7027CCDA-B9FD-43DE-A40A-182DF76F28F4}"/>
    <cellStyle name="Normal 27" xfId="31723" xr:uid="{4196B5BA-5EA7-4D8D-9D66-857889BD5159}"/>
    <cellStyle name="Normal 28" xfId="32025" xr:uid="{F9D2FC86-2EC0-4BC4-9CA1-1693550E0CE1}"/>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2 4 3 3" xfId="30236" xr:uid="{B775CA85-A94A-4FA2-B016-4DD4E6773E9E}"/>
    <cellStyle name="Normal 3 2 2 4 3 3 2" xfId="31379" xr:uid="{FE22CF11-4570-4966-8D0D-C6F52D65F8E8}"/>
    <cellStyle name="Normal 3 2 2 4 3 4" xfId="31576" xr:uid="{D3F1F72C-C507-475E-BFC1-88BFEC9AABA6}"/>
    <cellStyle name="Normal 3 2 2 4 3 5" xfId="31870" xr:uid="{C61C880B-D90D-409E-986D-7EFE86A94CD6}"/>
    <cellStyle name="Normal 3 2 2 5" xfId="31263"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3 3 3" xfId="30237" xr:uid="{B4011CD2-DE1E-4B51-8A66-B3C8C7A5D421}"/>
    <cellStyle name="Normal 3 2 3 3 2 3 2 3 3 3 2" xfId="31380" xr:uid="{BE93AEFA-7DA3-4658-9FC8-146A8E24F6DB}"/>
    <cellStyle name="Normal 3 2 3 3 2 3 2 3 3 4" xfId="31577" xr:uid="{9B4EC05B-CF70-4662-9DB5-17BD8DAB0B95}"/>
    <cellStyle name="Normal 3 2 3 3 2 3 2 3 3 5" xfId="31871" xr:uid="{36337922-F1B8-43FE-89D9-33A4E0A700EA}"/>
    <cellStyle name="Normal 3 2 3 3 2 3 2 4" xfId="25759" xr:uid="{5EC9D443-D6FF-49B3-87CB-0CAAE76577FA}"/>
    <cellStyle name="Normal 3 2 3 3 2 3 3" xfId="858" xr:uid="{00000000-0005-0000-0000-000007050000}"/>
    <cellStyle name="Normal 3 2 3 3 2 3 4" xfId="2919" xr:uid="{00000000-0005-0000-0000-000014050000}"/>
    <cellStyle name="Normal 3 2 3 3 2 3 4 2" xfId="31292" xr:uid="{EB8BC9D9-A033-4C6E-8AEF-B73E94BB5D44}"/>
    <cellStyle name="Normal 3 2 3 3 2 3 5" xfId="2094" xr:uid="{00000000-0005-0000-0000-000008020000}"/>
    <cellStyle name="Normal 3 2 3 3 2 3 5 2" xfId="4649" xr:uid="{F5C0EA0D-9822-4FF4-BD48-55FE3EF7782D}"/>
    <cellStyle name="Normal 3 2 3 3 2 3 5 3" xfId="30175" xr:uid="{EFD41364-146C-4C8A-A23B-7D13531E8C1D}"/>
    <cellStyle name="Normal 3 2 3 3 2 3 5 3 2" xfId="31319" xr:uid="{B91B5B5F-A506-42B7-A20E-383BCA9FFAF5}"/>
    <cellStyle name="Normal 3 2 3 3 2 3 5 4" xfId="31515" xr:uid="{6D671EEF-9106-4A0F-AE0E-B3AC82C22655}"/>
    <cellStyle name="Normal 3 2 3 3 2 3 5 5" xfId="31809" xr:uid="{7A8BF9CE-A0AF-4AF4-91F4-02CA6D3FC1D7}"/>
    <cellStyle name="Normal 3 2 3 3 2 3 6" xfId="3957" xr:uid="{0E1DF840-3114-4679-8527-B4509133BFD3}"/>
    <cellStyle name="Normal 3 2 3 3 2 3 6 2" xfId="4703" xr:uid="{EBED180B-3325-462A-919B-62911980F3E3}"/>
    <cellStyle name="Normal 3 2 3 3 2 3 6 3" xfId="30297" xr:uid="{E136CEC1-43EF-4959-B635-DE56F5F46204}"/>
    <cellStyle name="Normal 3 2 3 3 2 3 6 3 2" xfId="31440" xr:uid="{56DB6537-5079-42DC-8C0E-B9EB0AF26203}"/>
    <cellStyle name="Normal 3 2 3 3 2 3 6 4" xfId="31637" xr:uid="{D8E5B5D1-0B28-44DE-9618-995E05721A23}"/>
    <cellStyle name="Normal 3 2 3 3 2 3 6 5" xfId="31931" xr:uid="{9B487A6D-6B05-4F07-839D-A99EB2D5F8AC}"/>
    <cellStyle name="Normal 3 2 3 3 2 3 7" xfId="30118" xr:uid="{3A8EA0EB-6553-4DE0-BA6D-E554B6EEBC52}"/>
    <cellStyle name="Normal 3 2 3 3 2 3 7 2" xfId="30479" xr:uid="{12261BA5-6EBE-49C8-858C-4433B97E2B8F}"/>
    <cellStyle name="Normal 3 2 3 3 2 3 8" xfId="31752" xr:uid="{69E5398B-AE39-4ABD-B746-7A6A37786D71}"/>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4 3 3 3" xfId="30384" xr:uid="{BAC9BCB8-EF57-4DA4-B9C1-3F2B8C7FC657}"/>
    <cellStyle name="Normal 3 2 3 3 2 4 3 3 4" xfId="30371" xr:uid="{34267B84-BB81-4C12-8C46-473BBA220C20}"/>
    <cellStyle name="Normal 3 2 3 3 2 4 3 3 4 2" xfId="31710" xr:uid="{592A1166-586C-44C0-A573-38C22F19E4A2}"/>
    <cellStyle name="Normal 3 2 3 3 2 4 3 3 5" xfId="32005" xr:uid="{AF9F9127-55D5-4F95-9D50-B99CB789E817}"/>
    <cellStyle name="Normal 3 2 3 3 2 4 3 4" xfId="30354" xr:uid="{93657840-58F4-4379-9A8A-0046F497FB51}"/>
    <cellStyle name="Normal 3 2 3 3 2 4 3 4 2" xfId="31696" xr:uid="{A40DE0E8-AD45-4E9B-94C0-51490D3093FE}"/>
    <cellStyle name="Normal 3 2 3 3 2 4 3 5" xfId="31988" xr:uid="{15D7EF1A-FCD0-454A-B1AA-E84DD50EE774}"/>
    <cellStyle name="Normal 3 2 3 3 2 5" xfId="2093" xr:uid="{00000000-0005-0000-0000-000006020000}"/>
    <cellStyle name="Normal 3 2 3 3 2 5 2" xfId="4666" xr:uid="{1B4AA995-6D1E-409F-BFE5-CBE6CD7AB94F}"/>
    <cellStyle name="Normal 3 2 3 3 2 5 3" xfId="30174" xr:uid="{5165A243-F4B8-4207-B6E2-4C6179B2331B}"/>
    <cellStyle name="Normal 3 2 3 3 2 5 3 2" xfId="31318" xr:uid="{FE81CBED-C272-45C6-9FD4-ED32FBB04F14}"/>
    <cellStyle name="Normal 3 2 3 3 2 5 4" xfId="31514" xr:uid="{00EFE9D6-E228-47B1-B203-283A8667D08C}"/>
    <cellStyle name="Normal 3 2 3 3 2 5 5" xfId="31808" xr:uid="{178690E6-34A2-4393-B592-31E0DF3C1227}"/>
    <cellStyle name="Normal 3 2 3 3 2 6" xfId="3956" xr:uid="{F8E8F1E1-BBD4-4256-B483-D824BDAE78F4}"/>
    <cellStyle name="Normal 3 2 3 3 2 6 2" xfId="4764" xr:uid="{9F42B403-8D69-4B35-A1B8-4F04141A4544}"/>
    <cellStyle name="Normal 3 2 3 3 2 6 3" xfId="30296" xr:uid="{C496E6E4-1282-47C2-B1C7-9961AE8A150D}"/>
    <cellStyle name="Normal 3 2 3 3 2 6 3 2" xfId="31439" xr:uid="{5A0EDD58-F48D-4E4E-BD06-54CD1EEB56F7}"/>
    <cellStyle name="Normal 3 2 3 3 2 6 4" xfId="31636" xr:uid="{C5452A9F-2C0C-47BC-AC38-CC8ACD830D2A}"/>
    <cellStyle name="Normal 3 2 3 3 2 6 5" xfId="31930" xr:uid="{B73035D1-2067-401B-A00F-AFA787D13CFA}"/>
    <cellStyle name="Normal 3 2 3 3 2 7" xfId="30117" xr:uid="{019B4B8F-7996-40B8-8487-A11E7446390C}"/>
    <cellStyle name="Normal 3 2 3 3 2 7 2" xfId="30478" xr:uid="{A9A1F17C-F870-4AC2-99F8-4C92612CB29A}"/>
    <cellStyle name="Normal 3 2 3 3 2 8" xfId="31751" xr:uid="{225D7D5A-C0D2-4CCD-9EFC-161282D45CC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2 2" xfId="30086" xr:uid="{89E53FE7-94C9-4D91-BBC4-6F94CBF85A44}"/>
    <cellStyle name="Normal 3 2 3 3 4 2 2 2 3" xfId="3713" xr:uid="{00000000-0005-0000-0000-00007A040000}"/>
    <cellStyle name="Normal 3 2 3 3 4 2 2 2 3 2" xfId="4775" xr:uid="{3EE6A992-6E14-412B-A546-1161B9E0D3AE}"/>
    <cellStyle name="Normal 3 2 3 3 4 2 2 2 3 3" xfId="30238" xr:uid="{86BCA4BE-8FF9-4E7A-B9DD-185C56EFBE75}"/>
    <cellStyle name="Normal 3 2 3 3 4 2 2 2 3 3 2" xfId="31381" xr:uid="{1A51DAD1-F532-4907-8058-33633595C8CE}"/>
    <cellStyle name="Normal 3 2 3 3 4 2 2 2 3 4" xfId="31578" xr:uid="{E311BA82-333E-46A3-AD01-6013A34DAC67}"/>
    <cellStyle name="Normal 3 2 3 3 4 2 2 2 3 5" xfId="31872" xr:uid="{16662624-3757-45D7-917F-C0AB933E36AC}"/>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4 3" xfId="30177" xr:uid="{DE26479C-16AF-4053-ADA2-2366C14A6988}"/>
    <cellStyle name="Normal 3 2 3 3 4 2 3 4 3 2" xfId="31321" xr:uid="{98ADDAB9-7E5D-4B1A-B857-1BF8F72E74B4}"/>
    <cellStyle name="Normal 3 2 3 3 4 2 3 4 4" xfId="31517" xr:uid="{C975A579-45FB-4F57-850C-66AA6B19B7DF}"/>
    <cellStyle name="Normal 3 2 3 3 4 2 3 4 5" xfId="31811" xr:uid="{6DDB7F6F-104A-41B1-A645-952E20BC8075}"/>
    <cellStyle name="Normal 3 2 3 3 4 2 3 5" xfId="25609" xr:uid="{AE0E7AAC-A35C-4739-83F7-24B2349D3A43}"/>
    <cellStyle name="Normal 3 2 3 3 4 2 3 6" xfId="30536" xr:uid="{5DF49D80-F591-4B6B-AC8D-0AA109DB5F47}"/>
    <cellStyle name="Normal 3 2 3 3 4 2 4" xfId="23282" xr:uid="{607B55E2-785A-4475-A5AF-715CB366B607}"/>
    <cellStyle name="Normal 3 2 3 3 4 3" xfId="868" xr:uid="{00000000-0005-0000-0000-000013050000}"/>
    <cellStyle name="Normal 3 2 3 3 4 4" xfId="2920" xr:uid="{00000000-0005-0000-0000-00001D050000}"/>
    <cellStyle name="Normal 3 2 3 3 4 4 2" xfId="31296" xr:uid="{324C98B1-8E30-4CDB-8616-21FD670B2E3A}"/>
    <cellStyle name="Normal 3 2 3 3 4 5" xfId="2095" xr:uid="{00000000-0005-0000-0000-00000B020000}"/>
    <cellStyle name="Normal 3 2 3 3 4 5 2" xfId="3808" xr:uid="{88D4B6F8-D038-4FA2-9B5E-8BA2B2639DFB}"/>
    <cellStyle name="Normal 3 2 3 3 4 5 3" xfId="30176" xr:uid="{CB02CBFB-77EE-4C98-92E6-6936F3E8C9D8}"/>
    <cellStyle name="Normal 3 2 3 3 4 5 3 2" xfId="31320" xr:uid="{F2C34778-01E7-4E78-BC6F-88ABEE2BEE7D}"/>
    <cellStyle name="Normal 3 2 3 3 4 5 4" xfId="31516" xr:uid="{A79C0C5A-7EDD-4B02-A14A-86F26A0520E9}"/>
    <cellStyle name="Normal 3 2 3 3 4 5 5" xfId="31810" xr:uid="{0135E4C7-4A36-4A8B-A0C0-D404DF1C677A}"/>
    <cellStyle name="Normal 3 2 3 3 4 6" xfId="3958" xr:uid="{5C36214B-B9A0-42AD-97C5-679BC9758736}"/>
    <cellStyle name="Normal 3 2 3 3 4 6 2" xfId="4776" xr:uid="{C6EA1D90-BF83-4CD0-B22B-769466A8D247}"/>
    <cellStyle name="Normal 3 2 3 3 4 6 3" xfId="30298" xr:uid="{9F6F5CBA-D16F-48D0-91E5-EA178C3A599A}"/>
    <cellStyle name="Normal 3 2 3 3 4 6 3 2" xfId="31441" xr:uid="{A0375E49-2C8F-471E-911A-A63C71DA3145}"/>
    <cellStyle name="Normal 3 2 3 3 4 6 4" xfId="31638" xr:uid="{849E470A-FB03-4831-8FE0-135351CE5670}"/>
    <cellStyle name="Normal 3 2 3 3 4 6 5" xfId="31932" xr:uid="{7DD74C05-B182-49F2-B496-B67D994D90D1}"/>
    <cellStyle name="Normal 3 2 3 3 4 7" xfId="30119" xr:uid="{21708935-4338-4B04-A5B4-2B12A5C766F5}"/>
    <cellStyle name="Normal 3 2 3 3 4 7 2" xfId="30480" xr:uid="{F378E57F-2EEC-4F55-AB97-A5FA15FB5A75}"/>
    <cellStyle name="Normal 3 2 3 3 4 8" xfId="31753" xr:uid="{B6B99ECF-27B7-4452-8592-01D11A877DA9}"/>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3" xfId="25727" xr:uid="{5EC24068-D279-40A6-85E3-7D41DE988994}"/>
    <cellStyle name="Normal 3 2 3 3 5 3 4" xfId="30239" xr:uid="{57A3C330-EEF1-4F13-A663-4A6AAFC7B558}"/>
    <cellStyle name="Normal 3 2 3 3 5 3 4 2" xfId="31382" xr:uid="{BFC026E1-24FA-40A5-A536-7FBCD1AA6124}"/>
    <cellStyle name="Normal 3 2 3 3 5 3 5" xfId="31579" xr:uid="{78178B15-934C-461A-998B-6869636634B9}"/>
    <cellStyle name="Normal 3 2 3 3 5 3 6" xfId="31873" xr:uid="{285638F6-359F-43E0-B0FA-229C700DA1DE}"/>
    <cellStyle name="Normal 3 2 3 3 5 4" xfId="25712"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3 3 3" xfId="30240" xr:uid="{09A3577F-9760-4766-9C2F-D9019747DF4A}"/>
    <cellStyle name="Normal 3 2 3 4 3 2 3 3 3 2" xfId="31383" xr:uid="{A4473E79-1F75-4888-8BBE-EA2C63CD76A1}"/>
    <cellStyle name="Normal 3 2 3 4 3 2 3 3 4" xfId="31580" xr:uid="{4CCDC4C7-EF66-4862-AB6F-4192F6078FC6}"/>
    <cellStyle name="Normal 3 2 3 4 3 2 3 3 5" xfId="31874" xr:uid="{383A3E76-D426-4C8C-924F-5A95A0836014}"/>
    <cellStyle name="Normal 3 2 3 4 3 2 4" xfId="25825" xr:uid="{1A6B0C1D-1919-427D-8E6B-3883E899BAEA}"/>
    <cellStyle name="Normal 3 2 3 4 3 3" xfId="877" xr:uid="{00000000-0005-0000-0000-00001D050000}"/>
    <cellStyle name="Normal 3 2 3 4 3 4" xfId="2921" xr:uid="{00000000-0005-0000-0000-000023050000}"/>
    <cellStyle name="Normal 3 2 3 4 3 4 2" xfId="31285" xr:uid="{8B70590F-73CC-44E1-B466-2B324B3DBBCB}"/>
    <cellStyle name="Normal 3 2 3 4 3 5" xfId="2098" xr:uid="{00000000-0005-0000-0000-000012020000}"/>
    <cellStyle name="Normal 3 2 3 4 3 5 2" xfId="4671" xr:uid="{C7488697-347C-4027-9144-3C9AC3B4D98F}"/>
    <cellStyle name="Normal 3 2 3 4 3 5 3" xfId="30179" xr:uid="{72FD9D08-8B3A-4237-9D8B-137B965D383B}"/>
    <cellStyle name="Normal 3 2 3 4 3 5 3 2" xfId="31323" xr:uid="{45EA9506-8E31-4B6C-9642-21F6D94811EA}"/>
    <cellStyle name="Normal 3 2 3 4 3 5 4" xfId="31519" xr:uid="{57B4B3E7-6D59-438C-A24A-74EBC3100FE4}"/>
    <cellStyle name="Normal 3 2 3 4 3 5 5" xfId="31813" xr:uid="{C0EC41AE-F027-4EAC-B2AF-195D477BE1A7}"/>
    <cellStyle name="Normal 3 2 3 4 3 6" xfId="3960" xr:uid="{D1FAA155-8172-43EB-ACF9-9A7AA25E3D6E}"/>
    <cellStyle name="Normal 3 2 3 4 3 6 2" xfId="4784" xr:uid="{8A9EA233-ABD3-42E4-B860-F2A4E0132FC1}"/>
    <cellStyle name="Normal 3 2 3 4 3 6 3" xfId="30300" xr:uid="{81B67AB2-71E6-4678-8CF3-9987E9088F9B}"/>
    <cellStyle name="Normal 3 2 3 4 3 6 3 2" xfId="31443" xr:uid="{A98CF9BE-AAE6-4825-8E47-7EAA17C2BBF3}"/>
    <cellStyle name="Normal 3 2 3 4 3 6 4" xfId="31640" xr:uid="{AAEDCB10-67E7-4420-AA2F-0DDA1928FE65}"/>
    <cellStyle name="Normal 3 2 3 4 3 6 5" xfId="31934" xr:uid="{E03EEF01-1839-44E6-AD63-1C456D0962DD}"/>
    <cellStyle name="Normal 3 2 3 4 3 7" xfId="30121" xr:uid="{B13A17FC-0920-42D9-BFD0-704A408A0A4C}"/>
    <cellStyle name="Normal 3 2 3 4 3 7 2" xfId="30482" xr:uid="{10C38449-8AAA-4472-A41E-21A90DBA3EF1}"/>
    <cellStyle name="Normal 3 2 3 4 3 8" xfId="31755" xr:uid="{9272ABCD-863B-4473-80D4-56123FB3553F}"/>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4 3 3" xfId="30241" xr:uid="{4F7F6943-EDBD-49B8-92F4-C7F6E5EFC9D8}"/>
    <cellStyle name="Normal 3 2 3 4 4 3 3 2" xfId="31384" xr:uid="{7D216875-FD6D-42D1-B93A-66F40255D01A}"/>
    <cellStyle name="Normal 3 2 3 4 4 3 4" xfId="31581" xr:uid="{E9786FEF-20D7-44D2-9C67-93A7FB8E137B}"/>
    <cellStyle name="Normal 3 2 3 4 4 3 5" xfId="31875" xr:uid="{D1969DFF-FD25-47BB-8FE0-91FB97DD3A5E}"/>
    <cellStyle name="Normal 3 2 3 4 5" xfId="2097" xr:uid="{00000000-0005-0000-0000-000010020000}"/>
    <cellStyle name="Normal 3 2 3 4 5 2" xfId="3778" xr:uid="{8B0DC8D1-7DE9-4171-A63D-3B65DE7CC539}"/>
    <cellStyle name="Normal 3 2 3 4 5 3" xfId="30178" xr:uid="{92251D01-4C43-436B-89CC-A84B9DD25DD4}"/>
    <cellStyle name="Normal 3 2 3 4 5 3 2" xfId="31322" xr:uid="{FCE2C500-F43A-4375-A00C-E81F083CEF3F}"/>
    <cellStyle name="Normal 3 2 3 4 5 4" xfId="31518" xr:uid="{EB794679-BCC2-4055-AC27-37AACFDD1FB4}"/>
    <cellStyle name="Normal 3 2 3 4 5 5" xfId="31812" xr:uid="{5460A817-A72C-4666-9CEA-0FD1254CA438}"/>
    <cellStyle name="Normal 3 2 3 4 6" xfId="3959" xr:uid="{C6836599-ECCD-4EBB-AA38-ABF0279C67FA}"/>
    <cellStyle name="Normal 3 2 3 4 6 2" xfId="4749" xr:uid="{E32033F8-C2D4-4D9A-8197-D59BB0805FFB}"/>
    <cellStyle name="Normal 3 2 3 4 6 3" xfId="30299" xr:uid="{D8F87D88-0F19-481C-A1CC-3146338754DB}"/>
    <cellStyle name="Normal 3 2 3 4 6 3 2" xfId="31442" xr:uid="{B4A69638-323B-49E7-90F5-90FE0D97664A}"/>
    <cellStyle name="Normal 3 2 3 4 6 4" xfId="31639" xr:uid="{7FD9D19C-1E53-40EA-BF81-22379F781951}"/>
    <cellStyle name="Normal 3 2 3 4 6 5" xfId="31933" xr:uid="{DA36F331-6C62-4D5F-BA3C-170EE4CAD920}"/>
    <cellStyle name="Normal 3 2 3 4 7" xfId="30120" xr:uid="{2902EA16-525C-4490-96D7-08F0557F0425}"/>
    <cellStyle name="Normal 3 2 3 4 7 2" xfId="30481" xr:uid="{DF6E23B2-6945-41B0-8306-2F702DBA91A9}"/>
    <cellStyle name="Normal 3 2 3 4 8" xfId="31754" xr:uid="{B4D2B4EA-080E-4556-BD60-5C1D2BE5D3E3}"/>
    <cellStyle name="Normal 3 2 3 5" xfId="2066" xr:uid="{00000000-0005-0000-0000-000003020000}"/>
    <cellStyle name="Normal 3 2 3 5 2" xfId="4738" xr:uid="{1DEEA62F-24B4-4396-B677-5B3167946642}"/>
    <cellStyle name="Normal 3 2 3 5 3" xfId="30166" xr:uid="{75BDF039-D1D0-4720-91AF-54BBB162394D}"/>
    <cellStyle name="Normal 3 2 3 5 3 2" xfId="30483" xr:uid="{7C8CED2E-CFB8-4B18-9B98-486CBBF1CEE6}"/>
    <cellStyle name="Normal 3 2 3 5 4" xfId="31506" xr:uid="{D2C494B6-B581-4571-B629-4078CCA1DF19}"/>
    <cellStyle name="Normal 3 2 3 5 5" xfId="31800" xr:uid="{4C93E45A-7811-489F-9771-78A6D448C1C8}"/>
    <cellStyle name="Normal 3 2 3 6" xfId="30112" xr:uid="{2DA27080-57C7-488E-9E66-228C66F3BB6F}"/>
    <cellStyle name="Normal 3 2 3 6 2" xfId="30471" xr:uid="{CBE48B84-9220-4165-B20B-487010328F48}"/>
    <cellStyle name="Normal 3 2 3 7" xfId="31744" xr:uid="{0824D4CF-5757-4ADE-8178-DAAE89865E41}"/>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3 3 3" xfId="30242" xr:uid="{FB3B0704-45A1-4B1D-8FF2-DBF25C1101E3}"/>
    <cellStyle name="Normal 3 2 4 3 2 3 3 3 2" xfId="31385" xr:uid="{C389EE42-3048-406A-ACE1-5B5798D31786}"/>
    <cellStyle name="Normal 3 2 4 3 2 3 3 4" xfId="31582" xr:uid="{E69F89CA-AEBA-4937-8B6F-1B0F7B1F1450}"/>
    <cellStyle name="Normal 3 2 4 3 2 3 3 5" xfId="31876" xr:uid="{4CC266E9-1346-48DA-90DE-94B12A5F54AD}"/>
    <cellStyle name="Normal 3 2 4 3 2 4" xfId="23427" xr:uid="{F5F16304-98F9-4382-9EBD-05DA6A2307A4}"/>
    <cellStyle name="Normal 3 2 4 3 3" xfId="885" xr:uid="{00000000-0005-0000-0000-000027050000}"/>
    <cellStyle name="Normal 3 2 4 3 4" xfId="2923" xr:uid="{00000000-0005-0000-0000-00002A050000}"/>
    <cellStyle name="Normal 3 2 4 3 4 2" xfId="31287" xr:uid="{C5493F1B-7833-429B-A3F9-F86186048626}"/>
    <cellStyle name="Normal 3 2 4 3 5" xfId="2100" xr:uid="{00000000-0005-0000-0000-000016020000}"/>
    <cellStyle name="Normal 3 2 4 3 5 2" xfId="4686" xr:uid="{06BFEBE3-1397-400F-9E69-D60195609A34}"/>
    <cellStyle name="Normal 3 2 4 3 5 3" xfId="30181" xr:uid="{CAF84CE8-A6AE-4653-8439-E2C2CC100971}"/>
    <cellStyle name="Normal 3 2 4 3 5 3 2" xfId="31325" xr:uid="{CD2BA927-620B-4490-8DBC-65DFEFB5E7E2}"/>
    <cellStyle name="Normal 3 2 4 3 5 4" xfId="31521" xr:uid="{F7EE645A-A73D-47E9-8833-528052C962F3}"/>
    <cellStyle name="Normal 3 2 4 3 5 5" xfId="31815" xr:uid="{EE17CC6F-D84C-454B-B3FF-8CA0A03963CA}"/>
    <cellStyle name="Normal 3 2 4 3 6" xfId="3963" xr:uid="{C9BE7447-0E91-41CB-9714-02F1C566D84A}"/>
    <cellStyle name="Normal 3 2 4 3 6 2" xfId="4788" xr:uid="{0C195683-FC3A-4228-8CFA-81C976438B43}"/>
    <cellStyle name="Normal 3 2 4 3 6 3" xfId="30302" xr:uid="{5B46428E-4B5D-4956-93B7-0F396B73A2B2}"/>
    <cellStyle name="Normal 3 2 4 3 6 3 2" xfId="31445" xr:uid="{5A6B4B77-3513-4B99-8042-BE10B0FA72A0}"/>
    <cellStyle name="Normal 3 2 4 3 6 4" xfId="31642" xr:uid="{B3547189-4D1A-4E73-AD27-78C5227CE173}"/>
    <cellStyle name="Normal 3 2 4 3 6 5" xfId="31936" xr:uid="{32A90817-92D4-4099-B7D3-7EACDE6715B3}"/>
    <cellStyle name="Normal 3 2 4 3 7" xfId="30123" xr:uid="{2FC8C8CB-77C8-4CE3-9500-8BBF0E8D3D67}"/>
    <cellStyle name="Normal 3 2 4 3 7 2" xfId="30485" xr:uid="{FF9CD143-3DC5-4E78-9669-CDD5E69991DD}"/>
    <cellStyle name="Normal 3 2 4 3 8" xfId="31757" xr:uid="{3D3B0868-6B1D-44B7-9E63-7E2F85B968DE}"/>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2 3 3" xfId="30385" xr:uid="{EAB09D60-EC65-4583-A401-605E05C9795F}"/>
    <cellStyle name="Normal 3 2 4 4 2 3 4" xfId="30372" xr:uid="{EC861FD9-BC0C-408C-9531-DE32A58E2953}"/>
    <cellStyle name="Normal 3 2 4 4 2 3 4 2" xfId="31711" xr:uid="{3FB41312-390E-4923-8C3C-F8147726A4F3}"/>
    <cellStyle name="Normal 3 2 4 4 2 3 5" xfId="32006" xr:uid="{4C578D2D-4D41-4FBF-B8DD-3CC7AFC62900}"/>
    <cellStyle name="Normal 3 2 4 4 2 4" xfId="30355" xr:uid="{C34059E2-DD63-4FD3-8EEB-54B190A38F45}"/>
    <cellStyle name="Normal 3 2 4 4 2 4 2" xfId="31697" xr:uid="{6DCD7FB8-B5FD-4C77-BBC6-EAED650E4CF3}"/>
    <cellStyle name="Normal 3 2 4 4 2 5" xfId="31989" xr:uid="{1497EB42-67E3-4B2E-B704-ABF78EAC0BFC}"/>
    <cellStyle name="Normal 3 2 4 4 3" xfId="24728" xr:uid="{154F7FD8-B3F3-4487-878D-5A0175DAC264}"/>
    <cellStyle name="Normal 3 2 4 5" xfId="2099" xr:uid="{00000000-0005-0000-0000-000014020000}"/>
    <cellStyle name="Normal 3 2 4 5 2" xfId="4645" xr:uid="{3EC2113D-E49B-4038-9F23-778F9B5DB2AD}"/>
    <cellStyle name="Normal 3 2 4 5 3" xfId="30180" xr:uid="{8EA82334-E7EE-4E69-990C-4DEAF38099AA}"/>
    <cellStyle name="Normal 3 2 4 5 3 2" xfId="31324" xr:uid="{E9CBBCA5-54AD-468F-B466-AB0737888486}"/>
    <cellStyle name="Normal 3 2 4 5 4" xfId="31520" xr:uid="{B5FE814E-E042-40D9-B41A-A129B9C70AF7}"/>
    <cellStyle name="Normal 3 2 4 5 5" xfId="31814" xr:uid="{73C662E3-E227-488D-BAA7-C2861390EA9D}"/>
    <cellStyle name="Normal 3 2 4 6" xfId="3962" xr:uid="{7B02E248-334A-4390-803D-03A9529B2562}"/>
    <cellStyle name="Normal 3 2 4 6 2" xfId="4817" xr:uid="{2DE6B781-6A0F-4C4A-A762-5BA32CF9F8AB}"/>
    <cellStyle name="Normal 3 2 4 6 3" xfId="30301" xr:uid="{DD7F06BC-48FB-45F1-B5D9-2F7DC116529F}"/>
    <cellStyle name="Normal 3 2 4 6 3 2" xfId="31444" xr:uid="{F10D9DC9-263D-4EE8-996D-1DD37EFF76EA}"/>
    <cellStyle name="Normal 3 2 4 6 4" xfId="31641" xr:uid="{BCC20E6B-1DD8-47F1-B716-180F52FE094F}"/>
    <cellStyle name="Normal 3 2 4 6 5" xfId="31935" xr:uid="{EE327EAE-2786-41D7-AAC9-789B35ED027F}"/>
    <cellStyle name="Normal 3 2 4 7" xfId="30122" xr:uid="{2CF31ED3-BF8A-4420-A35A-63A9374EE9CB}"/>
    <cellStyle name="Normal 3 2 4 7 2" xfId="30484" xr:uid="{E8D1DD0B-859F-4702-9615-4F14D8E78C95}"/>
    <cellStyle name="Normal 3 2 4 8" xfId="31756" xr:uid="{3BD5DD47-EE0D-4D26-9979-B292E5AEB09B}"/>
    <cellStyle name="Normal 3 2 5" xfId="29571" xr:uid="{750150B5-C7CA-4EA6-BA0D-6C0AEF29E2A9}"/>
    <cellStyle name="Normal 3 2 5 2" xfId="29630" xr:uid="{FC40ABBD-3EDE-4371-9FF9-A208F204AC39}"/>
    <cellStyle name="Normal 3 2 5 2 2" xfId="31250" xr:uid="{F12AF8C4-3DE1-4158-AA8E-7806F3A8EF51}"/>
    <cellStyle name="Normal 3 2 5 2 3" xfId="30467" xr:uid="{A19572E5-C2FE-4995-B8C9-236F90541CCE}"/>
    <cellStyle name="Normal 3 2 5 3" xfId="29600" xr:uid="{4BE0FB2A-CFA3-46C2-A6F3-5BD4CCDE876F}"/>
    <cellStyle name="Normal 3 2 5 3 2" xfId="29644" xr:uid="{012C5423-63EC-45C8-AB0D-9143CDABBBAF}"/>
    <cellStyle name="Normal 3 2 5 3 3" xfId="30386" xr:uid="{61D53CD0-CA5E-4F77-91D4-46F773F8DF85}"/>
    <cellStyle name="Normal 3 2 5 3 4" xfId="30373" xr:uid="{901B8119-F76A-44E0-936C-BA78095F8F22}"/>
    <cellStyle name="Normal 3 2 5 3 4 2" xfId="31712" xr:uid="{48E12EBD-4D36-46FA-BCC1-A806C8B17EDF}"/>
    <cellStyle name="Normal 3 2 5 3 5" xfId="32007" xr:uid="{605697BD-0C7F-4E7F-9D2A-0112DEFD24E5}"/>
    <cellStyle name="Normal 3 2 5 4" xfId="29634" xr:uid="{B70E0C93-0F24-4A65-9A4C-6AA94B1973D9}"/>
    <cellStyle name="Normal 3 2 5 5" xfId="30356" xr:uid="{8D54E739-13BE-4332-8917-3C2D88CE836D}"/>
    <cellStyle name="Normal 3 2 5 5 2" xfId="31244" xr:uid="{93394BE0-19B6-4E50-8418-A98C9A434D03}"/>
    <cellStyle name="Normal 3 2 5 5 3" xfId="31698" xr:uid="{59429AA2-65FA-427B-BCCC-AF076B796573}"/>
    <cellStyle name="Normal 3 2 5 6" xfId="31990" xr:uid="{1A6030CE-991E-4462-A676-1578F405406D}"/>
    <cellStyle name="Normal 3 2 6" xfId="30109" xr:uid="{E75C1CB2-D09F-4E20-9707-91B0AD896C89}"/>
    <cellStyle name="Normal 3 2 6 2" xfId="31495" xr:uid="{75618FDA-0DC1-449E-A37B-B4C7EE151DBA}"/>
    <cellStyle name="Normal 3 2 7" xfId="31737" xr:uid="{DAF1D4CE-0E25-49CE-8219-6D8D988E1EAC}"/>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2 5" xfId="30033" xr:uid="{69245435-96EF-48AD-A85F-F3C086021E6B}"/>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3" xfId="24782" xr:uid="{903C44A5-017A-4D5E-A0BB-942EB7E8D36D}"/>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3" xfId="25782" xr:uid="{6F6096DE-56CA-421D-A3CC-34838D6F30D6}"/>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10" xfId="31740" xr:uid="{735DA6F3-F532-43DB-9D29-5AABCEFFA1CE}"/>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3 3 3" xfId="30243" xr:uid="{CA1835E3-D7CA-494D-AA80-1B1149D5AFB8}"/>
    <cellStyle name="Normal 5 2 2 3 3 2 3 2 3 3 3 2" xfId="31386" xr:uid="{887E578E-D69D-402D-8C71-0EB314923E1C}"/>
    <cellStyle name="Normal 5 2 2 3 3 2 3 2 3 3 4" xfId="31583" xr:uid="{92D8B8E4-BB12-424E-9790-D21F8131DC73}"/>
    <cellStyle name="Normal 5 2 2 3 3 2 3 2 3 3 5" xfId="31877" xr:uid="{2E43C4F1-5209-48AA-B572-DA2C3C124CB7}"/>
    <cellStyle name="Normal 5 2 2 3 3 2 3 2 4" xfId="25788" xr:uid="{1D08EFFC-DA7F-41BE-978E-EC07123E36B4}"/>
    <cellStyle name="Normal 5 2 2 3 3 2 3 3" xfId="1058" xr:uid="{00000000-0005-0000-0000-0000D5050000}"/>
    <cellStyle name="Normal 5 2 2 3 3 2 3 4" xfId="2949" xr:uid="{00000000-0005-0000-0000-0000D2060000}"/>
    <cellStyle name="Normal 5 2 2 3 3 2 3 4 2" xfId="31297" xr:uid="{78CA0B19-A34B-4E31-AA24-2A14D9E7C4D2}"/>
    <cellStyle name="Normal 5 2 2 3 3 2 3 5" xfId="2102" xr:uid="{00000000-0005-0000-0000-000062020000}"/>
    <cellStyle name="Normal 5 2 2 3 3 2 3 5 2" xfId="4646" xr:uid="{DCF2241D-14ED-485A-9D65-B2AB943923E7}"/>
    <cellStyle name="Normal 5 2 2 3 3 2 3 5 3" xfId="30183" xr:uid="{A412684C-6109-4521-B609-EE02EEB536F2}"/>
    <cellStyle name="Normal 5 2 2 3 3 2 3 5 3 2" xfId="31327" xr:uid="{B0044842-2681-4637-80B7-F8CD98CD6A4C}"/>
    <cellStyle name="Normal 5 2 2 3 3 2 3 5 4" xfId="31523" xr:uid="{F88276D7-3241-416D-82B9-264DD5195C56}"/>
    <cellStyle name="Normal 5 2 2 3 3 2 3 5 5" xfId="31817" xr:uid="{2E1920E5-CEDA-4880-814E-F3E326863B8F}"/>
    <cellStyle name="Normal 5 2 2 3 3 2 3 6" xfId="4001" xr:uid="{F1B4F0B9-FD33-4680-A501-B9D0765C51F9}"/>
    <cellStyle name="Normal 5 2 2 3 3 2 3 6 2" xfId="4696" xr:uid="{87C651C8-4B39-4467-81FB-F4E1577DF4A5}"/>
    <cellStyle name="Normal 5 2 2 3 3 2 3 6 3" xfId="30304" xr:uid="{20D658DA-AA9C-4B8A-88DB-4A53FA3E1566}"/>
    <cellStyle name="Normal 5 2 2 3 3 2 3 6 3 2" xfId="31447" xr:uid="{8335C654-6A5B-43B0-9BF5-99B5E4D6EAF0}"/>
    <cellStyle name="Normal 5 2 2 3 3 2 3 6 4" xfId="31644" xr:uid="{648E6EA8-0CB8-4625-96BD-1713085C6150}"/>
    <cellStyle name="Normal 5 2 2 3 3 2 3 6 5" xfId="31938" xr:uid="{87A054C9-EC04-4351-9EF1-9720A2A3B28F}"/>
    <cellStyle name="Normal 5 2 2 3 3 2 3 7" xfId="30125" xr:uid="{DAC80EA3-45F7-49F1-A349-239CC3856162}"/>
    <cellStyle name="Normal 5 2 2 3 3 2 3 7 2" xfId="30487" xr:uid="{207BB286-D44A-4530-97B5-78C32E75393D}"/>
    <cellStyle name="Normal 5 2 2 3 3 2 3 8" xfId="31759" xr:uid="{16374957-CF05-4205-977D-4B969739F384}"/>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4 3 3 3" xfId="30387" xr:uid="{869F3D5D-AE97-4CC5-B41A-A19DC4D969BE}"/>
    <cellStyle name="Normal 5 2 2 3 3 2 4 3 3 4" xfId="30374" xr:uid="{5CC7FCC2-30E8-4DE4-8C04-E4F3FF779ED6}"/>
    <cellStyle name="Normal 5 2 2 3 3 2 4 3 3 4 2" xfId="31713" xr:uid="{97349D98-A108-4282-8CFA-A793557F04C8}"/>
    <cellStyle name="Normal 5 2 2 3 3 2 4 3 3 5" xfId="32008" xr:uid="{BD7CA334-159E-4D42-B581-D27959C79388}"/>
    <cellStyle name="Normal 5 2 2 3 3 2 4 3 4" xfId="30357" xr:uid="{1C60EA9A-684E-4679-89C8-749CEAB253C5}"/>
    <cellStyle name="Normal 5 2 2 3 3 2 4 3 4 2" xfId="31699" xr:uid="{AD204089-4C71-4050-991D-38E2B324F7EB}"/>
    <cellStyle name="Normal 5 2 2 3 3 2 4 3 5" xfId="31991" xr:uid="{E0EC5735-4AE9-421B-99FB-C0381648EAE9}"/>
    <cellStyle name="Normal 5 2 2 3 3 2 5" xfId="2101" xr:uid="{00000000-0005-0000-0000-000060020000}"/>
    <cellStyle name="Normal 5 2 2 3 3 2 5 2" xfId="4665" xr:uid="{456E6ACB-B92B-4E09-90D7-9887AC9A6356}"/>
    <cellStyle name="Normal 5 2 2 3 3 2 5 3" xfId="30182" xr:uid="{949196C8-26F0-48F8-A360-5C93471FB753}"/>
    <cellStyle name="Normal 5 2 2 3 3 2 5 3 2" xfId="31326" xr:uid="{1776B697-3D7A-44A6-8CF4-26DCA157D5FD}"/>
    <cellStyle name="Normal 5 2 2 3 3 2 5 4" xfId="31522" xr:uid="{BEF860A1-5D07-4575-A886-606466C1C1D9}"/>
    <cellStyle name="Normal 5 2 2 3 3 2 5 5" xfId="31816" xr:uid="{5E6DBADF-3E3F-472B-A3E7-13C93AE10668}"/>
    <cellStyle name="Normal 5 2 2 3 3 2 6" xfId="4000" xr:uid="{A738EDEF-3EA0-4135-885D-6506E619A596}"/>
    <cellStyle name="Normal 5 2 2 3 3 2 6 2" xfId="4815" xr:uid="{54779593-FE24-451B-9985-E9D706451F82}"/>
    <cellStyle name="Normal 5 2 2 3 3 2 6 3" xfId="30303" xr:uid="{6891DA91-5722-4BAC-8C6B-FDD9DC564F07}"/>
    <cellStyle name="Normal 5 2 2 3 3 2 6 3 2" xfId="31446" xr:uid="{6A366D88-F890-46E2-BB04-E1D17258EF3B}"/>
    <cellStyle name="Normal 5 2 2 3 3 2 6 4" xfId="31643" xr:uid="{06A84B95-836D-4AEB-8DAA-809DFA91FB68}"/>
    <cellStyle name="Normal 5 2 2 3 3 2 6 5" xfId="31937" xr:uid="{9240F838-1B68-40D6-9ACE-917497A6D1C1}"/>
    <cellStyle name="Normal 5 2 2 3 3 2 7" xfId="30124" xr:uid="{16F6B502-50DE-40DF-90B1-0876CC1A1C94}"/>
    <cellStyle name="Normal 5 2 2 3 3 2 7 2" xfId="30486" xr:uid="{32F471BB-0723-4682-B1A0-F64159294218}"/>
    <cellStyle name="Normal 5 2 2 3 3 2 8" xfId="31758" xr:uid="{E5504B10-F7AF-4EC8-8FCB-5A92B398FBE4}"/>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2 2" xfId="30091" xr:uid="{2B878A51-CD5F-4DE5-B930-3F48D284360B}"/>
    <cellStyle name="Normal 5 2 2 3 3 4 2 2 2 3" xfId="3719" xr:uid="{00000000-0005-0000-0000-000047050000}"/>
    <cellStyle name="Normal 5 2 2 3 3 4 2 2 2 3 2" xfId="4816" xr:uid="{A9DAC7E2-553D-4565-B80F-940B97A51BE8}"/>
    <cellStyle name="Normal 5 2 2 3 3 4 2 2 2 3 3" xfId="30244" xr:uid="{BA581B0B-DADD-427E-9227-F1A4995BB8C9}"/>
    <cellStyle name="Normal 5 2 2 3 3 4 2 2 2 3 3 2" xfId="31387" xr:uid="{D3E5510B-31A3-4A73-B547-9B3F2D2B326B}"/>
    <cellStyle name="Normal 5 2 2 3 3 4 2 2 2 3 4" xfId="31584" xr:uid="{21BABE29-A0ED-45DF-9708-DEE6E0C6E1A6}"/>
    <cellStyle name="Normal 5 2 2 3 3 4 2 2 2 3 5" xfId="31878" xr:uid="{BD64AEE5-6CA3-4187-8B37-E6F4870A7130}"/>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4 3" xfId="30185" xr:uid="{9A0870E9-F2F2-44FB-8B46-C48A4968FEEF}"/>
    <cellStyle name="Normal 5 2 2 3 3 4 2 3 4 3 2" xfId="31329" xr:uid="{CF04E88C-F7B3-4D7A-9717-FD9ACBD6475E}"/>
    <cellStyle name="Normal 5 2 2 3 3 4 2 3 4 4" xfId="31525" xr:uid="{A111558E-E85F-4251-9D3B-B86A6E2852FF}"/>
    <cellStyle name="Normal 5 2 2 3 3 4 2 3 4 5" xfId="31819" xr:uid="{E4474D66-FE38-48E2-86FD-353F0A7837A7}"/>
    <cellStyle name="Normal 5 2 2 3 3 4 2 3 5" xfId="25793" xr:uid="{BE81E2B3-54B5-44DA-A7B7-DF27FBF44B0E}"/>
    <cellStyle name="Normal 5 2 2 3 3 4 2 3 6" xfId="30537" xr:uid="{6AF04956-A4AA-40F2-9013-C6A327256590}"/>
    <cellStyle name="Normal 5 2 2 3 3 4 2 4" xfId="24195" xr:uid="{8D3CA287-FEA1-4E49-ADF5-2EF14E33D055}"/>
    <cellStyle name="Normal 5 2 2 3 3 4 3" xfId="1068" xr:uid="{00000000-0005-0000-0000-0000E1050000}"/>
    <cellStyle name="Normal 5 2 2 3 3 4 4" xfId="2950" xr:uid="{00000000-0005-0000-0000-0000DB060000}"/>
    <cellStyle name="Normal 5 2 2 3 3 4 4 2" xfId="31291" xr:uid="{DEB5B321-0F2A-4419-A5CA-930B6F07E2F7}"/>
    <cellStyle name="Normal 5 2 2 3 3 4 5" xfId="2103" xr:uid="{00000000-0005-0000-0000-000065020000}"/>
    <cellStyle name="Normal 5 2 2 3 3 4 5 2" xfId="3791" xr:uid="{BC5A38D1-BFF3-476A-8A69-EA1EE0617EC6}"/>
    <cellStyle name="Normal 5 2 2 3 3 4 5 3" xfId="30184" xr:uid="{5C24DA68-97CD-49FE-802F-E259FD9B70A3}"/>
    <cellStyle name="Normal 5 2 2 3 3 4 5 3 2" xfId="31328" xr:uid="{79426398-3EAD-4E7A-9356-7A768B6FCB74}"/>
    <cellStyle name="Normal 5 2 2 3 3 4 5 4" xfId="31524" xr:uid="{3AC3627F-72DF-4B18-B008-B92A5C21CB5D}"/>
    <cellStyle name="Normal 5 2 2 3 3 4 5 5" xfId="31818" xr:uid="{2BBCE6A9-B46F-4B5D-A278-A5920307EB44}"/>
    <cellStyle name="Normal 5 2 2 3 3 4 6" xfId="4002" xr:uid="{D8FD9E04-9092-4C4B-A910-C73C5CD42691}"/>
    <cellStyle name="Normal 5 2 2 3 3 4 6 2" xfId="4695" xr:uid="{E279391E-A262-4102-8448-E71B06C35C79}"/>
    <cellStyle name="Normal 5 2 2 3 3 4 6 3" xfId="30305" xr:uid="{A30F632E-33C2-4D26-936D-ECDA03E22F6E}"/>
    <cellStyle name="Normal 5 2 2 3 3 4 6 3 2" xfId="31448" xr:uid="{164E3A5C-7416-44FC-8177-DC798DF6E6A0}"/>
    <cellStyle name="Normal 5 2 2 3 3 4 6 4" xfId="31645" xr:uid="{B9006B00-B933-4FB1-A35A-D7221D1C0512}"/>
    <cellStyle name="Normal 5 2 2 3 3 4 6 5" xfId="31939" xr:uid="{1A1C441C-30CE-4CB9-9C92-EDE4E3FAE21E}"/>
    <cellStyle name="Normal 5 2 2 3 3 4 7" xfId="30126" xr:uid="{703E38E7-8BA4-47CE-A103-8E02D7643E7A}"/>
    <cellStyle name="Normal 5 2 2 3 3 4 7 2" xfId="30488" xr:uid="{2C6C969A-844E-4616-8573-0FAFBA4D69CF}"/>
    <cellStyle name="Normal 5 2 2 3 3 4 8" xfId="31760" xr:uid="{53B414DA-F311-48B0-8473-61548E75524F}"/>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3" xfId="22849" xr:uid="{659AE614-353A-4FE0-9C98-E3D2FE7BC367}"/>
    <cellStyle name="Normal 5 2 2 3 3 5 3 4" xfId="30245" xr:uid="{10F24001-7CC0-44EC-B648-411E63A266B9}"/>
    <cellStyle name="Normal 5 2 2 3 3 5 3 4 2" xfId="31388" xr:uid="{B9C0C66D-8676-4A44-BA99-B9C8122368E0}"/>
    <cellStyle name="Normal 5 2 2 3 3 5 3 5" xfId="31585" xr:uid="{747A6EBE-5AA8-4D25-B6CA-2B8E86458B98}"/>
    <cellStyle name="Normal 5 2 2 3 3 5 3 6" xfId="31879" xr:uid="{AD299762-D62E-48F2-A298-0EEAB8649842}"/>
    <cellStyle name="Normal 5 2 2 3 3 5 4" xfId="25353"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3 3 3" xfId="30246" xr:uid="{0B60F80B-7368-4D89-BA1E-AC6E4192ADD4}"/>
    <cellStyle name="Normal 5 2 2 3 4 3 2 3 3 3 2" xfId="31389" xr:uid="{6980F92F-2E8D-4F9E-B82F-A0952100F3DD}"/>
    <cellStyle name="Normal 5 2 2 3 4 3 2 3 3 4" xfId="31586" xr:uid="{7B6E9149-EDD8-47F2-8D5F-A2FC9635B763}"/>
    <cellStyle name="Normal 5 2 2 3 4 3 2 3 3 5" xfId="31880" xr:uid="{5F368C6F-F5CF-461F-BA3C-C5A7BC3D79FB}"/>
    <cellStyle name="Normal 5 2 2 3 4 3 2 4" xfId="25686" xr:uid="{D36B2ED3-0F57-4BA2-8ECD-62BF05B0572F}"/>
    <cellStyle name="Normal 5 2 2 3 4 3 3" xfId="1077" xr:uid="{00000000-0005-0000-0000-0000EB050000}"/>
    <cellStyle name="Normal 5 2 2 3 4 3 4" xfId="2951" xr:uid="{00000000-0005-0000-0000-0000E1060000}"/>
    <cellStyle name="Normal 5 2 2 3 4 3 4 2" xfId="31275" xr:uid="{48413553-C1B7-4B8D-A3C6-C8BF89975138}"/>
    <cellStyle name="Normal 5 2 2 3 4 3 5" xfId="2106" xr:uid="{00000000-0005-0000-0000-00006C020000}"/>
    <cellStyle name="Normal 5 2 2 3 4 3 5 2" xfId="4053" xr:uid="{49B8B7A8-4856-40A4-A58F-9BFE37881BD3}"/>
    <cellStyle name="Normal 5 2 2 3 4 3 5 3" xfId="30187" xr:uid="{A70DBE0C-D5CA-4EAB-A3CA-07F95394E9AE}"/>
    <cellStyle name="Normal 5 2 2 3 4 3 5 3 2" xfId="31331" xr:uid="{490372D4-432A-4B6E-B243-E866D76B8184}"/>
    <cellStyle name="Normal 5 2 2 3 4 3 5 4" xfId="31527" xr:uid="{90AC1405-FE79-424A-BC37-FF05E9503406}"/>
    <cellStyle name="Normal 5 2 2 3 4 3 5 5" xfId="31821" xr:uid="{89504CC9-B044-4538-8115-79848BE3552E}"/>
    <cellStyle name="Normal 5 2 2 3 4 3 6" xfId="4004" xr:uid="{2E9BA179-24FF-4822-9D6C-F2734EFD2CB0}"/>
    <cellStyle name="Normal 5 2 2 3 4 3 6 2" xfId="4805" xr:uid="{2387F2B7-3B47-4789-BF4E-B979001A8FAA}"/>
    <cellStyle name="Normal 5 2 2 3 4 3 6 3" xfId="30307" xr:uid="{5726D493-8CED-4265-A434-DFD8EB311CD3}"/>
    <cellStyle name="Normal 5 2 2 3 4 3 6 3 2" xfId="31450" xr:uid="{FB181689-6E48-4E44-96B3-385555CE579C}"/>
    <cellStyle name="Normal 5 2 2 3 4 3 6 4" xfId="31647" xr:uid="{0067E494-22D7-4B3A-984D-B426336F4E2D}"/>
    <cellStyle name="Normal 5 2 2 3 4 3 6 5" xfId="31941" xr:uid="{E5DBA7E2-3A44-4CEE-965A-A75BF716B893}"/>
    <cellStyle name="Normal 5 2 2 3 4 3 7" xfId="30128" xr:uid="{902DB47F-C143-433C-8E02-ECCFBB8FA346}"/>
    <cellStyle name="Normal 5 2 2 3 4 3 7 2" xfId="30490" xr:uid="{56017849-602A-438E-96E0-4DE9B6F02764}"/>
    <cellStyle name="Normal 5 2 2 3 4 3 8" xfId="31762" xr:uid="{9D0AC439-C11C-4287-A27F-BAB9C894D3AA}"/>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4 3 3" xfId="30247" xr:uid="{EE5ADEA2-84D4-4505-87AE-A6C270C3F801}"/>
    <cellStyle name="Normal 5 2 2 3 4 4 3 3 2" xfId="31390" xr:uid="{DE289E50-B422-42E4-BB23-771C03B0FE6E}"/>
    <cellStyle name="Normal 5 2 2 3 4 4 3 4" xfId="31587" xr:uid="{8C678CD5-606D-4C9C-A7A2-159D864DB7F7}"/>
    <cellStyle name="Normal 5 2 2 3 4 4 3 5" xfId="31881" xr:uid="{4C41FAD7-5C7A-4589-B282-2779030A99DE}"/>
    <cellStyle name="Normal 5 2 2 3 4 5" xfId="2105" xr:uid="{00000000-0005-0000-0000-00006A020000}"/>
    <cellStyle name="Normal 5 2 2 3 4 5 2" xfId="4659" xr:uid="{67E9FDA9-5A2B-445D-B40D-93E8A98A8238}"/>
    <cellStyle name="Normal 5 2 2 3 4 5 3" xfId="30186" xr:uid="{4CB0E304-139B-42D7-9A87-E169EFE7D601}"/>
    <cellStyle name="Normal 5 2 2 3 4 5 3 2" xfId="31330" xr:uid="{0F5135EB-14E6-42DE-B2B0-75C666FB0A17}"/>
    <cellStyle name="Normal 5 2 2 3 4 5 4" xfId="31526" xr:uid="{E4FC8698-639F-4C7B-A547-7219F1D50986}"/>
    <cellStyle name="Normal 5 2 2 3 4 5 5" xfId="31820" xr:uid="{8DF821CB-A78C-498E-B597-1C93D93AFD4C}"/>
    <cellStyle name="Normal 5 2 2 3 4 6" xfId="4003" xr:uid="{483D2F10-7048-47B5-8EC8-C27C7ED5C5D2}"/>
    <cellStyle name="Normal 5 2 2 3 4 6 2" xfId="4722" xr:uid="{9099B238-0B4B-4E4D-B266-C731E14F65F2}"/>
    <cellStyle name="Normal 5 2 2 3 4 6 3" xfId="30306" xr:uid="{CE79C3A2-8FAA-47C3-A986-94ABFF393284}"/>
    <cellStyle name="Normal 5 2 2 3 4 6 3 2" xfId="31449" xr:uid="{6D797409-02BE-47A8-973D-58729081A7B3}"/>
    <cellStyle name="Normal 5 2 2 3 4 6 4" xfId="31646" xr:uid="{F8C769A2-8633-48D8-9C86-DFE6F04F67C4}"/>
    <cellStyle name="Normal 5 2 2 3 4 6 5" xfId="31940" xr:uid="{D2C4F953-1B75-4008-AE6F-38C4170A0D30}"/>
    <cellStyle name="Normal 5 2 2 3 4 7" xfId="30127" xr:uid="{920D9317-59AD-4444-9F3B-B0AB3DA1419C}"/>
    <cellStyle name="Normal 5 2 2 3 4 7 2" xfId="30489" xr:uid="{2D2D5388-0491-48DD-9BA0-7F231209010E}"/>
    <cellStyle name="Normal 5 2 2 3 4 8" xfId="31761" xr:uid="{921242F0-2EDD-4524-BA41-55813294BF21}"/>
    <cellStyle name="Normal 5 2 2 3 5" xfId="2067" xr:uid="{00000000-0005-0000-0000-00005D020000}"/>
    <cellStyle name="Normal 5 2 2 3 5 2" xfId="4745" xr:uid="{D9BCE5B0-F41F-41F6-A6AC-41E5B78235A9}"/>
    <cellStyle name="Normal 5 2 2 3 5 3" xfId="30167" xr:uid="{F6DDC9EB-CD6C-4D04-8F67-4FD996169366}"/>
    <cellStyle name="Normal 5 2 2 3 5 3 2" xfId="30491" xr:uid="{063E2B6E-8838-4EF2-91BA-1A4AB6C209F2}"/>
    <cellStyle name="Normal 5 2 2 3 5 4" xfId="31507" xr:uid="{4C9C7E84-AA75-41E2-BFB1-21A740FAD8B6}"/>
    <cellStyle name="Normal 5 2 2 3 5 5" xfId="31801" xr:uid="{6BE66918-6C91-4F9F-A5D2-EF2F1294EF6E}"/>
    <cellStyle name="Normal 5 2 2 3 6" xfId="30104" xr:uid="{93BD7124-346B-4FA7-9E75-822A18739E86}"/>
    <cellStyle name="Normal 5 2 2 3 6 2" xfId="30472" xr:uid="{B7FC6D84-3823-4E1F-9CD2-CD3763CCF30A}"/>
    <cellStyle name="Normal 5 2 2 3 7" xfId="31745" xr:uid="{057B4325-5EC6-42D9-9B2D-E352BE37FCC4}"/>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3 3 3" xfId="30248" xr:uid="{A9BCBA25-83A3-4A30-9CD3-15C108FB8C79}"/>
    <cellStyle name="Normal 5 2 2 4 3 2 3 3 3 2" xfId="31391" xr:uid="{05EB7F35-34C6-4A04-A0F4-C81EF4E61930}"/>
    <cellStyle name="Normal 5 2 2 4 3 2 3 3 4" xfId="31588" xr:uid="{75B07DF1-2E2E-4D26-A331-293EB1A84567}"/>
    <cellStyle name="Normal 5 2 2 4 3 2 3 3 5" xfId="31882" xr:uid="{46E5480F-E29D-460A-9999-9AAA3602A104}"/>
    <cellStyle name="Normal 5 2 2 4 3 2 4" xfId="24571" xr:uid="{CA10D6C3-1290-4ABF-AABF-26E17988ED1A}"/>
    <cellStyle name="Normal 5 2 2 4 3 3" xfId="1085" xr:uid="{00000000-0005-0000-0000-0000F5050000}"/>
    <cellStyle name="Normal 5 2 2 4 3 4" xfId="2952" xr:uid="{00000000-0005-0000-0000-0000E8060000}"/>
    <cellStyle name="Normal 5 2 2 4 3 4 2" xfId="31278" xr:uid="{5827531A-151D-490E-B9CC-5F64E61F31DF}"/>
    <cellStyle name="Normal 5 2 2 4 3 5" xfId="2108" xr:uid="{00000000-0005-0000-0000-000070020000}"/>
    <cellStyle name="Normal 5 2 2 4 3 5 2" xfId="4630" xr:uid="{CB491582-F2CB-4E36-BE6E-EFC681D7156D}"/>
    <cellStyle name="Normal 5 2 2 4 3 5 3" xfId="30189" xr:uid="{3AAE0EAE-E8B5-495C-B313-D9EF9D9CAB64}"/>
    <cellStyle name="Normal 5 2 2 4 3 5 3 2" xfId="31333" xr:uid="{0267AC5B-64C6-4486-ADCE-246F465FDD47}"/>
    <cellStyle name="Normal 5 2 2 4 3 5 4" xfId="31529" xr:uid="{9CB041FA-68C5-4343-A51A-DA27C8958F9D}"/>
    <cellStyle name="Normal 5 2 2 4 3 5 5" xfId="31823" xr:uid="{B74CAEC4-3C70-4398-9709-39AFEC9236D9}"/>
    <cellStyle name="Normal 5 2 2 4 3 6" xfId="4006" xr:uid="{D558FD0F-23C1-46DD-B9F0-9F8795729785}"/>
    <cellStyle name="Normal 5 2 2 4 3 6 2" xfId="4714" xr:uid="{B120F520-B966-4AD5-8EBE-409F270073F9}"/>
    <cellStyle name="Normal 5 2 2 4 3 6 3" xfId="30309" xr:uid="{699D5CA2-FACA-4377-99AD-77942E973491}"/>
    <cellStyle name="Normal 5 2 2 4 3 6 3 2" xfId="31452" xr:uid="{5F533371-818D-4244-ABD4-7A17DD389363}"/>
    <cellStyle name="Normal 5 2 2 4 3 6 4" xfId="31649" xr:uid="{EB53F69C-BF68-4DCA-85B3-F9FB5F32E27C}"/>
    <cellStyle name="Normal 5 2 2 4 3 6 5" xfId="31943" xr:uid="{C04D5001-5F62-4BB5-AD2B-507BC7A6138C}"/>
    <cellStyle name="Normal 5 2 2 4 3 7" xfId="30130" xr:uid="{BDE27110-9B13-48B7-8653-B497F720F538}"/>
    <cellStyle name="Normal 5 2 2 4 3 7 2" xfId="30493" xr:uid="{FD9D9EF5-F197-45A3-BC3A-5650DE888412}"/>
    <cellStyle name="Normal 5 2 2 4 3 8" xfId="31764" xr:uid="{8D74E39C-E9F8-4494-970C-42D42ACBF958}"/>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4 3 3" xfId="30249" xr:uid="{33C48EDD-9586-4230-8BA4-66265587F273}"/>
    <cellStyle name="Normal 5 2 2 4 4 3 3 2" xfId="31392" xr:uid="{922174FC-994D-4960-94F6-152FE500B889}"/>
    <cellStyle name="Normal 5 2 2 4 4 3 4" xfId="31589" xr:uid="{E291B842-5ED4-4126-8BEA-A2175FDD78C9}"/>
    <cellStyle name="Normal 5 2 2 4 4 3 5" xfId="31883" xr:uid="{5A636884-E186-43AF-848D-40533DDDB79C}"/>
    <cellStyle name="Normal 5 2 2 4 5" xfId="2107" xr:uid="{00000000-0005-0000-0000-00006E020000}"/>
    <cellStyle name="Normal 5 2 2 4 5 2" xfId="4679" xr:uid="{1C1F360D-C6E5-496D-8E0B-7C61EF688A4B}"/>
    <cellStyle name="Normal 5 2 2 4 5 3" xfId="30188" xr:uid="{2FA02E78-E05B-4D87-8A46-DB8A8ADCC86C}"/>
    <cellStyle name="Normal 5 2 2 4 5 3 2" xfId="31332" xr:uid="{FBB927C5-8BB1-4180-BA69-EEF312036142}"/>
    <cellStyle name="Normal 5 2 2 4 5 4" xfId="31528" xr:uid="{8FFD126D-2DEA-4100-A5CD-7641C553E7A8}"/>
    <cellStyle name="Normal 5 2 2 4 5 5" xfId="31822" xr:uid="{BAE36E74-43C4-4028-BD44-347BA43D80DD}"/>
    <cellStyle name="Normal 5 2 2 4 6" xfId="4005" xr:uid="{487C8B09-2829-42FC-9B86-25DB3AB10663}"/>
    <cellStyle name="Normal 5 2 2 4 6 2" xfId="4778" xr:uid="{C7B64242-53F0-4D37-B483-14A3329CCC0F}"/>
    <cellStyle name="Normal 5 2 2 4 6 3" xfId="30308" xr:uid="{A106EA70-5CF5-4F4F-839A-1F540D6AFC82}"/>
    <cellStyle name="Normal 5 2 2 4 6 3 2" xfId="31451" xr:uid="{E6C509AA-8B5E-4123-B775-483D5B730539}"/>
    <cellStyle name="Normal 5 2 2 4 6 4" xfId="31648" xr:uid="{8920FE63-A71F-4725-A7D7-BA468668BA0F}"/>
    <cellStyle name="Normal 5 2 2 4 6 5" xfId="31942" xr:uid="{241402A0-EC53-4140-B3CB-5A2E0E265C3E}"/>
    <cellStyle name="Normal 5 2 2 4 7" xfId="30129" xr:uid="{2236E3FF-3A86-4CD1-98F1-1886F111A065}"/>
    <cellStyle name="Normal 5 2 2 4 7 2" xfId="30492" xr:uid="{45FC10F0-4741-45B2-BDBE-913619A599F3}"/>
    <cellStyle name="Normal 5 2 2 4 8" xfId="31763" xr:uid="{AA7EB73C-BBDE-4608-9B4C-41CDE22B31DF}"/>
    <cellStyle name="Normal 5 2 2 5" xfId="29602" xr:uid="{51A7D0CB-4AEF-4815-897D-E9DF6C04761B}"/>
    <cellStyle name="Normal 5 2 2 5 2" xfId="29633" xr:uid="{4D46F027-DFAF-43F3-8432-E8ADA4FEF75B}"/>
    <cellStyle name="Normal 5 2 2 5 3" xfId="30358" xr:uid="{B88E4284-E474-4823-9891-BF93F08DC332}"/>
    <cellStyle name="Normal 5 2 2 5 3 2" xfId="30494" xr:uid="{31576F81-3AEC-4A0F-9C51-2A5DB1814C7E}"/>
    <cellStyle name="Normal 5 2 2 5 4" xfId="31992" xr:uid="{120DEC9F-9354-4688-A037-C84E42C97F21}"/>
    <cellStyle name="Normal 5 2 2 6" xfId="31499" xr:uid="{2BB411DD-5D15-4B7F-BAEC-F1A8EC41C4E3}"/>
    <cellStyle name="Normal 5 2 2 7" xfId="31741" xr:uid="{29AF3C1D-838A-492E-90FB-251697FC5BB9}"/>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3 3 3" xfId="30250" xr:uid="{8E939996-71BD-47CE-9BF4-4ED640E9C488}"/>
    <cellStyle name="Normal 5 2 4 3 2 3 2 3 3 3 2" xfId="31393" xr:uid="{E5FDB7D8-82CC-42F9-B24A-1AB0B72AE30F}"/>
    <cellStyle name="Normal 5 2 4 3 2 3 2 3 3 4" xfId="31590" xr:uid="{169BD90C-78A7-48C8-8B4D-B8A3362C27BE}"/>
    <cellStyle name="Normal 5 2 4 3 2 3 2 3 3 5" xfId="31884" xr:uid="{F987242A-7FC3-4269-978F-5DE82990D9E8}"/>
    <cellStyle name="Normal 5 2 4 3 2 3 2 4" xfId="23146" xr:uid="{70717655-02F4-404C-95BB-4DB5536E3E99}"/>
    <cellStyle name="Normal 5 2 4 3 2 3 3" xfId="1101" xr:uid="{00000000-0005-0000-0000-000006060000}"/>
    <cellStyle name="Normal 5 2 4 3 2 3 4" xfId="2954" xr:uid="{00000000-0005-0000-0000-0000F4060000}"/>
    <cellStyle name="Normal 5 2 4 3 2 3 4 2" xfId="31279" xr:uid="{51508AF3-39AA-43A7-A514-BBE022261B7A}"/>
    <cellStyle name="Normal 5 2 4 3 2 3 5" xfId="2110" xr:uid="{00000000-0005-0000-0000-000079020000}"/>
    <cellStyle name="Normal 5 2 4 3 2 3 5 2" xfId="4629" xr:uid="{D9BC3CB2-5DA1-450C-BCAA-C84E226AB1E6}"/>
    <cellStyle name="Normal 5 2 4 3 2 3 5 3" xfId="30191" xr:uid="{2FCB911F-22F5-4527-8AEA-8BB8AA3518F0}"/>
    <cellStyle name="Normal 5 2 4 3 2 3 5 3 2" xfId="31335" xr:uid="{C304E2DA-C317-4027-B01C-219F31AF267C}"/>
    <cellStyle name="Normal 5 2 4 3 2 3 5 4" xfId="31531" xr:uid="{0DF2BB2A-E61A-4C92-BAFA-3A88549AEB66}"/>
    <cellStyle name="Normal 5 2 4 3 2 3 5 5" xfId="31825" xr:uid="{FA92CFA6-C212-4156-99EE-6A03BE725958}"/>
    <cellStyle name="Normal 5 2 4 3 2 3 6" xfId="4008" xr:uid="{993A1062-C514-464B-A529-806C1AF30B6A}"/>
    <cellStyle name="Normal 5 2 4 3 2 3 6 2" xfId="4694" xr:uid="{C18C23D0-B407-4C1A-B972-7E83A621B743}"/>
    <cellStyle name="Normal 5 2 4 3 2 3 6 3" xfId="30311" xr:uid="{487F42B9-1B4B-44C3-988E-42342B8A86DF}"/>
    <cellStyle name="Normal 5 2 4 3 2 3 6 3 2" xfId="31454" xr:uid="{27CFB7E5-D04B-4E2D-9DC7-CDEAC6CF78C9}"/>
    <cellStyle name="Normal 5 2 4 3 2 3 6 4" xfId="31651" xr:uid="{4D303C41-AC8E-454A-A937-02A3DD263DCF}"/>
    <cellStyle name="Normal 5 2 4 3 2 3 6 5" xfId="31945" xr:uid="{10DE5A57-AF9B-426F-8DAA-58948AA20097}"/>
    <cellStyle name="Normal 5 2 4 3 2 3 7" xfId="30132" xr:uid="{83341974-E50B-44D0-9696-9A6A4FF79FC7}"/>
    <cellStyle name="Normal 5 2 4 3 2 3 7 2" xfId="30496" xr:uid="{62A7FCD7-3DD3-460C-A526-2E072EA83AC6}"/>
    <cellStyle name="Normal 5 2 4 3 2 3 8" xfId="31766" xr:uid="{85D1DC84-2E84-4DAD-9A80-773144FA5BFA}"/>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4 3 3 3" xfId="30388" xr:uid="{1139EB9C-6328-4471-8AA4-7F81A5EA54F4}"/>
    <cellStyle name="Normal 5 2 4 3 2 4 3 3 4" xfId="30375" xr:uid="{E276286F-A8BD-43EF-B465-B006F70E65A1}"/>
    <cellStyle name="Normal 5 2 4 3 2 4 3 3 4 2" xfId="31714" xr:uid="{71AE4F98-CC52-4A8A-914B-1B3A2FF29A1C}"/>
    <cellStyle name="Normal 5 2 4 3 2 4 3 3 5" xfId="32009" xr:uid="{A4A8B685-D2B9-4A9C-9FD7-90A499EB24BA}"/>
    <cellStyle name="Normal 5 2 4 3 2 4 3 4" xfId="30359" xr:uid="{BB7BBCD9-B969-4973-A8B6-6CB722F841E4}"/>
    <cellStyle name="Normal 5 2 4 3 2 4 3 4 2" xfId="31700" xr:uid="{F60ECDD6-7D39-47D2-80B0-FE4508F286D8}"/>
    <cellStyle name="Normal 5 2 4 3 2 4 3 5" xfId="31993" xr:uid="{44EF1CE0-41C2-405F-BA2E-FBB0AC73B3B5}"/>
    <cellStyle name="Normal 5 2 4 3 2 5" xfId="2109" xr:uid="{00000000-0005-0000-0000-000077020000}"/>
    <cellStyle name="Normal 5 2 4 3 2 5 2" xfId="4634" xr:uid="{CE0C5B6A-2719-4A04-925F-57872C2DEC2B}"/>
    <cellStyle name="Normal 5 2 4 3 2 5 3" xfId="30190" xr:uid="{6A370297-6A41-4E24-B999-B6EBAA07B436}"/>
    <cellStyle name="Normal 5 2 4 3 2 5 3 2" xfId="31334" xr:uid="{966323EF-1FDA-4294-B815-716BB4BA52AC}"/>
    <cellStyle name="Normal 5 2 4 3 2 5 4" xfId="31530" xr:uid="{08096505-C56A-4159-AECA-7DFEAECA569B}"/>
    <cellStyle name="Normal 5 2 4 3 2 5 5" xfId="31824" xr:uid="{A53769D7-EEF3-4E8F-8C88-562622BAD983}"/>
    <cellStyle name="Normal 5 2 4 3 2 6" xfId="4007" xr:uid="{21BCC244-DE2D-4E05-B4CA-800C7ACB717D}"/>
    <cellStyle name="Normal 5 2 4 3 2 6 2" xfId="4809" xr:uid="{FE4BE598-DEBE-491E-8102-65FC12E0DC06}"/>
    <cellStyle name="Normal 5 2 4 3 2 6 3" xfId="30310" xr:uid="{F505CACC-2E7E-4908-B592-B7E4ACA029E0}"/>
    <cellStyle name="Normal 5 2 4 3 2 6 3 2" xfId="31453" xr:uid="{39A1DB0C-5820-4471-897E-0EF9158064D9}"/>
    <cellStyle name="Normal 5 2 4 3 2 6 4" xfId="31650" xr:uid="{5F240F98-984C-4E11-894B-FD68B60B2DC6}"/>
    <cellStyle name="Normal 5 2 4 3 2 6 5" xfId="31944" xr:uid="{E00381A7-CF8F-4507-89A3-9D785BAE9134}"/>
    <cellStyle name="Normal 5 2 4 3 2 7" xfId="30131" xr:uid="{C81275DE-CA30-40D7-AD33-FAB62E0FACED}"/>
    <cellStyle name="Normal 5 2 4 3 2 7 2" xfId="30495" xr:uid="{8AAC8AE9-2926-47D6-87B5-9E837B1CDB4A}"/>
    <cellStyle name="Normal 5 2 4 3 2 8" xfId="31765" xr:uid="{5C4116CA-E0C6-4C1D-80BF-DAC6885F3B16}"/>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2 2" xfId="30092" xr:uid="{00FBE9D4-901D-40C4-AE9A-A01535727F0E}"/>
    <cellStyle name="Normal 5 2 4 3 4 2 2 2 3" xfId="3726" xr:uid="{00000000-0005-0000-0000-000077050000}"/>
    <cellStyle name="Normal 5 2 4 3 4 2 2 2 3 2" xfId="4700" xr:uid="{D86AE0E5-80AB-45CC-BB51-27009840DF19}"/>
    <cellStyle name="Normal 5 2 4 3 4 2 2 2 3 3" xfId="30251" xr:uid="{A5913D0B-F3AB-4685-B461-6789188CB0C7}"/>
    <cellStyle name="Normal 5 2 4 3 4 2 2 2 3 3 2" xfId="31394" xr:uid="{607078C3-D295-4A84-8F6C-C1F600B3DD7A}"/>
    <cellStyle name="Normal 5 2 4 3 4 2 2 2 3 4" xfId="31591" xr:uid="{A5395D31-9BC9-49DA-9AD2-437533C755D4}"/>
    <cellStyle name="Normal 5 2 4 3 4 2 2 2 3 5" xfId="31885" xr:uid="{7507EE1C-BDCB-4744-ADE7-CAC7706233C1}"/>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4 3" xfId="30193" xr:uid="{CFC6C10D-19C1-4175-B722-F9F6FF830FDB}"/>
    <cellStyle name="Normal 5 2 4 3 4 2 3 4 3 2" xfId="31337" xr:uid="{DE48491A-8E71-4D53-BF3A-74F36656ED66}"/>
    <cellStyle name="Normal 5 2 4 3 4 2 3 4 4" xfId="31533" xr:uid="{28552DF3-DBCC-498D-A367-6FA965B21C26}"/>
    <cellStyle name="Normal 5 2 4 3 4 2 3 4 5" xfId="31827" xr:uid="{4F60F246-F3AD-40E1-8F70-60FF2A30D287}"/>
    <cellStyle name="Normal 5 2 4 3 4 2 3 5" xfId="25282" xr:uid="{C7B4FAF3-1BA0-45BB-BA6F-44260C736B84}"/>
    <cellStyle name="Normal 5 2 4 3 4 2 3 6" xfId="30538" xr:uid="{63E07DC7-F18F-4505-A38A-112CFA74FEBB}"/>
    <cellStyle name="Normal 5 2 4 3 4 2 4" xfId="23058" xr:uid="{C7716834-6B7F-4C7C-AB0F-D110ACFBAC7A}"/>
    <cellStyle name="Normal 5 2 4 3 4 3" xfId="1111" xr:uid="{00000000-0005-0000-0000-000012060000}"/>
    <cellStyle name="Normal 5 2 4 3 4 4" xfId="2955" xr:uid="{00000000-0005-0000-0000-0000FD060000}"/>
    <cellStyle name="Normal 5 2 4 3 4 4 2" xfId="31284" xr:uid="{853362D5-299F-4808-978A-B0AF91C9FCCD}"/>
    <cellStyle name="Normal 5 2 4 3 4 5" xfId="2111" xr:uid="{00000000-0005-0000-0000-00007C020000}"/>
    <cellStyle name="Normal 5 2 4 3 4 5 2" xfId="4640" xr:uid="{9499810A-4B41-448D-89FA-46D00AE72935}"/>
    <cellStyle name="Normal 5 2 4 3 4 5 3" xfId="30192" xr:uid="{13D06800-6809-4CE8-A6F4-CD71FDE8EAC6}"/>
    <cellStyle name="Normal 5 2 4 3 4 5 3 2" xfId="31336" xr:uid="{F5FBEC01-0219-4E30-92D7-6771A93AA2AE}"/>
    <cellStyle name="Normal 5 2 4 3 4 5 4" xfId="31532" xr:uid="{FACAD6D8-BE20-4E78-A39A-9835E1A36A9E}"/>
    <cellStyle name="Normal 5 2 4 3 4 5 5" xfId="31826" xr:uid="{32E8BD59-8262-43DD-B34C-28EC0BEFDACF}"/>
    <cellStyle name="Normal 5 2 4 3 4 6" xfId="4009" xr:uid="{F6561F36-B5FA-449D-8623-6523BDF6513B}"/>
    <cellStyle name="Normal 5 2 4 3 4 6 2" xfId="4822" xr:uid="{2C1739FD-A387-4815-9D44-5238B913A269}"/>
    <cellStyle name="Normal 5 2 4 3 4 6 3" xfId="30312" xr:uid="{E1453DD1-D0D4-41B1-96A4-D543CB7B3645}"/>
    <cellStyle name="Normal 5 2 4 3 4 6 3 2" xfId="31455" xr:uid="{58F3D4EC-46BD-4B36-8C1D-A3BFAD097151}"/>
    <cellStyle name="Normal 5 2 4 3 4 6 4" xfId="31652" xr:uid="{740B3970-8CB7-4886-90DB-201FFA1F7212}"/>
    <cellStyle name="Normal 5 2 4 3 4 6 5" xfId="31946" xr:uid="{68EDFAD8-C96B-486B-8E30-969D04F2E6F6}"/>
    <cellStyle name="Normal 5 2 4 3 4 7" xfId="30133" xr:uid="{0FF9C2E0-D12A-4ABC-95BB-3755B3F83C84}"/>
    <cellStyle name="Normal 5 2 4 3 4 7 2" xfId="30497" xr:uid="{FC91A448-0B30-4A6D-BA82-B1E29BB27650}"/>
    <cellStyle name="Normal 5 2 4 3 4 8" xfId="31767" xr:uid="{F4BF3ECB-B673-4B2C-AC1B-3B48C6349E47}"/>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3" xfId="25641" xr:uid="{DFF53FD4-FEAE-46B9-BCF3-B4723EA48D7C}"/>
    <cellStyle name="Normal 5 2 4 3 5 3 4" xfId="30252" xr:uid="{E82F2118-577E-4536-B0CB-18761AB513DD}"/>
    <cellStyle name="Normal 5 2 4 3 5 3 4 2" xfId="31395" xr:uid="{AB0E8E94-3AAB-4649-AC96-B3051481793B}"/>
    <cellStyle name="Normal 5 2 4 3 5 3 5" xfId="31592" xr:uid="{A3F63B78-3266-4C42-90CB-09F9D2C3C287}"/>
    <cellStyle name="Normal 5 2 4 3 5 3 6" xfId="31886" xr:uid="{2F28F5E8-258E-478C-8BD3-1ED379DFE28E}"/>
    <cellStyle name="Normal 5 2 4 3 5 4" xfId="24430"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3 3 3" xfId="30253" xr:uid="{3371D826-E6D0-4F85-B3CB-12EC5DC11E04}"/>
    <cellStyle name="Normal 5 2 4 4 3 2 3 3 3 2" xfId="31396" xr:uid="{9F866689-093F-47B5-BB7A-A67F81465E01}"/>
    <cellStyle name="Normal 5 2 4 4 3 2 3 3 4" xfId="31593" xr:uid="{DF05E4B7-CFDF-423C-9FBA-EF6B9FF57097}"/>
    <cellStyle name="Normal 5 2 4 4 3 2 3 3 5" xfId="31887" xr:uid="{56119B9C-9AF5-4D49-928D-3177A4C0EEFB}"/>
    <cellStyle name="Normal 5 2 4 4 3 2 4" xfId="24799" xr:uid="{868BB01E-4989-41C7-8624-51DC12DB0459}"/>
    <cellStyle name="Normal 5 2 4 4 3 3" xfId="1120" xr:uid="{00000000-0005-0000-0000-00001C060000}"/>
    <cellStyle name="Normal 5 2 4 4 3 4" xfId="2956" xr:uid="{00000000-0005-0000-0000-000003070000}"/>
    <cellStyle name="Normal 5 2 4 4 3 4 2" xfId="31274" xr:uid="{FA2917AE-C3BA-4BE1-A1E6-01DBDC065E54}"/>
    <cellStyle name="Normal 5 2 4 4 3 5" xfId="2114" xr:uid="{00000000-0005-0000-0000-000083020000}"/>
    <cellStyle name="Normal 5 2 4 4 3 5 2" xfId="3783" xr:uid="{D037D556-2DF5-490C-8D04-4D0D0B902C7F}"/>
    <cellStyle name="Normal 5 2 4 4 3 5 3" xfId="30195" xr:uid="{ADC3C70D-ACE5-4A69-B04D-15C35B0C6A21}"/>
    <cellStyle name="Normal 5 2 4 4 3 5 3 2" xfId="31339" xr:uid="{3649E89F-2542-4741-8FC6-5FCC29A22267}"/>
    <cellStyle name="Normal 5 2 4 4 3 5 4" xfId="31535" xr:uid="{8641E7A6-2611-4D56-836F-9152DD7762A5}"/>
    <cellStyle name="Normal 5 2 4 4 3 5 5" xfId="31829" xr:uid="{64CA30EE-76C5-46A8-9618-CDFE91B3A122}"/>
    <cellStyle name="Normal 5 2 4 4 3 6" xfId="4011" xr:uid="{48584F99-0955-4DD2-8F83-B7B1E99DDE13}"/>
    <cellStyle name="Normal 5 2 4 4 3 6 2" xfId="4710" xr:uid="{05F490C6-261E-4F3C-99BE-89B9730F2236}"/>
    <cellStyle name="Normal 5 2 4 4 3 6 3" xfId="30314" xr:uid="{56E9FF0F-F58B-4D2E-A832-37CBBFB3815E}"/>
    <cellStyle name="Normal 5 2 4 4 3 6 3 2" xfId="31457" xr:uid="{A5973D2C-5654-4EBD-BEEE-E7F4FF14014D}"/>
    <cellStyle name="Normal 5 2 4 4 3 6 4" xfId="31654" xr:uid="{784DD7EA-AE1F-40B9-95A6-82033FC6AD60}"/>
    <cellStyle name="Normal 5 2 4 4 3 6 5" xfId="31948" xr:uid="{D3BCC432-12BF-496A-92F6-084C1DDB2D60}"/>
    <cellStyle name="Normal 5 2 4 4 3 7" xfId="30135" xr:uid="{043D8D7C-0FB5-4B99-8C37-48CD2D0D46E8}"/>
    <cellStyle name="Normal 5 2 4 4 3 7 2" xfId="30499" xr:uid="{530030F0-59D0-4660-8567-AD5B7CB24B9B}"/>
    <cellStyle name="Normal 5 2 4 4 3 8" xfId="31769" xr:uid="{F5D64472-8EAE-483F-A781-BB3B5AF1E001}"/>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4 3 3" xfId="30254" xr:uid="{E704B8BC-41EA-4454-AEA2-EF033FDE6340}"/>
    <cellStyle name="Normal 5 2 4 4 4 3 3 2" xfId="31397" xr:uid="{16EDD962-7E8E-4EA1-8369-937E3100EBBC}"/>
    <cellStyle name="Normal 5 2 4 4 4 3 4" xfId="31594" xr:uid="{EC278FCC-DA37-4F41-BA29-08FBF8957A8D}"/>
    <cellStyle name="Normal 5 2 4 4 4 3 5" xfId="31888" xr:uid="{758C3C2E-DAD9-4A6D-BD67-598EA8A8BA3F}"/>
    <cellStyle name="Normal 5 2 4 4 5" xfId="1123" xr:uid="{00000000-0005-0000-0000-00001F060000}"/>
    <cellStyle name="Normal 5 2 4 4 5 2" xfId="4685" xr:uid="{00564EB2-1CAC-4E4B-B4B3-F5A40DFD44F8}"/>
    <cellStyle name="Normal 5 2 4 4 5 2 2" xfId="4826" xr:uid="{83E1FB17-2E9A-4803-B6F4-091CC3A05E18}"/>
    <cellStyle name="Normal 5 2 4 4 5 2 3" xfId="30352" xr:uid="{6DA91CAE-6F39-4002-B1F0-4B89033CE666}"/>
    <cellStyle name="Normal 5 2 4 4 5 2 3 2" xfId="31492" xr:uid="{383E5E58-7C91-413E-8FD2-3A67B7B19328}"/>
    <cellStyle name="Normal 5 2 4 4 5 2 4" xfId="31692" xr:uid="{20B02469-8862-47FA-AED8-8278520D8ED1}"/>
    <cellStyle name="Normal 5 2 4 4 5 2 5" xfId="31986" xr:uid="{2C09AC3E-6949-405F-8308-BB0E9F0A6D8D}"/>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6 3" xfId="30194" xr:uid="{C315FB79-57F9-4A65-8EAE-6F681E6F5074}"/>
    <cellStyle name="Normal 5 2 4 4 6 3 2" xfId="31338" xr:uid="{BDB4D344-5AF5-4D2B-8B4E-5754C69F2E50}"/>
    <cellStyle name="Normal 5 2 4 4 6 4" xfId="31534" xr:uid="{B5BD0CD0-E8AF-4AEB-A2ED-0582CF3CA95A}"/>
    <cellStyle name="Normal 5 2 4 4 6 5" xfId="31828" xr:uid="{5AD8C2B0-DF03-4ECA-A5A4-2A4C3C4AF1D2}"/>
    <cellStyle name="Normal 5 2 4 4 7" xfId="4010" xr:uid="{AD80C160-AEC5-4928-B410-574B477C1DBC}"/>
    <cellStyle name="Normal 5 2 4 4 7 2" xfId="4787" xr:uid="{F6E3D3A6-20C3-4DDD-A8D0-C82F8B32B771}"/>
    <cellStyle name="Normal 5 2 4 4 7 3" xfId="30313" xr:uid="{2CBF5DFB-D0DB-46CD-865F-1F5D4869B49D}"/>
    <cellStyle name="Normal 5 2 4 4 7 3 2" xfId="31456" xr:uid="{28056046-37C5-4210-A45E-87C91033B72C}"/>
    <cellStyle name="Normal 5 2 4 4 7 4" xfId="31653" xr:uid="{4A0F218C-119A-4271-A509-C12DF0B83723}"/>
    <cellStyle name="Normal 5 2 4 4 7 5" xfId="31947" xr:uid="{ECE19079-B873-4FBA-8B3F-B63A66B9D28F}"/>
    <cellStyle name="Normal 5 2 4 4 8" xfId="30134" xr:uid="{2E70D3D9-38AE-4F46-AE0C-D4B00782AB6B}"/>
    <cellStyle name="Normal 5 2 4 4 8 2" xfId="30498" xr:uid="{FF04236F-3AE0-4DDD-A3DA-183F84BE2F5D}"/>
    <cellStyle name="Normal 5 2 4 4 9" xfId="31768" xr:uid="{BA437488-0F82-4D3B-9F1C-1ECAB06CE8B1}"/>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5 3 3" xfId="30255" xr:uid="{6575DB17-95F3-4C95-905B-3ABC9211C442}"/>
    <cellStyle name="Normal 5 2 4 5 3 3 2" xfId="31398" xr:uid="{DE834904-B2BD-403C-9730-C8010FF03FF0}"/>
    <cellStyle name="Normal 5 2 4 5 3 4" xfId="31595" xr:uid="{F648D83E-0FF1-4AAA-9876-4826AC71E7EB}"/>
    <cellStyle name="Normal 5 2 4 5 3 5" xfId="31889" xr:uid="{3CC5A012-FD9E-4C52-B3A6-39056DA0991B}"/>
    <cellStyle name="Normal 5 2 4 5 4" xfId="30461" xr:uid="{15BA9B86-0397-4682-A1E5-049E65187509}"/>
    <cellStyle name="Normal 5 2 4 5 5" xfId="30500" xr:uid="{0311EE71-B5C4-4A8B-9CB9-F51438F5F7D7}"/>
    <cellStyle name="Normal 5 2 4 6" xfId="2068" xr:uid="{00000000-0005-0000-0000-000074020000}"/>
    <cellStyle name="Normal 5 2 4 6 2" xfId="4761" xr:uid="{35A1BC4F-2451-4737-BD49-D3AC91FFB2BF}"/>
    <cellStyle name="Normal 5 2 4 6 3" xfId="30168" xr:uid="{A6018F4F-C528-4905-BDB0-BF5E3AC61E88}"/>
    <cellStyle name="Normal 5 2 4 6 3 2" xfId="31316" xr:uid="{83AC687E-87C2-48AA-9A5B-F5AA4831B64D}"/>
    <cellStyle name="Normal 5 2 4 6 4" xfId="31508" xr:uid="{0746594F-F8C7-4596-9514-82C67CEA6E76}"/>
    <cellStyle name="Normal 5 2 4 6 5" xfId="31802" xr:uid="{FACD236D-9B3C-4890-AFA9-563684DE12DB}"/>
    <cellStyle name="Normal 5 2 4 7" xfId="30113" xr:uid="{342BA205-8867-43D9-9B72-B399D3F5B164}"/>
    <cellStyle name="Normal 5 2 4 7 2" xfId="30473" xr:uid="{BD37669B-A0D9-4854-A41E-C8C8D8D8F3B6}"/>
    <cellStyle name="Normal 5 2 4 8" xfId="31746" xr:uid="{292E00EC-C766-4114-9DE1-CF0907AC02E3}"/>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3 3 3" xfId="30256" xr:uid="{B80B6B77-F421-43D1-972F-1A065BDBB1AC}"/>
    <cellStyle name="Normal 5 2 6 3 2 3 3 3 2" xfId="31399" xr:uid="{6EB86A97-DCE1-4A16-9432-1F99543E9238}"/>
    <cellStyle name="Normal 5 2 6 3 2 3 3 4" xfId="31596" xr:uid="{B6C515EE-3083-4209-8122-BC69D0B770D5}"/>
    <cellStyle name="Normal 5 2 6 3 2 3 3 5" xfId="31890" xr:uid="{916A65CD-70EB-43D7-9F02-B5C5CEE20509}"/>
    <cellStyle name="Normal 5 2 6 3 2 4" xfId="23097" xr:uid="{84EBBAC2-5BAF-4007-9F20-78E3A440C6FD}"/>
    <cellStyle name="Normal 5 2 6 3 3" xfId="1133" xr:uid="{00000000-0005-0000-0000-00002A060000}"/>
    <cellStyle name="Normal 5 2 6 3 4" xfId="2958" xr:uid="{00000000-0005-0000-0000-00000B070000}"/>
    <cellStyle name="Normal 5 2 6 3 4 2" xfId="31281" xr:uid="{0E491AE0-2453-47A6-807A-49B64C0F5E81}"/>
    <cellStyle name="Normal 5 2 6 3 5" xfId="2116" xr:uid="{00000000-0005-0000-0000-000088020000}"/>
    <cellStyle name="Normal 5 2 6 3 5 2" xfId="4643" xr:uid="{55F936E5-2268-4048-890B-2E7F45921A47}"/>
    <cellStyle name="Normal 5 2 6 3 5 3" xfId="30197" xr:uid="{A8DA4185-04D3-45D0-99D2-1ED1AAD9939F}"/>
    <cellStyle name="Normal 5 2 6 3 5 3 2" xfId="31341" xr:uid="{CA9214E1-83A5-4F08-8718-28FA7D00E0BF}"/>
    <cellStyle name="Normal 5 2 6 3 5 4" xfId="31537" xr:uid="{9226D559-0753-4299-B3BF-2E415381B2FD}"/>
    <cellStyle name="Normal 5 2 6 3 5 5" xfId="31831" xr:uid="{1FCB7D3F-2561-44CB-A382-DCAF279AC409}"/>
    <cellStyle name="Normal 5 2 6 3 6" xfId="4013" xr:uid="{28ED6A24-2FD5-4CA1-A14B-0556FD75683B}"/>
    <cellStyle name="Normal 5 2 6 3 6 2" xfId="4702" xr:uid="{B1BE088F-0CAA-4678-941E-5E508D832414}"/>
    <cellStyle name="Normal 5 2 6 3 6 3" xfId="30316" xr:uid="{3495266E-E1CD-4625-9ADF-210DC6DA8762}"/>
    <cellStyle name="Normal 5 2 6 3 6 3 2" xfId="31459" xr:uid="{88902C99-11AB-43A0-AE1B-DC07654E0B23}"/>
    <cellStyle name="Normal 5 2 6 3 6 4" xfId="31656" xr:uid="{566768B4-29FC-49F4-B34F-DAB710351185}"/>
    <cellStyle name="Normal 5 2 6 3 6 5" xfId="31950" xr:uid="{8D59E135-AC2F-4C8D-95DF-E196267D41D7}"/>
    <cellStyle name="Normal 5 2 6 3 7" xfId="30137" xr:uid="{42B1072C-8B2A-4FA2-81EC-269C4E84A3A5}"/>
    <cellStyle name="Normal 5 2 6 3 7 2" xfId="30502" xr:uid="{54FBF52F-2716-45C2-84B6-D21E6196F530}"/>
    <cellStyle name="Normal 5 2 6 3 8" xfId="31771" xr:uid="{49C18D4C-1DD1-4E80-8DDA-1F158696D3FF}"/>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2 3 3" xfId="30389" xr:uid="{F9B0019A-EB20-4842-B28E-89F54920EB78}"/>
    <cellStyle name="Normal 5 2 6 4 2 3 4" xfId="30376" xr:uid="{5FD3BC8F-F873-4B95-A007-369961038735}"/>
    <cellStyle name="Normal 5 2 6 4 2 3 4 2" xfId="31715" xr:uid="{C9092062-1AFC-4823-96DF-C19A312C94F8}"/>
    <cellStyle name="Normal 5 2 6 4 2 3 5" xfId="32010" xr:uid="{F29DABD2-FC4D-473E-BE41-07C25D0C2543}"/>
    <cellStyle name="Normal 5 2 6 4 2 4" xfId="30360" xr:uid="{704420A6-BB13-4C4A-98E2-F5E54ACD7C79}"/>
    <cellStyle name="Normal 5 2 6 4 2 4 2" xfId="31701" xr:uid="{BFDDA610-75E9-4FB0-AECA-C28A0E3EE21C}"/>
    <cellStyle name="Normal 5 2 6 4 2 5" xfId="31994" xr:uid="{3A9D60D4-64F0-4D74-B1FD-EBEE743E818A}"/>
    <cellStyle name="Normal 5 2 6 4 3" xfId="25736" xr:uid="{4B868893-5D9C-42B3-BD3C-3EDE8A95AE5E}"/>
    <cellStyle name="Normal 5 2 6 5" xfId="2115" xr:uid="{00000000-0005-0000-0000-000086020000}"/>
    <cellStyle name="Normal 5 2 6 5 2" xfId="3961" xr:uid="{FFE7DF02-3E33-41D1-A9B4-B30866C5927C}"/>
    <cellStyle name="Normal 5 2 6 5 3" xfId="30196" xr:uid="{E9C91989-B50D-4FEA-A02E-215D82A86398}"/>
    <cellStyle name="Normal 5 2 6 5 3 2" xfId="31340" xr:uid="{A1057280-B42D-4151-91E2-1101E0CD1D18}"/>
    <cellStyle name="Normal 5 2 6 5 4" xfId="31536" xr:uid="{E4FEB8EC-79F4-4159-9C42-EA456D479CB2}"/>
    <cellStyle name="Normal 5 2 6 5 5" xfId="31830" xr:uid="{EAEDF0E9-F29A-40F7-8554-5D892D346481}"/>
    <cellStyle name="Normal 5 2 6 6" xfId="4012" xr:uid="{C0B50273-D7A8-4911-83A8-B33EA77B3B8D}"/>
    <cellStyle name="Normal 5 2 6 6 2" xfId="4768" xr:uid="{B2AFAC66-1BE6-4CD0-9FFF-950CE52A8934}"/>
    <cellStyle name="Normal 5 2 6 6 3" xfId="30315" xr:uid="{766558CD-EAD6-40AD-BA68-9A404E0FB833}"/>
    <cellStyle name="Normal 5 2 6 6 3 2" xfId="31458" xr:uid="{09F532D0-1510-46DA-9DD7-4C6D46EEAB85}"/>
    <cellStyle name="Normal 5 2 6 6 4" xfId="31655" xr:uid="{CDD3E2C2-BDCA-4455-AFE6-F094AEF3D047}"/>
    <cellStyle name="Normal 5 2 6 6 5" xfId="31949" xr:uid="{87933E47-02C1-4815-A61E-BE0C8E7500DF}"/>
    <cellStyle name="Normal 5 2 6 7" xfId="30136" xr:uid="{E209EADA-9019-48FA-A3B0-FD7DD812FC2D}"/>
    <cellStyle name="Normal 5 2 6 7 2" xfId="30501" xr:uid="{806443B8-0098-40D3-A0A9-566A12CC2022}"/>
    <cellStyle name="Normal 5 2 6 8" xfId="31770" xr:uid="{F4650598-2D11-4F90-9C18-87487BE0A704}"/>
    <cellStyle name="Normal 5 2 7" xfId="1134" xr:uid="{00000000-0005-0000-0000-00002B060000}"/>
    <cellStyle name="Normal 5 2 7 2" xfId="1135" xr:uid="{00000000-0005-0000-0000-00002C060000}"/>
    <cellStyle name="Normal 5 2 7 2 2" xfId="30568" xr:uid="{EFFE7416-A60C-4E91-9C16-93A8F1582E4A}"/>
    <cellStyle name="Normal 5 2 7 2 2 2" xfId="30911" xr:uid="{B189041D-921E-4278-AAEF-960878300956}"/>
    <cellStyle name="Normal 5 2 7 3" xfId="1136" xr:uid="{00000000-0005-0000-0000-00002D060000}"/>
    <cellStyle name="Normal 5 2 7 3 2" xfId="31303" xr:uid="{34BD8BB5-E918-46B8-B0DF-8A393CE8E137}"/>
    <cellStyle name="Normal 5 2 7 4" xfId="3732" xr:uid="{00000000-0005-0000-0000-000095050000}"/>
    <cellStyle name="Normal 5 2 7 4 2" xfId="4773" xr:uid="{5E06A59F-611A-44B3-A971-E98276EE6A1C}"/>
    <cellStyle name="Normal 5 2 7 4 3" xfId="30257" xr:uid="{0B3F8B24-1002-4B57-966D-2232D44A5100}"/>
    <cellStyle name="Normal 5 2 7 4 3 2" xfId="31400" xr:uid="{AF1E7F16-F380-4E11-96CC-725B4E0771E5}"/>
    <cellStyle name="Normal 5 2 7 4 4" xfId="31597" xr:uid="{3DFA295E-7844-49B0-8B82-BE58EA95FF05}"/>
    <cellStyle name="Normal 5 2 7 4 5" xfId="31891" xr:uid="{129F469F-E454-4933-9412-0089E4D39FEB}"/>
    <cellStyle name="Normal 5 2 7 5" xfId="29605" xr:uid="{0A6BA937-6FA9-46C5-B401-7A4E2A3B41BE}"/>
    <cellStyle name="Normal 5 2 7 5 2" xfId="29636" xr:uid="{35914BEE-4FA7-4AE4-8E19-11A63582B5DB}"/>
    <cellStyle name="Normal 5 2 7 5 3" xfId="30361" xr:uid="{7D9FA1DC-0177-4EB4-91BF-12DA7B230617}"/>
    <cellStyle name="Normal 5 2 7 5 3 2" xfId="31249" xr:uid="{596C7602-7F83-46A5-B111-7EE427D394BC}"/>
    <cellStyle name="Normal 5 2 7 5 4" xfId="30462" xr:uid="{EE1BBC0C-DEC6-48E2-9E76-8915452D4F3C}"/>
    <cellStyle name="Normal 5 2 7 5 5" xfId="31995" xr:uid="{F55F42EB-AD84-4B0C-8D75-6C8D9561F7F2}"/>
    <cellStyle name="Normal 5 2 7 6" xfId="30466" xr:uid="{B67CE484-5AAE-4B38-A64C-FCA93C257D22}"/>
    <cellStyle name="Normal 5 2 7 7" xfId="30503" xr:uid="{F7491843-7F9F-43C5-8AC2-233B453AC06B}"/>
    <cellStyle name="Normal 5 2 8" xfId="31264" xr:uid="{3941616B-0E99-4AFF-91D2-813ADB9BBB4A}"/>
    <cellStyle name="Normal 5 2 9" xfId="31498"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3 3 3" xfId="30258" xr:uid="{53839113-09EB-44FD-9EEB-21FE5DD300D4}"/>
    <cellStyle name="Normal 5 3 3 2 3 2 3 3 3 2" xfId="31401" xr:uid="{43EB51E9-16CE-41A9-A7B7-D8DAA664D14C}"/>
    <cellStyle name="Normal 5 3 3 2 3 2 3 3 4" xfId="31598" xr:uid="{B617D199-4CED-4730-8A7F-1F5E3EB22FE3}"/>
    <cellStyle name="Normal 5 3 3 2 3 2 3 3 5" xfId="31892" xr:uid="{5969C7B7-F3B5-4254-A1EC-D0935ADF6B29}"/>
    <cellStyle name="Normal 5 3 3 2 3 2 4" xfId="25763" xr:uid="{228DCD5C-5DC3-4868-97DD-445981D2F756}"/>
    <cellStyle name="Normal 5 3 3 2 3 3" xfId="1146" xr:uid="{00000000-0005-0000-0000-000038060000}"/>
    <cellStyle name="Normal 5 3 3 2 3 4" xfId="2959" xr:uid="{00000000-0005-0000-0000-000015070000}"/>
    <cellStyle name="Normal 5 3 3 2 3 4 2" xfId="31280" xr:uid="{10A152D0-5DF9-4181-A6B6-C858B6F9085A}"/>
    <cellStyle name="Normal 5 3 3 2 3 5" xfId="2118" xr:uid="{00000000-0005-0000-0000-00008F020000}"/>
    <cellStyle name="Normal 5 3 3 2 3 5 2" xfId="4667" xr:uid="{9506A050-893F-44B9-8047-501E583497C1}"/>
    <cellStyle name="Normal 5 3 3 2 3 5 3" xfId="30199" xr:uid="{8D8A1CE9-FEE7-4142-8793-E6203B687F03}"/>
    <cellStyle name="Normal 5 3 3 2 3 5 3 2" xfId="31343" xr:uid="{D7925A58-8098-4AE1-98BB-5CA947DA6131}"/>
    <cellStyle name="Normal 5 3 3 2 3 5 4" xfId="31539" xr:uid="{CCFCB723-F6AD-462F-92D2-0C0CFB839584}"/>
    <cellStyle name="Normal 5 3 3 2 3 5 5" xfId="31833" xr:uid="{3D4DEA08-86D4-4B52-BF8A-847A4DD64EA9}"/>
    <cellStyle name="Normal 5 3 3 2 3 6" xfId="4015" xr:uid="{31A0DB43-85D3-4869-AD70-E01D62E64B6B}"/>
    <cellStyle name="Normal 5 3 3 2 3 6 2" xfId="4746" xr:uid="{6436B6BC-B08C-4B15-8C97-B396796FEFE9}"/>
    <cellStyle name="Normal 5 3 3 2 3 6 3" xfId="30318" xr:uid="{EB6FEB56-F905-4D2F-8C85-EEBBA0E88454}"/>
    <cellStyle name="Normal 5 3 3 2 3 6 3 2" xfId="31461" xr:uid="{80FFA81D-979C-43E1-8A33-E20BC8074AB0}"/>
    <cellStyle name="Normal 5 3 3 2 3 6 4" xfId="31658" xr:uid="{9DC2141B-F0B4-4E56-8BF2-20FADB2BC459}"/>
    <cellStyle name="Normal 5 3 3 2 3 6 5" xfId="31952" xr:uid="{D954C6A4-79C8-4082-86B4-7D22EF1E1CC0}"/>
    <cellStyle name="Normal 5 3 3 2 3 7" xfId="30139" xr:uid="{CEEC2368-E04C-4884-B7E9-1C0EF9192CCC}"/>
    <cellStyle name="Normal 5 3 3 2 3 7 2" xfId="30505" xr:uid="{40091B9F-9A6C-4CD3-B1C9-52952B51C499}"/>
    <cellStyle name="Normal 5 3 3 2 3 8" xfId="31773" xr:uid="{2B25191E-3569-4896-A99F-795C742D64A0}"/>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4 4 3" xfId="30259" xr:uid="{CEDC34C4-7C4F-42F8-A728-9E1B2B72E5DF}"/>
    <cellStyle name="Normal 5 3 3 2 4 4 3 2" xfId="31402" xr:uid="{04E1DCED-0041-4798-B5EF-C75E7638C8D7}"/>
    <cellStyle name="Normal 5 3 3 2 4 4 4" xfId="31599" xr:uid="{8CEB4D3F-87E4-4675-A00E-13A23237EE90}"/>
    <cellStyle name="Normal 5 3 3 2 4 4 5" xfId="31893" xr:uid="{AD32732D-EA7E-4E42-981B-6AFA5D8F4DA4}"/>
    <cellStyle name="Normal 5 3 3 2 5" xfId="2117" xr:uid="{00000000-0005-0000-0000-00008D020000}"/>
    <cellStyle name="Normal 5 3 3 2 5 2" xfId="4642" xr:uid="{6378A6EC-FE82-4A4D-B72E-F6F245354E18}"/>
    <cellStyle name="Normal 5 3 3 2 5 3" xfId="30198" xr:uid="{0981AB84-2DA6-4145-8664-7123FC7576F6}"/>
    <cellStyle name="Normal 5 3 3 2 5 3 2" xfId="31342" xr:uid="{EB2B9519-500F-4130-8E51-DAC57147922E}"/>
    <cellStyle name="Normal 5 3 3 2 5 4" xfId="31538" xr:uid="{0371D498-EC60-404F-B603-BA455C09888E}"/>
    <cellStyle name="Normal 5 3 3 2 5 5" xfId="31832" xr:uid="{2CCDF7F2-B581-4E91-87A6-32687C0B44DC}"/>
    <cellStyle name="Normal 5 3 3 2 6" xfId="4014" xr:uid="{336F4594-40A6-452F-A442-AD096348AEFF}"/>
    <cellStyle name="Normal 5 3 3 2 6 2" xfId="4753" xr:uid="{9079EEE4-247F-4C6E-9514-EE91EF9D4BBA}"/>
    <cellStyle name="Normal 5 3 3 2 6 3" xfId="30317" xr:uid="{B0057DC8-8D51-4F0B-8203-572F5C4F51C8}"/>
    <cellStyle name="Normal 5 3 3 2 6 3 2" xfId="31460" xr:uid="{64DB68D6-4682-48F1-BA8A-90265E89A3AD}"/>
    <cellStyle name="Normal 5 3 3 2 6 4" xfId="31657" xr:uid="{472E5388-6075-4B31-97C3-77FAE2C3A31D}"/>
    <cellStyle name="Normal 5 3 3 2 6 5" xfId="31951" xr:uid="{B77F9C38-F2D4-4E32-89DF-E504BF652154}"/>
    <cellStyle name="Normal 5 3 3 2 7" xfId="30138" xr:uid="{D531B8A8-AA54-477A-BB5E-9C4205A9F66B}"/>
    <cellStyle name="Normal 5 3 3 2 7 2" xfId="30504" xr:uid="{F0BFF427-E566-43AB-88DF-26A10FC54877}"/>
    <cellStyle name="Normal 5 3 3 2 8" xfId="31772" xr:uid="{CAB2CF16-192A-4599-B2D4-457049C4418A}"/>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3 3 3" xfId="30260" xr:uid="{408ABDB9-2147-48DA-BFA3-76DF31BA6EC1}"/>
    <cellStyle name="Normal 5 3 3 3 3 3 2" xfId="31403" xr:uid="{A65CE80A-A839-4049-ADFD-AAF8F6EE6D79}"/>
    <cellStyle name="Normal 5 3 3 3 3 4" xfId="31600" xr:uid="{4B81E7BD-6142-432E-988B-18B93FCA55D9}"/>
    <cellStyle name="Normal 5 3 3 3 3 5" xfId="31894" xr:uid="{20BB71C6-3BBD-4DFF-81E5-88B3AF49701C}"/>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2 2" xfId="30083" xr:uid="{E69CF877-FED2-44A6-9C89-2AAF3ED69E2C}"/>
    <cellStyle name="Normal 5 3 3 4 2 2 2 3" xfId="3736" xr:uid="{00000000-0005-0000-0000-0000A9050000}"/>
    <cellStyle name="Normal 5 3 3 4 2 2 2 3 2" xfId="4718" xr:uid="{445C2ED0-AA7A-4C15-99E2-A6CE07F7E750}"/>
    <cellStyle name="Normal 5 3 3 4 2 2 2 3 3" xfId="30261" xr:uid="{4500CED2-90B4-4C83-84D6-D51298D69CD2}"/>
    <cellStyle name="Normal 5 3 3 4 2 2 2 3 3 2" xfId="31404" xr:uid="{E891891A-4822-421D-B2CD-A770A72BB211}"/>
    <cellStyle name="Normal 5 3 3 4 2 2 2 3 4" xfId="31601" xr:uid="{1B9D8C01-B3C8-4875-9346-DF245DF8B53F}"/>
    <cellStyle name="Normal 5 3 3 4 2 2 2 3 5" xfId="31895" xr:uid="{42548376-0F5B-4503-9132-1B2C4A09D1C9}"/>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4 3" xfId="30201" xr:uid="{FC394264-21C2-443A-85AC-A09B6102770E}"/>
    <cellStyle name="Normal 5 3 3 4 2 3 4 3 2" xfId="31345" xr:uid="{B397F56A-E127-4FEB-B511-42354C6ED55C}"/>
    <cellStyle name="Normal 5 3 3 4 2 3 4 4" xfId="31541" xr:uid="{807C005B-BCFB-47D1-823C-E799B44488B6}"/>
    <cellStyle name="Normal 5 3 3 4 2 3 4 5" xfId="31835" xr:uid="{F88B0801-A0D0-4052-BD35-EC66AD5F8D82}"/>
    <cellStyle name="Normal 5 3 3 4 2 3 5" xfId="24944" xr:uid="{9F045087-C642-46A8-91FD-AAF692F573EC}"/>
    <cellStyle name="Normal 5 3 3 4 2 3 6" xfId="30539" xr:uid="{4F060E07-9DDD-4899-B86B-3CC298685E95}"/>
    <cellStyle name="Normal 5 3 3 4 2 4" xfId="24108" xr:uid="{948204CC-FE7E-44DB-B145-20BC57C9DDCF}"/>
    <cellStyle name="Normal 5 3 3 4 3" xfId="1159" xr:uid="{00000000-0005-0000-0000-000047060000}"/>
    <cellStyle name="Normal 5 3 3 4 4" xfId="2960" xr:uid="{00000000-0005-0000-0000-00001E070000}"/>
    <cellStyle name="Normal 5 3 3 4 4 2" xfId="31293" xr:uid="{F161427D-9EB4-4451-9A6A-06D7E603F9F7}"/>
    <cellStyle name="Normal 5 3 3 4 5" xfId="2119" xr:uid="{00000000-0005-0000-0000-000092020000}"/>
    <cellStyle name="Normal 5 3 3 4 5 2" xfId="4670" xr:uid="{C1D65F0E-85F0-4012-A373-B75FD3E1BAA3}"/>
    <cellStyle name="Normal 5 3 3 4 5 3" xfId="30200" xr:uid="{BA5F1E7E-EAF0-4465-897E-F4668DC5C4A0}"/>
    <cellStyle name="Normal 5 3 3 4 5 3 2" xfId="31344" xr:uid="{ABFF19D9-FA8A-40A6-A15A-35E0040E4045}"/>
    <cellStyle name="Normal 5 3 3 4 5 4" xfId="31540" xr:uid="{50683AFB-0840-4025-A64C-4D13E7846670}"/>
    <cellStyle name="Normal 5 3 3 4 5 5" xfId="31834" xr:uid="{2F36F886-931E-43DB-818A-AF5796AAE542}"/>
    <cellStyle name="Normal 5 3 3 4 6" xfId="4016" xr:uid="{D2756F3F-6B90-4F0D-A058-F63FBCF3FF7E}"/>
    <cellStyle name="Normal 5 3 3 4 6 2" xfId="4783" xr:uid="{6E3C98E3-D3AA-4BD6-A38C-7B56FF88A673}"/>
    <cellStyle name="Normal 5 3 3 4 6 3" xfId="30319" xr:uid="{A1494EBF-E472-4D23-9E90-66371198EBEC}"/>
    <cellStyle name="Normal 5 3 3 4 6 3 2" xfId="31462" xr:uid="{5598B1F7-1EC4-47B1-BDD3-05CD60976B56}"/>
    <cellStyle name="Normal 5 3 3 4 6 4" xfId="31659" xr:uid="{02121827-5E2D-4E5E-A409-436155C20907}"/>
    <cellStyle name="Normal 5 3 3 4 6 5" xfId="31953" xr:uid="{7782B158-FDC8-477A-B562-08B9DA719FCC}"/>
    <cellStyle name="Normal 5 3 3 4 7" xfId="30140" xr:uid="{347E797A-C3DA-48FE-923F-48D6C2483068}"/>
    <cellStyle name="Normal 5 3 3 4 7 2" xfId="30506" xr:uid="{2B8EC82B-053E-4181-83D9-DD6F2D19A0F7}"/>
    <cellStyle name="Normal 5 3 3 4 8" xfId="31774" xr:uid="{3C357966-CF74-4701-9B29-FFAAB496DA32}"/>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3" xfId="25684" xr:uid="{AE73F470-D748-4439-B078-FE8783C376B5}"/>
    <cellStyle name="Normal 5 3 3 5 3 4" xfId="30262" xr:uid="{2013BC4F-1489-4ABC-B72A-BF4F1AE08F66}"/>
    <cellStyle name="Normal 5 3 3 5 3 4 2" xfId="31405" xr:uid="{DFB6642C-C241-44DB-BD6A-3B774736CE12}"/>
    <cellStyle name="Normal 5 3 3 5 3 5" xfId="31602" xr:uid="{03BEB35F-10DC-466C-B4F6-64DC8F5CFD34}"/>
    <cellStyle name="Normal 5 3 3 5 3 6" xfId="31896" xr:uid="{53B2FB37-56CF-4F63-99AA-2BA801C7D5A3}"/>
    <cellStyle name="Normal 5 3 3 5 4" xfId="25356"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3 6 3 3" xfId="30263" xr:uid="{D9421690-CFB8-4A7F-8514-10825D246B89}"/>
    <cellStyle name="Normal 5 3 3 6 3 3 2" xfId="31406" xr:uid="{3C2573D1-AC8F-4143-A4EB-DB65B7B44633}"/>
    <cellStyle name="Normal 5 3 3 6 3 4" xfId="31603" xr:uid="{CEF19B6A-2698-4B31-94DB-D232E456FD88}"/>
    <cellStyle name="Normal 5 3 3 6 3 5" xfId="31897" xr:uid="{37D0F6FF-D028-4AB8-BF77-2760405DC5CD}"/>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3 3 3" xfId="30264" xr:uid="{BF899BB0-E15F-4E51-901D-CDD6A013BF10}"/>
    <cellStyle name="Normal 5 3 4 3 2 3 3 3 2" xfId="31407" xr:uid="{C4B75909-CC22-4C7F-BDF8-B7847156ED0A}"/>
    <cellStyle name="Normal 5 3 4 3 2 3 3 4" xfId="31604" xr:uid="{D1B3BD06-D116-43C5-A228-6E03144C7F35}"/>
    <cellStyle name="Normal 5 3 4 3 2 3 3 5" xfId="31898" xr:uid="{F0275AAD-8718-4F58-8AC2-9639D9C64825}"/>
    <cellStyle name="Normal 5 3 4 3 2 4" xfId="24655" xr:uid="{5F063B03-3FE5-47FE-9028-D7BB1C893E88}"/>
    <cellStyle name="Normal 5 3 4 3 3" xfId="1169" xr:uid="{00000000-0005-0000-0000-000053060000}"/>
    <cellStyle name="Normal 5 3 4 3 4" xfId="2961" xr:uid="{00000000-0005-0000-0000-000024070000}"/>
    <cellStyle name="Normal 5 3 4 3 4 2" xfId="31288" xr:uid="{DCD0F34B-C807-48EF-AD43-4F507781571A}"/>
    <cellStyle name="Normal 5 3 4 3 5" xfId="2122" xr:uid="{00000000-0005-0000-0000-000099020000}"/>
    <cellStyle name="Normal 5 3 4 3 5 2" xfId="3818" xr:uid="{9369DBB9-DD67-4338-8EB8-DA10B04D3AFA}"/>
    <cellStyle name="Normal 5 3 4 3 5 3" xfId="30203" xr:uid="{93B0F0FE-EEB4-4F30-BC7B-21D74A10E953}"/>
    <cellStyle name="Normal 5 3 4 3 5 3 2" xfId="31347" xr:uid="{C1C74FE2-D0BD-48ED-92BA-3137D666D3B8}"/>
    <cellStyle name="Normal 5 3 4 3 5 4" xfId="31543" xr:uid="{E2D064AD-4A27-4CEF-A265-0794D4FEB3DD}"/>
    <cellStyle name="Normal 5 3 4 3 5 5" xfId="31837" xr:uid="{6DD0B63B-BCBC-4E53-8390-DC94257EB32A}"/>
    <cellStyle name="Normal 5 3 4 3 6" xfId="4018" xr:uid="{1613ADCD-F7DC-4D24-BE2E-0512CCDB9F7E}"/>
    <cellStyle name="Normal 5 3 4 3 6 2" xfId="4698" xr:uid="{DE044A17-1F25-42F0-A6B5-42ABCA6D7CD9}"/>
    <cellStyle name="Normal 5 3 4 3 6 3" xfId="30321" xr:uid="{AD79B433-505B-4DDB-81D4-604D12CD1CB9}"/>
    <cellStyle name="Normal 5 3 4 3 6 3 2" xfId="31464" xr:uid="{1800BDA3-11C3-40C5-978D-FA7BA615088A}"/>
    <cellStyle name="Normal 5 3 4 3 6 4" xfId="31661" xr:uid="{26F0A201-B426-425F-9086-BCB13F3DABE8}"/>
    <cellStyle name="Normal 5 3 4 3 6 5" xfId="31955" xr:uid="{4DCCB906-EBF2-438B-9E5A-B1694AF0EF53}"/>
    <cellStyle name="Normal 5 3 4 3 7" xfId="30142" xr:uid="{8464588B-FBC9-4AEB-8137-4B7B64E1AFE0}"/>
    <cellStyle name="Normal 5 3 4 3 7 2" xfId="30508" xr:uid="{0455E1FF-3A8B-40C3-BF3A-C60A750C7BEF}"/>
    <cellStyle name="Normal 5 3 4 3 8" xfId="31776" xr:uid="{DA682CD3-43EC-4ABB-AA79-9FFA4EABEA26}"/>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4 3 3" xfId="30265" xr:uid="{A5471799-C0C9-4589-A46E-238EA1C8E213}"/>
    <cellStyle name="Normal 5 3 4 4 3 3 2" xfId="31408" xr:uid="{AF8662C3-806E-4CF6-8668-C63E00A0A729}"/>
    <cellStyle name="Normal 5 3 4 4 3 4" xfId="31605" xr:uid="{9B29F8B9-D0B4-45B0-BBC8-179A09C7733D}"/>
    <cellStyle name="Normal 5 3 4 4 3 5" xfId="31899" xr:uid="{00D3E093-4587-41F0-AB4B-EA0F1CD4B1EF}"/>
    <cellStyle name="Normal 5 3 4 5" xfId="2121" xr:uid="{00000000-0005-0000-0000-000097020000}"/>
    <cellStyle name="Normal 5 3 4 5 2" xfId="4652" xr:uid="{AE4239F0-8210-40A2-B60A-C02B564418C5}"/>
    <cellStyle name="Normal 5 3 4 5 3" xfId="30202" xr:uid="{C013D1DD-471B-403F-9025-A8E80966F87F}"/>
    <cellStyle name="Normal 5 3 4 5 3 2" xfId="31346" xr:uid="{1C4CE880-E9D0-4A50-950B-816A84BF1515}"/>
    <cellStyle name="Normal 5 3 4 5 4" xfId="31542" xr:uid="{3131D79D-CA78-43D8-8AFB-AF83F6987B75}"/>
    <cellStyle name="Normal 5 3 4 5 5" xfId="31836" xr:uid="{91DDD679-5478-43FA-B8FB-E6B70348975D}"/>
    <cellStyle name="Normal 5 3 4 6" xfId="4017" xr:uid="{CB599806-7C8A-45F6-9C5C-00B11E4887E0}"/>
    <cellStyle name="Normal 5 3 4 6 2" xfId="4689" xr:uid="{C33C1D9E-89E1-44FF-859F-F450C4814C70}"/>
    <cellStyle name="Normal 5 3 4 6 3" xfId="30320" xr:uid="{AF3B5E87-0871-4E2F-8B2C-CF43843C27F0}"/>
    <cellStyle name="Normal 5 3 4 6 3 2" xfId="31463" xr:uid="{1899F4E4-4289-40CD-8114-19BEC7B0B04B}"/>
    <cellStyle name="Normal 5 3 4 6 4" xfId="31660" xr:uid="{67082448-0D89-4D8D-8399-AD957CCFD59C}"/>
    <cellStyle name="Normal 5 3 4 6 5" xfId="31954" xr:uid="{85883DA4-F313-4189-9E07-0B7A1C73CF9A}"/>
    <cellStyle name="Normal 5 3 4 7" xfId="30141" xr:uid="{C5086DE0-3D25-4310-955C-9881B5375DBB}"/>
    <cellStyle name="Normal 5 3 4 7 2" xfId="30507" xr:uid="{0691E9B7-B979-49A9-82BB-8C389DE41776}"/>
    <cellStyle name="Normal 5 3 4 8" xfId="31775" xr:uid="{715FFDD6-6568-430B-981E-3E9264DED39F}"/>
    <cellStyle name="Normal 5 3 5" xfId="2069" xr:uid="{00000000-0005-0000-0000-00008A020000}"/>
    <cellStyle name="Normal 5 3 5 2" xfId="4724" xr:uid="{FB219402-4458-4731-8217-11E2AB428DAD}"/>
    <cellStyle name="Normal 5 3 5 3" xfId="30169" xr:uid="{22C0B9B5-A215-40E0-90E4-E9BF49B6C962}"/>
    <cellStyle name="Normal 5 3 5 3 2" xfId="30509" xr:uid="{2A3E056B-8875-48CA-B07B-074ED168B004}"/>
    <cellStyle name="Normal 5 3 5 4" xfId="31509" xr:uid="{19BA7BD3-B108-41EE-8AED-7AF73153AA44}"/>
    <cellStyle name="Normal 5 3 5 5" xfId="31803" xr:uid="{316130DC-D2A6-4547-8B59-382E1EA1CF4F}"/>
    <cellStyle name="Normal 5 3 6" xfId="30114" xr:uid="{FF7EC34F-1D03-426F-944C-8DDEC9BD14BD}"/>
    <cellStyle name="Normal 5 3 6 2" xfId="30474" xr:uid="{C83318F6-E85A-4A71-88FC-A52912529995}"/>
    <cellStyle name="Normal 5 3 7" xfId="31747" xr:uid="{337C1941-D29F-4DFE-8FD7-B5C358B0C158}"/>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4 3 3 3" xfId="30266" xr:uid="{077BAFD6-31C2-403C-B6C9-D7A0B0C4E389}"/>
    <cellStyle name="Normal 5 4 3 3 3 2" xfId="31409" xr:uid="{92C0E6B0-540E-4500-9E66-230FB68E0A0F}"/>
    <cellStyle name="Normal 5 4 3 3 4" xfId="31606" xr:uid="{6882488E-1D4B-4A30-B2F8-B692B5523CCB}"/>
    <cellStyle name="Normal 5 4 3 3 5" xfId="31900" xr:uid="{40F263E5-2734-4E01-AD2F-E4EBBFD5EC64}"/>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3 3 3" xfId="30267" xr:uid="{59D125B9-F39A-46E1-A17C-98D62824EB27}"/>
    <cellStyle name="Normal 5 5 10 2 3 3 3 2" xfId="31410" xr:uid="{E71ACD12-B317-427B-BB6C-C76E5FC66E22}"/>
    <cellStyle name="Normal 5 5 10 2 3 3 4" xfId="31607" xr:uid="{28520A92-387B-4256-98CB-37A8D127A231}"/>
    <cellStyle name="Normal 5 5 10 2 3 3 5" xfId="31901" xr:uid="{754658E2-73F9-40DD-B4CA-4C1722B5D59C}"/>
    <cellStyle name="Normal 5 5 10 2 4" xfId="25773" xr:uid="{C3D50B18-259C-4014-9BCC-0D850B8A97C8}"/>
    <cellStyle name="Normal 5 5 10 3" xfId="1180" xr:uid="{00000000-0005-0000-0000-000060060000}"/>
    <cellStyle name="Normal 5 5 10 4" xfId="2962" xr:uid="{00000000-0005-0000-0000-00002C070000}"/>
    <cellStyle name="Normal 5 5 10 4 2" xfId="31298" xr:uid="{5A6D113D-41BD-4B2B-84F1-322D480A3CB5}"/>
    <cellStyle name="Normal 5 5 10 5" xfId="2124" xr:uid="{00000000-0005-0000-0000-00009E020000}"/>
    <cellStyle name="Normal 5 5 10 5 2" xfId="3790" xr:uid="{3E02F4FD-1C4C-4539-A2B7-19465E26278C}"/>
    <cellStyle name="Normal 5 5 10 5 3" xfId="30205" xr:uid="{CD6EF2D4-0244-497A-A1A2-5CB7CEACAD08}"/>
    <cellStyle name="Normal 5 5 10 5 3 2" xfId="31349" xr:uid="{F4393F33-33B7-414E-8C16-1CC9B8AEEB67}"/>
    <cellStyle name="Normal 5 5 10 5 4" xfId="31545" xr:uid="{C11D04CC-F052-44CD-9EC7-277082F56C47}"/>
    <cellStyle name="Normal 5 5 10 5 5" xfId="31839" xr:uid="{130F5C18-B1B8-4F58-8C05-BA4F984E60B2}"/>
    <cellStyle name="Normal 5 5 10 6" xfId="4020" xr:uid="{337F88F3-5843-4A8A-A4B2-DC8C7B59A64B}"/>
    <cellStyle name="Normal 5 5 10 6 2" xfId="4806" xr:uid="{9AEE980B-AC49-472C-ABA8-56F2FAA76E03}"/>
    <cellStyle name="Normal 5 5 10 6 3" xfId="30323" xr:uid="{0EA3F919-8FF0-462B-A82C-815D3F9A6A5F}"/>
    <cellStyle name="Normal 5 5 10 6 3 2" xfId="31466" xr:uid="{7CB46D50-7B99-484C-ABB1-4B35FE53302E}"/>
    <cellStyle name="Normal 5 5 10 6 4" xfId="31663" xr:uid="{E4914706-502A-4324-8E26-B98952712100}"/>
    <cellStyle name="Normal 5 5 10 6 5" xfId="31957" xr:uid="{7E2D0404-CD48-4B83-813F-1C109FF59CF1}"/>
    <cellStyle name="Normal 5 5 10 7" xfId="30144" xr:uid="{9EC4A54E-D459-477E-95C3-D8EED714DA54}"/>
    <cellStyle name="Normal 5 5 10 7 2" xfId="30510" xr:uid="{642D08F6-4146-4DCF-BE9E-E70107F064A1}"/>
    <cellStyle name="Normal 5 5 10 8" xfId="31778" xr:uid="{DE339D0D-60AE-4F49-9D53-282804968AB2}"/>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2" xfId="1183" xr:uid="{00000000-0005-0000-0000-000063060000}"/>
    <cellStyle name="Normal 5 5 12 2 2" xfId="25907" xr:uid="{ACDBEB07-C175-4F8A-AF35-7A83D073F597}"/>
    <cellStyle name="Normal 5 5 12 2 2 2" xfId="27059" xr:uid="{73488BCF-2C51-42DE-9E58-72168444506D}"/>
    <cellStyle name="Normal 5 5 12 2 2 3" xfId="31494" xr:uid="{8C768011-0350-4625-9C22-6E5BAC343524}"/>
    <cellStyle name="Normal 5 5 12 2 2 4" xfId="31304" xr:uid="{4E92DD05-9DE3-47E0-9C33-4A23B380A4BC}"/>
    <cellStyle name="Normal 5 5 12 2 3" xfId="27500" xr:uid="{C60B8A07-C87E-417E-81F5-A75D4AE0518D}"/>
    <cellStyle name="Normal 5 5 12 2 4" xfId="27364" xr:uid="{FCABEA70-D790-4657-BF9A-CD1687570BD1}"/>
    <cellStyle name="Normal 5 5 12 2 5" xfId="31253" xr:uid="{29DBD238-5483-4789-AB60-4DC6E160D543}"/>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5" xfId="14647" xr:uid="{A45105C8-7446-4B1D-BB0F-E6E66EEAF4EB}"/>
    <cellStyle name="Normal 5 5 12 3 3" xfId="3773" xr:uid="{D3491984-6149-4A4F-97CA-96AC04F0A2CD}"/>
    <cellStyle name="Normal 5 5 12 3 3 2" xfId="4807" xr:uid="{62869006-B692-4B88-AA1D-967FD650D28C}"/>
    <cellStyle name="Normal 5 5 12 3 3 3" xfId="30295" xr:uid="{0809AC62-F3B7-493F-BB49-1E9941AC2340}"/>
    <cellStyle name="Normal 5 5 12 3 3 3 2" xfId="31438" xr:uid="{7019EB67-3295-429D-8D0F-44B17EE0D105}"/>
    <cellStyle name="Normal 5 5 12 3 3 4" xfId="31635" xr:uid="{7ED5B869-69B2-431F-9CC3-F41F5D450414}"/>
    <cellStyle name="Normal 5 5 12 3 3 5" xfId="31929" xr:uid="{BD43FFDF-D321-49CF-8E57-FC0670884458}"/>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3 3" xfId="30268" xr:uid="{0A57DE32-6FA3-493D-BCD5-EF945C4BCD4C}"/>
    <cellStyle name="Normal 5 5 12 4 3 3 2" xfId="31411" xr:uid="{8D615E02-7AB1-47B9-B5C0-EFCC16FE5595}"/>
    <cellStyle name="Normal 5 5 12 4 3 4" xfId="31608" xr:uid="{333049E4-D2E4-478B-A9A7-397D8F1AD60F}"/>
    <cellStyle name="Normal 5 5 12 4 3 5" xfId="31902" xr:uid="{B49DDE4E-B474-4D82-8DE7-DE34D666ABD3}"/>
    <cellStyle name="Normal 5 5 12 4 4" xfId="23739" xr:uid="{584E66C2-83BD-4415-897A-413EAACEC637}"/>
    <cellStyle name="Normal 5 5 12 4 5" xfId="23070" xr:uid="{445314E8-3702-42F9-96C4-4F1E3E1FC2C9}"/>
    <cellStyle name="Normal 5 5 12 4 6" xfId="26121" xr:uid="{972A4539-7000-4879-8DC1-AC3C9DAB57C7}"/>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6 4" xfId="30397" xr:uid="{A373ECD6-01CF-4482-A92D-8D307049E070}"/>
    <cellStyle name="Normal 5 5 12 7" xfId="2134" xr:uid="{00000000-0005-0000-0000-0000A1020000}"/>
    <cellStyle name="Normal 5 5 12 7 2" xfId="4820" xr:uid="{933CD350-3DDB-4FFC-B65F-DBC9B5AC6FAA}"/>
    <cellStyle name="Normal 5 5 12 7 3" xfId="30215" xr:uid="{827A0F38-C1A0-4EEE-9A2A-D5F26A0F3BC4}"/>
    <cellStyle name="Normal 5 5 12 7 3 2" xfId="31359" xr:uid="{12077E98-D42B-4C46-B42E-477CDA1BC168}"/>
    <cellStyle name="Normal 5 5 12 7 4" xfId="31555" xr:uid="{ED0A659F-49C6-47AD-A8E9-D609C6FE0B98}"/>
    <cellStyle name="Normal 5 5 12 7 5" xfId="31849" xr:uid="{A34030C0-1ADE-4F6E-8588-709AA51B14BF}"/>
    <cellStyle name="Normal 5 5 12 8" xfId="4040" xr:uid="{339DDFF4-B60C-4AB4-A281-8CA03C0100FF}"/>
    <cellStyle name="Normal 5 5 12 8 2" xfId="4818" xr:uid="{7550A7D3-C1EF-43A3-A121-A8E9FC3C1D0F}"/>
    <cellStyle name="Normal 5 5 12 8 3" xfId="30332" xr:uid="{D7DBAFC5-F908-4480-B7AC-0D36D243E461}"/>
    <cellStyle name="Normal 5 5 12 8 3 2" xfId="30468" xr:uid="{008082A2-179F-4EAE-9BED-194B26EA3013}"/>
    <cellStyle name="Normal 5 5 12 8 4" xfId="31672" xr:uid="{958C0CF7-489D-4DFD-AFD0-0923A7F799E9}"/>
    <cellStyle name="Normal 5 5 12 8 5" xfId="31966" xr:uid="{198FE584-0EBD-4846-9AFF-45C9E6F51FC7}"/>
    <cellStyle name="Normal 5 5 12 9" xfId="25796" xr:uid="{E3CEE472-2575-4086-9B70-8587E190341C}"/>
    <cellStyle name="Normal 5 5 12 9 2" xfId="26401" xr:uid="{EE6D3784-0C10-40B4-B5A5-246641421871}"/>
    <cellStyle name="Normal 5 5 12 9 3" xfId="31166" xr:uid="{1A4271D5-26B0-4441-8D15-E29ECA5F4D9D}"/>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3 8" xfId="31252" xr:uid="{74A630F6-B0B0-425A-B58E-98533DCF93A3}"/>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3 4" xfId="30269" xr:uid="{D54B79A8-5499-4F5C-A60A-015D6BE65FD9}"/>
    <cellStyle name="Normal 5 5 14 3 4 2" xfId="31412" xr:uid="{575483AF-AA95-4D48-B584-5A9993226AA8}"/>
    <cellStyle name="Normal 5 5 14 3 5" xfId="31609" xr:uid="{14E7F71F-AA9C-4825-9092-BF0C8A1EFF2F}"/>
    <cellStyle name="Normal 5 5 14 3 6" xfId="31903" xr:uid="{7E62AF28-5138-45A1-B504-E13586E5ACC7}"/>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3" xfId="27863" xr:uid="{94C316B2-9303-4343-AB75-17DFAF12E21D}"/>
    <cellStyle name="Normal 5 5 17 4" xfId="30204" xr:uid="{36B20FD2-E384-4E2C-943F-B6158FB818DE}"/>
    <cellStyle name="Normal 5 5 17 4 2" xfId="31348" xr:uid="{5F08F1D5-89EB-4C5D-BB57-1B880E6EB770}"/>
    <cellStyle name="Normal 5 5 17 5" xfId="31544" xr:uid="{3B55F720-3305-4D8B-B69F-321B180500C4}"/>
    <cellStyle name="Normal 5 5 17 6" xfId="31838" xr:uid="{6A51634D-127A-4B22-AE22-86669FF3445A}"/>
    <cellStyle name="Normal 5 5 18" xfId="4019" xr:uid="{F3938208-EDFC-4F17-ABB5-42A544677995}"/>
    <cellStyle name="Normal 5 5 18 2" xfId="4811" xr:uid="{F76BFFF7-F65C-4C10-94AE-340164E71EC1}"/>
    <cellStyle name="Normal 5 5 18 3" xfId="30322" xr:uid="{3F8752F1-9A5A-4A0A-9B43-2AF1C30DFDF6}"/>
    <cellStyle name="Normal 5 5 18 3 2" xfId="31465" xr:uid="{0CEB44F4-8608-49C7-AFD9-B308A93AF5D4}"/>
    <cellStyle name="Normal 5 5 18 4" xfId="31662" xr:uid="{67F64D7D-87AA-4672-BBA5-A417E15A374F}"/>
    <cellStyle name="Normal 5 5 18 5" xfId="31956" xr:uid="{6F225451-E1BB-4748-84E3-8090BB6BD0E2}"/>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3 6" xfId="29680" xr:uid="{97CDD6DB-E3BD-4C8B-B733-D86227385425}"/>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4 2" xfId="29746" xr:uid="{292C7506-2051-4783-9A25-16674A0F4704}"/>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21" xfId="29835" xr:uid="{B3E1E0EF-7306-41CF-9823-2647A17B861C}"/>
    <cellStyle name="Normal 5 5 21 2" xfId="31503" xr:uid="{4413B3F3-F116-425E-B3FC-2126AAE6FA06}"/>
    <cellStyle name="Normal 5 5 22" xfId="29980" xr:uid="{D67E6B79-0BB9-41EF-9496-F362FC77F6A8}"/>
    <cellStyle name="Normal 5 5 23" xfId="30143" xr:uid="{E141DD7A-B371-4E36-AC36-3D3BBD6F49D4}"/>
    <cellStyle name="Normal 5 5 23 2" xfId="32019" xr:uid="{81E550AD-9039-41F4-A2D5-02CB7EC9C075}"/>
    <cellStyle name="Normal 5 5 24" xfId="31777" xr:uid="{063500B0-5BCF-4689-9FF8-33FD7D7871A1}"/>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4 2" xfId="29785" xr:uid="{89E00D79-3211-4205-9817-0EE04526993D}"/>
    <cellStyle name="Normal 5 5 3 3 2 2 5" xfId="24695" xr:uid="{E22B5C30-2C6B-4970-B1C3-452F3FFF52A1}"/>
    <cellStyle name="Normal 5 5 3 3 2 2 6" xfId="13980" xr:uid="{C3649F74-66E1-4FD0-90AD-33DFA58BD1ED}"/>
    <cellStyle name="Normal 5 5 3 3 2 3" xfId="3409" xr:uid="{00000000-0005-0000-0000-00005B070000}"/>
    <cellStyle name="Normal 5 5 3 3 2 3 2" xfId="30087" xr:uid="{8D83AA04-EFB8-4DBE-9F2D-CA04908BDD15}"/>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2 2" xfId="29832" xr:uid="{269F8BD8-3951-442C-8C12-5034B99EF9C4}"/>
    <cellStyle name="Normal 5 5 3 3 2 5 3" xfId="22724" xr:uid="{5EC33E70-0B4D-40F0-A6E8-EF4A4475260D}"/>
    <cellStyle name="Normal 5 5 3 3 2 5 3 2" xfId="30093" xr:uid="{B5B6AB49-98AB-441B-87F7-DD685D6798A1}"/>
    <cellStyle name="Normal 5 5 3 3 2 5 4" xfId="23447" xr:uid="{8571319B-7759-4A87-B13E-0C7FEACCE3F9}"/>
    <cellStyle name="Normal 5 5 3 3 2 5 5" xfId="30270" xr:uid="{B88538FC-C621-4360-9D4C-DD3260457648}"/>
    <cellStyle name="Normal 5 5 3 3 2 5 5 2" xfId="31413" xr:uid="{7481AEF4-D030-4595-AF6D-9244C28EA76D}"/>
    <cellStyle name="Normal 5 5 3 3 2 5 6" xfId="31610" xr:uid="{2D73DF79-C0A1-492B-ABB8-D5521DD43C2A}"/>
    <cellStyle name="Normal 5 5 3 3 2 5 7" xfId="31904" xr:uid="{03741BC8-310A-4A53-AF2C-7496C15FEEE9}"/>
    <cellStyle name="Normal 5 5 3 3 2 6" xfId="23174" xr:uid="{585B73B8-12BC-44A6-82F7-7D9C4E64E545}"/>
    <cellStyle name="Normal 5 5 3 3 2 6 2" xfId="31149" xr:uid="{D3D0E1A9-FBCA-47EC-9550-3A4C6C30E266}"/>
    <cellStyle name="Normal 5 5 3 3 2 6 3" xfId="30912" xr:uid="{B08B4DCA-5980-4F0C-A577-2BB26932546B}"/>
    <cellStyle name="Normal 5 5 3 3 2 7" xfId="13277" xr:uid="{60854C4E-F5E6-4B50-AA94-02CF9A79D755}"/>
    <cellStyle name="Normal 5 5 3 3 2 8" xfId="30925" xr:uid="{29076549-2AA4-4007-80EA-D67AC2CC5802}"/>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2 4" xfId="29823" xr:uid="{3881B992-1BB7-464F-91BE-BB29A3566EF8}"/>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2 2" xfId="29817" xr:uid="{02A86CA0-3F43-44CF-957F-95BA6D4BDC0E}"/>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2 3" xfId="31105" xr:uid="{41CBFC74-9674-4514-AAE2-CB0510DF1FAF}"/>
    <cellStyle name="Normal 5 5 3 3 3 4 2 4" xfId="30913" xr:uid="{DE041240-1130-4FBE-A496-AF3E183AB993}"/>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5 2" xfId="29709" xr:uid="{C6AC9FE6-8F2F-4D98-B1CC-2EFCAC323B18}"/>
    <cellStyle name="Normal 5 5 3 3 3 5 2 2" xfId="30952" xr:uid="{5D2ADC69-5EDF-4AC9-8941-E830CD16909C}"/>
    <cellStyle name="Normal 5 5 3 3 3 6" xfId="23226" xr:uid="{07D2B74A-B30D-4BBA-A7E5-EB342AD9A434}"/>
    <cellStyle name="Normal 5 5 3 3 3 6 2" xfId="29673" xr:uid="{B112CBD1-63B3-4F58-B2F2-76F0EA1536DD}"/>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2 5" xfId="30569" xr:uid="{E8720E36-9B22-4DBC-BB87-8F396A474EBD}"/>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6 3" xfId="30206" xr:uid="{19E5DBC6-87B5-46F1-B5E0-B67573138C40}"/>
    <cellStyle name="Normal 5 5 3 3 6 3 2" xfId="31350" xr:uid="{C475E952-4287-47E3-B046-F9817D97F62D}"/>
    <cellStyle name="Normal 5 5 3 3 6 4" xfId="31546" xr:uid="{F0BED102-3B27-4E13-8163-0F2933607E19}"/>
    <cellStyle name="Normal 5 5 3 3 6 5" xfId="31840" xr:uid="{02E3CA20-CDCC-4EF9-A465-3AFA4DE6B0FA}"/>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3 2" xfId="31173" xr:uid="{E1CFC7F0-7C6D-40F3-9AAC-AEE06C15BE18}"/>
    <cellStyle name="Normal 5 5 3 3 7 4" xfId="26362" xr:uid="{2BB7C9BC-9F92-46B9-A4E8-54E7EDCFB1FE}"/>
    <cellStyle name="Normal 5 5 3 3 7 5" xfId="30324" xr:uid="{13091C6E-267B-42E9-9EC6-63A637EF4C77}"/>
    <cellStyle name="Normal 5 5 3 3 7 5 2" xfId="31467" xr:uid="{8241D67A-0B65-441D-B87C-12FCD55689C9}"/>
    <cellStyle name="Normal 5 5 3 3 7 6" xfId="31664" xr:uid="{6C15C19A-00AD-4054-8903-F5817FB38421}"/>
    <cellStyle name="Normal 5 5 3 3 7 7" xfId="31958" xr:uid="{26829776-719A-46BD-A258-5673071C5FD9}"/>
    <cellStyle name="Normal 5 5 3 3 8" xfId="29681" xr:uid="{0A86F2A0-5592-44C0-A478-BDA05FBB524E}"/>
    <cellStyle name="Normal 5 5 3 3 8 2" xfId="30540" xr:uid="{CD43F895-0D8D-40A6-9F78-B0640AD53663}"/>
    <cellStyle name="Normal 5 5 3 3 9" xfId="29669" xr:uid="{04524AD8-987D-44B0-8EAE-33D3F77F3D00}"/>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5 6 3" xfId="30362" xr:uid="{94F71B0E-9972-43D2-A698-4F5F8EC6B35B}"/>
    <cellStyle name="Normal 5 6 3 2" xfId="30511" xr:uid="{9F3E153B-B09B-471D-A946-A10EBA1534EE}"/>
    <cellStyle name="Normal 5 6 4" xfId="31702" xr:uid="{41B7F247-B74F-4329-A0A1-682D6C24C354}"/>
    <cellStyle name="Normal 5 6 5" xfId="31996" xr:uid="{63D7B69F-D531-4296-933F-895FCFAC05FA}"/>
    <cellStyle name="Normal 5 7" xfId="30110" xr:uid="{B86EA2F7-3D8C-4453-9463-4535C564224A}"/>
    <cellStyle name="Normal 5 7 2" xfId="31496" xr:uid="{388D835E-8A46-47C8-B36E-97EC381E07D9}"/>
    <cellStyle name="Normal 5 8" xfId="31738" xr:uid="{2A11AEFC-1C32-45CA-8BBE-59875947677C}"/>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2 3 3" xfId="30271" xr:uid="{64E7B98A-5618-4F94-BBB0-CE729F04F1ED}"/>
    <cellStyle name="Normal 6 2 4 2 3 3 2" xfId="31414" xr:uid="{F1A26C63-AE42-4F04-8891-03B490C2D338}"/>
    <cellStyle name="Normal 6 2 4 2 3 4" xfId="31611" xr:uid="{E337A21F-9B74-4399-88F3-B6426EE26747}"/>
    <cellStyle name="Normal 6 2 4 2 3 5" xfId="31905" xr:uid="{B4F14851-42A4-42D8-AD46-176C1F10B645}"/>
    <cellStyle name="Normal 6 2 4 3" xfId="1241" xr:uid="{00000000-0005-0000-0000-00009F060000}"/>
    <cellStyle name="Normal 6 2 4 3 2" xfId="31305" xr:uid="{928413FA-20ED-46F2-9E40-B8E246A45F39}"/>
    <cellStyle name="Normal 6 2 4 4" xfId="29855" xr:uid="{AA4C1F12-DEA9-457E-AEF5-0DB4A6E59CD3}"/>
    <cellStyle name="Normal 6 2 5" xfId="1242" xr:uid="{00000000-0005-0000-0000-0000A0060000}"/>
    <cellStyle name="Normal 6 2 6" xfId="31265"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3 3 3" xfId="30272" xr:uid="{D89606A7-7F62-4BEF-BBAC-371DD44B78A1}"/>
    <cellStyle name="Normal 6 3 3 3 2 3 2 3 3 3 2" xfId="31415" xr:uid="{0B73902A-7494-489D-AE53-A905FA779E9C}"/>
    <cellStyle name="Normal 6 3 3 3 2 3 2 3 3 4" xfId="31612" xr:uid="{F3422B09-C712-4715-9E74-E2360D1499BA}"/>
    <cellStyle name="Normal 6 3 3 3 2 3 2 3 3 5" xfId="31906" xr:uid="{4DC8D91C-F9C0-4E7B-A88F-826CB688E59F}"/>
    <cellStyle name="Normal 6 3 3 3 2 3 2 4" xfId="23723" xr:uid="{CF6E8B82-0990-4BE4-9413-7C6041332850}"/>
    <cellStyle name="Normal 6 3 3 3 2 3 3" xfId="1254" xr:uid="{00000000-0005-0000-0000-0000AD060000}"/>
    <cellStyle name="Normal 6 3 3 3 2 3 4" xfId="2971" xr:uid="{00000000-0005-0000-0000-000096070000}"/>
    <cellStyle name="Normal 6 3 3 3 2 3 4 2" xfId="31282" xr:uid="{8609F323-400D-4035-9BBF-4A50ABE08EC3}"/>
    <cellStyle name="Normal 6 3 3 3 2 3 5" xfId="2127" xr:uid="{00000000-0005-0000-0000-0000BE020000}"/>
    <cellStyle name="Normal 6 3 3 3 2 3 5 2" xfId="4680" xr:uid="{D6398DC9-E5C9-496E-A2A7-CD5014D2DFA6}"/>
    <cellStyle name="Normal 6 3 3 3 2 3 5 3" xfId="30208" xr:uid="{356E9707-CCEF-4F7C-BF32-0303F4791FE4}"/>
    <cellStyle name="Normal 6 3 3 3 2 3 5 3 2" xfId="31352" xr:uid="{CC12E4D3-F8EB-4CF6-AB97-4D8B2B3693C7}"/>
    <cellStyle name="Normal 6 3 3 3 2 3 5 4" xfId="31548" xr:uid="{87A857A3-2AA9-43F2-8657-50394276CAF6}"/>
    <cellStyle name="Normal 6 3 3 3 2 3 5 5" xfId="31842" xr:uid="{D0802F31-2ACA-4BC1-B9A9-A45C60546CFF}"/>
    <cellStyle name="Normal 6 3 3 3 2 3 6" xfId="4034" xr:uid="{C3B2AF05-98DC-463A-BA12-C74208D497DD}"/>
    <cellStyle name="Normal 6 3 3 3 2 3 6 2" xfId="4812" xr:uid="{F613BC84-EDE5-4885-8459-F27AF0BB6E85}"/>
    <cellStyle name="Normal 6 3 3 3 2 3 6 3" xfId="30326" xr:uid="{FE425496-F8E2-4D8D-BACC-24E101135861}"/>
    <cellStyle name="Normal 6 3 3 3 2 3 6 3 2" xfId="31469" xr:uid="{E634AE3F-E674-4AA0-825F-3A0FBFBCA056}"/>
    <cellStyle name="Normal 6 3 3 3 2 3 6 4" xfId="31666" xr:uid="{C88B7139-BB51-44C6-81F9-0169CA295B19}"/>
    <cellStyle name="Normal 6 3 3 3 2 3 6 5" xfId="31960" xr:uid="{2E1EAF87-55A0-4572-8E1C-BFD5E308123D}"/>
    <cellStyle name="Normal 6 3 3 3 2 3 7" xfId="30146" xr:uid="{DC11676B-B130-4A24-B13D-A1AF24211213}"/>
    <cellStyle name="Normal 6 3 3 3 2 3 7 2" xfId="30513" xr:uid="{2A90FA8B-F176-40AB-B942-C645A0B2AC10}"/>
    <cellStyle name="Normal 6 3 3 3 2 3 8" xfId="31780" xr:uid="{AC73DE27-1D15-4E8C-90EF-DCE8A505F7A5}"/>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4 3 3 3" xfId="30390" xr:uid="{68412F80-5B7F-4324-AB06-AB62463D18A8}"/>
    <cellStyle name="Normal 6 3 3 3 2 4 3 3 4" xfId="30377" xr:uid="{F1CFB043-722D-4FF7-8349-A408EBFE1248}"/>
    <cellStyle name="Normal 6 3 3 3 2 4 3 3 4 2" xfId="31716" xr:uid="{E1047207-F524-459C-9D5A-B00766BB0693}"/>
    <cellStyle name="Normal 6 3 3 3 2 4 3 3 5" xfId="32011" xr:uid="{06FC7E84-62B2-4631-875C-E016AFD26780}"/>
    <cellStyle name="Normal 6 3 3 3 2 4 3 4" xfId="30363" xr:uid="{3A82768C-6B5D-4D32-86C4-08DE35B49E64}"/>
    <cellStyle name="Normal 6 3 3 3 2 4 3 4 2" xfId="31703" xr:uid="{7FCFC7B6-2244-4C07-99E2-5744C78CE1C6}"/>
    <cellStyle name="Normal 6 3 3 3 2 4 3 5" xfId="31997" xr:uid="{6BCD8F41-81B7-4A64-B6D4-6AE476FDC704}"/>
    <cellStyle name="Normal 6 3 3 3 2 5" xfId="2126" xr:uid="{00000000-0005-0000-0000-0000BC020000}"/>
    <cellStyle name="Normal 6 3 3 3 2 5 2" xfId="4637" xr:uid="{6DCD8049-BC85-477D-8DF4-71B624F9476D}"/>
    <cellStyle name="Normal 6 3 3 3 2 5 3" xfId="30207" xr:uid="{37F318ED-ADB1-4A63-94B9-7AD18DADE9C4}"/>
    <cellStyle name="Normal 6 3 3 3 2 5 3 2" xfId="31351" xr:uid="{63937397-5761-4327-97C3-F1A1F4AC80AD}"/>
    <cellStyle name="Normal 6 3 3 3 2 5 4" xfId="31547" xr:uid="{CD9790C9-4E7C-4C12-8572-B6779880FCFF}"/>
    <cellStyle name="Normal 6 3 3 3 2 5 5" xfId="31841" xr:uid="{16E90C34-F0D9-4A4C-8F6D-4B650C3B357C}"/>
    <cellStyle name="Normal 6 3 3 3 2 6" xfId="4033" xr:uid="{2F86E8C3-CFCF-4CC5-896B-92C102F9D7BD}"/>
    <cellStyle name="Normal 6 3 3 3 2 6 2" xfId="4725" xr:uid="{3DE8FA29-3805-45F1-AFC0-AABB851E3B0A}"/>
    <cellStyle name="Normal 6 3 3 3 2 6 3" xfId="30325" xr:uid="{0ECF71C3-B132-42F9-91D6-FA49DFB6CC23}"/>
    <cellStyle name="Normal 6 3 3 3 2 6 3 2" xfId="31468" xr:uid="{64226B14-8E2D-4A6B-B1EA-CFD0A01681C0}"/>
    <cellStyle name="Normal 6 3 3 3 2 6 4" xfId="31665" xr:uid="{DBA5C1A5-A154-4B8F-A90E-5CFDC92DCCDC}"/>
    <cellStyle name="Normal 6 3 3 3 2 6 5" xfId="31959" xr:uid="{AFB3293D-1D1B-4E4B-BCC4-9F86F25FDAD0}"/>
    <cellStyle name="Normal 6 3 3 3 2 7" xfId="30145" xr:uid="{80BE168A-ACEA-40EE-BC12-1FF256FF1F93}"/>
    <cellStyle name="Normal 6 3 3 3 2 7 2" xfId="30512" xr:uid="{1E65CB5E-5F31-4857-9CD1-EB4B121E79A0}"/>
    <cellStyle name="Normal 6 3 3 3 2 8" xfId="31779" xr:uid="{4C8A44DD-8075-43F2-9BD9-C440A97796EC}"/>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2 2" xfId="30085" xr:uid="{AC20A973-25C7-4EEA-B8FC-5F924C46B0FC}"/>
    <cellStyle name="Normal 6 3 3 3 4 2 2 2 3" xfId="3748" xr:uid="{00000000-0005-0000-0000-000016060000}"/>
    <cellStyle name="Normal 6 3 3 3 4 2 2 2 3 2" xfId="4777" xr:uid="{AAE7B9DD-D69F-4E10-BB8B-20D4AC9962F5}"/>
    <cellStyle name="Normal 6 3 3 3 4 2 2 2 3 3" xfId="30273" xr:uid="{C37F18FF-54D7-4AE5-9692-111929E55625}"/>
    <cellStyle name="Normal 6 3 3 3 4 2 2 2 3 3 2" xfId="31416" xr:uid="{249FE48C-C7E7-4065-967D-49544C157FBD}"/>
    <cellStyle name="Normal 6 3 3 3 4 2 2 2 3 4" xfId="31613" xr:uid="{189EC8A1-D2C2-42E5-A270-697BF07C7A33}"/>
    <cellStyle name="Normal 6 3 3 3 4 2 2 2 3 5" xfId="31907" xr:uid="{64AE5BE2-C6F0-4593-AF10-CB08CD91C41C}"/>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4 3" xfId="30210" xr:uid="{A160096C-0CB9-4F26-AE17-C47BB86B37E8}"/>
    <cellStyle name="Normal 6 3 3 3 4 2 3 4 3 2" xfId="31354" xr:uid="{C3EE6054-A4E1-4094-825A-1C1BF8659EA8}"/>
    <cellStyle name="Normal 6 3 3 3 4 2 3 4 4" xfId="31550" xr:uid="{9102B438-FA41-4457-A61B-AE31F663F9E7}"/>
    <cellStyle name="Normal 6 3 3 3 4 2 3 4 5" xfId="31844" xr:uid="{FF44EAE1-CC4B-400F-A821-0D0892824B90}"/>
    <cellStyle name="Normal 6 3 3 3 4 2 3 5" xfId="25802" xr:uid="{593CE574-319A-4AC6-9B5C-702D762FB4CA}"/>
    <cellStyle name="Normal 6 3 3 3 4 2 3 6" xfId="30541" xr:uid="{5EBC0163-4363-4F13-A5DD-AE3FCBD0410B}"/>
    <cellStyle name="Normal 6 3 3 3 4 2 4" xfId="25640" xr:uid="{EABC3D6A-712F-4FB3-BEB7-DF746EAFE1AE}"/>
    <cellStyle name="Normal 6 3 3 3 4 3" xfId="1264" xr:uid="{00000000-0005-0000-0000-0000B9060000}"/>
    <cellStyle name="Normal 6 3 3 3 4 4" xfId="2972" xr:uid="{00000000-0005-0000-0000-00009F070000}"/>
    <cellStyle name="Normal 6 3 3 3 4 4 2" xfId="31294" xr:uid="{186211C7-282C-42A3-AABA-91AA76594D8B}"/>
    <cellStyle name="Normal 6 3 3 3 4 5" xfId="2128" xr:uid="{00000000-0005-0000-0000-0000C1020000}"/>
    <cellStyle name="Normal 6 3 3 3 4 5 2" xfId="4672" xr:uid="{3CF7EC19-F0E2-4711-B08D-946163A456F8}"/>
    <cellStyle name="Normal 6 3 3 3 4 5 3" xfId="30209" xr:uid="{04383268-857B-47C7-9699-654DD5736F7C}"/>
    <cellStyle name="Normal 6 3 3 3 4 5 3 2" xfId="31353" xr:uid="{8F87091D-845B-4E2D-9607-3B2C3F78CB20}"/>
    <cellStyle name="Normal 6 3 3 3 4 5 4" xfId="31549" xr:uid="{F438C024-05C0-4B0E-BC65-1729E3C29826}"/>
    <cellStyle name="Normal 6 3 3 3 4 5 5" xfId="31843" xr:uid="{D1D22720-42CB-4E40-B482-92A31F5815B3}"/>
    <cellStyle name="Normal 6 3 3 3 4 6" xfId="4035" xr:uid="{4F2918E3-7CCF-44F2-8B12-399DCD69E664}"/>
    <cellStyle name="Normal 6 3 3 3 4 6 2" xfId="4704" xr:uid="{66B78E9E-F4AB-4BA4-9562-EF211951A15F}"/>
    <cellStyle name="Normal 6 3 3 3 4 6 3" xfId="30327" xr:uid="{95C354DC-76FB-4CBE-9FB3-F1E8EDAD6C87}"/>
    <cellStyle name="Normal 6 3 3 3 4 6 3 2" xfId="31470" xr:uid="{B4430622-35CF-4C2E-B9B8-E001BD4035B7}"/>
    <cellStyle name="Normal 6 3 3 3 4 6 4" xfId="31667" xr:uid="{76813517-A76E-44EB-B0B6-46D7F2837E3A}"/>
    <cellStyle name="Normal 6 3 3 3 4 6 5" xfId="31961" xr:uid="{51857C86-AF84-4E98-9557-4094E2346B70}"/>
    <cellStyle name="Normal 6 3 3 3 4 7" xfId="30147" xr:uid="{C2411ACB-20F6-4EE0-8B84-B62097023916}"/>
    <cellStyle name="Normal 6 3 3 3 4 7 2" xfId="30514" xr:uid="{BAFE7101-FEEB-42B9-BA1E-81777797EAA5}"/>
    <cellStyle name="Normal 6 3 3 3 4 8" xfId="31781" xr:uid="{2E1ED63D-1216-41C8-809E-8C7973656B24}"/>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3" xfId="24911" xr:uid="{1B73AC05-9E14-42B7-981E-924978277EB1}"/>
    <cellStyle name="Normal 6 3 3 3 5 3 4" xfId="30274" xr:uid="{B96C46A8-B0B0-4A78-8D66-296041A1E571}"/>
    <cellStyle name="Normal 6 3 3 3 5 3 4 2" xfId="31417" xr:uid="{4EF581FF-DB98-4273-BAC1-15F20033B499}"/>
    <cellStyle name="Normal 6 3 3 3 5 3 5" xfId="31614" xr:uid="{304492C9-34A5-491B-90A2-9FC308872402}"/>
    <cellStyle name="Normal 6 3 3 3 5 3 6" xfId="31908" xr:uid="{69BC04FC-FEA8-4E45-8752-A42C8361048B}"/>
    <cellStyle name="Normal 6 3 3 3 5 4" xfId="24243"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3 3 3" xfId="30275" xr:uid="{91ACDD3A-0E04-489A-B8EF-6EF1F1AE6AAE}"/>
    <cellStyle name="Normal 6 3 3 4 3 2 3 3 3 2" xfId="31418" xr:uid="{9ED99E49-38F8-4258-8C5C-4E6CCF898051}"/>
    <cellStyle name="Normal 6 3 3 4 3 2 3 3 4" xfId="31615" xr:uid="{86DC850B-5ABA-4168-A12B-52BB2D92300C}"/>
    <cellStyle name="Normal 6 3 3 4 3 2 3 3 5" xfId="31909" xr:uid="{66977EE9-6F4B-4C05-9F60-D1EDCBE9CD5E}"/>
    <cellStyle name="Normal 6 3 3 4 3 2 4" xfId="25725" xr:uid="{458F7302-1896-4444-8A91-7EEE77D9B42E}"/>
    <cellStyle name="Normal 6 3 3 4 3 3" xfId="1273" xr:uid="{00000000-0005-0000-0000-0000C3060000}"/>
    <cellStyle name="Normal 6 3 3 4 3 4" xfId="2973" xr:uid="{00000000-0005-0000-0000-0000A5070000}"/>
    <cellStyle name="Normal 6 3 3 4 3 4 2" xfId="31301" xr:uid="{9A618AA1-F692-4092-9D65-77B750975D70}"/>
    <cellStyle name="Normal 6 3 3 4 3 5" xfId="2131" xr:uid="{00000000-0005-0000-0000-0000C8020000}"/>
    <cellStyle name="Normal 6 3 3 4 3 5 2" xfId="3855" xr:uid="{14ADEC9D-23D5-4755-9DD0-8765D24571A4}"/>
    <cellStyle name="Normal 6 3 3 4 3 5 3" xfId="30212" xr:uid="{8435FB26-6920-4CAD-AA91-3600F415560A}"/>
    <cellStyle name="Normal 6 3 3 4 3 5 3 2" xfId="31356" xr:uid="{35DA6502-A4A2-4046-B3CE-4037C2DBBE69}"/>
    <cellStyle name="Normal 6 3 3 4 3 5 4" xfId="31552" xr:uid="{072920CB-D524-41F0-B9ED-C02DFA5CF3AC}"/>
    <cellStyle name="Normal 6 3 3 4 3 5 5" xfId="31846" xr:uid="{2D22FBDD-9B81-407A-A5DF-3CE283B1CAA8}"/>
    <cellStyle name="Normal 6 3 3 4 3 6" xfId="4037" xr:uid="{C66D090D-F948-4628-9A4B-3556EC8A8993}"/>
    <cellStyle name="Normal 6 3 3 4 3 6 2" xfId="4740" xr:uid="{6CDE8700-2BC6-4C40-AD11-A661C27D6699}"/>
    <cellStyle name="Normal 6 3 3 4 3 6 3" xfId="30329" xr:uid="{A9169C37-2F33-4AC5-9D16-6468DBFE55C7}"/>
    <cellStyle name="Normal 6 3 3 4 3 6 3 2" xfId="31472" xr:uid="{C08347BC-2FE4-4A4C-88AE-047B4F1111EB}"/>
    <cellStyle name="Normal 6 3 3 4 3 6 4" xfId="31669" xr:uid="{25C9AC63-04F8-44DF-BE45-828C1A0EFA15}"/>
    <cellStyle name="Normal 6 3 3 4 3 6 5" xfId="31963" xr:uid="{674A6D6C-A61D-4C55-B6BD-FC47C98FA7B6}"/>
    <cellStyle name="Normal 6 3 3 4 3 7" xfId="30149" xr:uid="{5DD134DE-7771-4AC1-A6C7-CAB182204804}"/>
    <cellStyle name="Normal 6 3 3 4 3 7 2" xfId="30516" xr:uid="{F5396644-8DAF-4937-A4F1-2401EBC3517A}"/>
    <cellStyle name="Normal 6 3 3 4 3 8" xfId="31783" xr:uid="{12048E24-3C43-4435-BE8C-D5069E93FC2F}"/>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4 3 3" xfId="30276" xr:uid="{7F3E6705-4643-4EF6-886B-EF89E8C009A2}"/>
    <cellStyle name="Normal 6 3 3 4 4 3 3 2" xfId="31419" xr:uid="{519FAA7A-C692-4C62-A964-CCC9D5705A0C}"/>
    <cellStyle name="Normal 6 3 3 4 4 3 4" xfId="31616" xr:uid="{C2001405-3A9E-407C-A41F-4E4E1ECCA430}"/>
    <cellStyle name="Normal 6 3 3 4 4 3 5" xfId="31910" xr:uid="{951405C8-B7DD-4C08-BFB4-871217ABAC05}"/>
    <cellStyle name="Normal 6 3 3 4 5" xfId="2130" xr:uid="{00000000-0005-0000-0000-0000C6020000}"/>
    <cellStyle name="Normal 6 3 3 4 5 2" xfId="3776" xr:uid="{E7CE2CBA-ABE9-40BC-B051-DB9C5FB798E6}"/>
    <cellStyle name="Normal 6 3 3 4 5 3" xfId="30211" xr:uid="{89A8051D-31C3-40B3-9711-90934B61F108}"/>
    <cellStyle name="Normal 6 3 3 4 5 3 2" xfId="31355" xr:uid="{85BF3F84-4BD4-4F22-BAF8-1486D86B8D5C}"/>
    <cellStyle name="Normal 6 3 3 4 5 4" xfId="31551" xr:uid="{A28A8BEB-C65E-4662-A83C-828FBC0BB7C6}"/>
    <cellStyle name="Normal 6 3 3 4 5 5" xfId="31845" xr:uid="{DB32A3B8-5C37-4356-AA3C-90F98EB93FA0}"/>
    <cellStyle name="Normal 6 3 3 4 6" xfId="4036" xr:uid="{45BFAD04-BCD7-4CAC-953D-0DBD444CB6D4}"/>
    <cellStyle name="Normal 6 3 3 4 6 2" xfId="4726" xr:uid="{E376E65A-2E16-478D-B2B0-FCA698161DA4}"/>
    <cellStyle name="Normal 6 3 3 4 6 3" xfId="30328" xr:uid="{7B491ED7-6C6A-4219-B6F7-978B126F66AF}"/>
    <cellStyle name="Normal 6 3 3 4 6 3 2" xfId="31471" xr:uid="{7C5376D0-737F-432C-B2D8-A4762CC89502}"/>
    <cellStyle name="Normal 6 3 3 4 6 4" xfId="31668" xr:uid="{5D3A6406-FADF-46CF-957E-3CA6899F60ED}"/>
    <cellStyle name="Normal 6 3 3 4 6 5" xfId="31962" xr:uid="{DC78F7B7-6B26-4AC5-984F-17C8FD986577}"/>
    <cellStyle name="Normal 6 3 3 4 7" xfId="30148" xr:uid="{838F89EF-1D7F-4065-8D4C-3A4DAF9BF3DA}"/>
    <cellStyle name="Normal 6 3 3 4 7 2" xfId="30515" xr:uid="{05F24ADF-AA50-4531-B604-5CFE29E6FEC6}"/>
    <cellStyle name="Normal 6 3 3 4 8" xfId="31782" xr:uid="{FEEE74F3-2B84-4E8F-BAB1-8AF14D10129F}"/>
    <cellStyle name="Normal 6 3 3 5" xfId="2070" xr:uid="{00000000-0005-0000-0000-0000B9020000}"/>
    <cellStyle name="Normal 6 3 3 5 2" xfId="4799" xr:uid="{907E5E47-F6B2-4DC4-A325-33901AAEA066}"/>
    <cellStyle name="Normal 6 3 3 5 3" xfId="30170" xr:uid="{35A6137A-9A79-4FA9-A0E4-BC9B9671A559}"/>
    <cellStyle name="Normal 6 3 3 5 3 2" xfId="30517" xr:uid="{DABD6C2B-49F9-41EE-B9EE-279CE22049EF}"/>
    <cellStyle name="Normal 6 3 3 5 4" xfId="31510" xr:uid="{FE5EE180-0A6C-4451-850A-0F128D00BDF6}"/>
    <cellStyle name="Normal 6 3 3 5 5" xfId="31804" xr:uid="{B3748554-0B6A-4B8F-9DBC-D73F2A66DFC1}"/>
    <cellStyle name="Normal 6 3 3 6" xfId="30102" xr:uid="{39D311B1-3F99-4637-B6B6-3945F5B433CC}"/>
    <cellStyle name="Normal 6 3 3 6 2" xfId="30475" xr:uid="{F1B2B02C-F2EA-473E-AE49-8B217EFDE528}"/>
    <cellStyle name="Normal 6 3 3 7" xfId="31748" xr:uid="{4A82FE77-F13D-47E1-8718-69A66B938AB7}"/>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3 3 3" xfId="30277" xr:uid="{E5F840FE-5104-4857-8DCE-96279A827F92}"/>
    <cellStyle name="Normal 6 3 4 3 2 3 3 3 2" xfId="31420" xr:uid="{4198C9AA-B1FD-49F4-9439-E7F43D107413}"/>
    <cellStyle name="Normal 6 3 4 3 2 3 3 4" xfId="31617" xr:uid="{909DD0D0-1364-42A4-A034-3430836BB697}"/>
    <cellStyle name="Normal 6 3 4 3 2 3 3 5" xfId="31911" xr:uid="{ED0A0047-CDC3-4569-847C-302E6CE1CE6E}"/>
    <cellStyle name="Normal 6 3 4 3 2 4" xfId="24959" xr:uid="{0DA149DA-ADAC-4AFA-94DC-BF3AC20BD344}"/>
    <cellStyle name="Normal 6 3 4 3 3" xfId="1281" xr:uid="{00000000-0005-0000-0000-0000CD060000}"/>
    <cellStyle name="Normal 6 3 4 3 4" xfId="2975" xr:uid="{00000000-0005-0000-0000-0000AC070000}"/>
    <cellStyle name="Normal 6 3 4 3 4 2" xfId="31289" xr:uid="{BE8648E5-FB61-43AA-BB56-FE67109396AA}"/>
    <cellStyle name="Normal 6 3 4 3 5" xfId="2133" xr:uid="{00000000-0005-0000-0000-0000CC020000}"/>
    <cellStyle name="Normal 6 3 4 3 5 2" xfId="4641" xr:uid="{B14B5BE6-0AD9-4024-B6A3-83DB74FA6323}"/>
    <cellStyle name="Normal 6 3 4 3 5 3" xfId="30214" xr:uid="{E0D683BA-EFB6-4E11-8ABF-098065B0A36F}"/>
    <cellStyle name="Normal 6 3 4 3 5 3 2" xfId="31358" xr:uid="{9C8FE98E-1D8F-4973-8A1E-AB187A709B52}"/>
    <cellStyle name="Normal 6 3 4 3 5 4" xfId="31554" xr:uid="{83DF3942-78DD-4E7E-8FC5-59A81BE0190A}"/>
    <cellStyle name="Normal 6 3 4 3 5 5" xfId="31848" xr:uid="{BB170375-6210-4D6C-9888-71D334730DE6}"/>
    <cellStyle name="Normal 6 3 4 3 6" xfId="4039" xr:uid="{85017E11-7866-4279-9063-BD1F44AA9952}"/>
    <cellStyle name="Normal 6 3 4 3 6 2" xfId="4785" xr:uid="{121F7278-5066-479E-804E-839EF523D6AF}"/>
    <cellStyle name="Normal 6 3 4 3 6 3" xfId="30331" xr:uid="{10D4AA31-3BD6-458F-BF46-08A025222983}"/>
    <cellStyle name="Normal 6 3 4 3 6 3 2" xfId="31474" xr:uid="{45E35B95-8A5B-4E1D-9384-E5D7227BFA78}"/>
    <cellStyle name="Normal 6 3 4 3 6 4" xfId="31671" xr:uid="{5ABCB488-C596-4F4D-A1BD-D5E366D7C9F2}"/>
    <cellStyle name="Normal 6 3 4 3 6 5" xfId="31965" xr:uid="{0080A4F2-C314-4612-BF76-5FBC385C3736}"/>
    <cellStyle name="Normal 6 3 4 3 7" xfId="30151" xr:uid="{7EB70341-ADA0-4143-B80B-2417C60D5EFB}"/>
    <cellStyle name="Normal 6 3 4 3 7 2" xfId="30519" xr:uid="{35C90F93-35F2-4DF2-AF1A-E04B1075095B}"/>
    <cellStyle name="Normal 6 3 4 3 8" xfId="31785" xr:uid="{01430505-97F4-473B-8E56-9B7CA08BF22D}"/>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2 3 3" xfId="30391" xr:uid="{5C1B9AE5-B079-4BE9-940F-38DB98168A0F}"/>
    <cellStyle name="Normal 6 3 4 4 2 3 4" xfId="30378" xr:uid="{0C630832-C427-48AC-B7B7-CDBA068EF46E}"/>
    <cellStyle name="Normal 6 3 4 4 2 3 4 2" xfId="31717" xr:uid="{59210765-A088-4B60-B438-476422DF6627}"/>
    <cellStyle name="Normal 6 3 4 4 2 3 5" xfId="32012" xr:uid="{2A5DE39B-10E2-4CDF-9538-29E120C87514}"/>
    <cellStyle name="Normal 6 3 4 4 2 4" xfId="30364" xr:uid="{ED8C1BC9-242E-4E34-A350-F2FCEF2ABD52}"/>
    <cellStyle name="Normal 6 3 4 4 2 4 2" xfId="31704" xr:uid="{1508FF5D-6EE9-4924-B426-3723E8CF7E8F}"/>
    <cellStyle name="Normal 6 3 4 4 2 5" xfId="31998" xr:uid="{D2580A4E-D5D9-4858-8863-0FBC62EB80D7}"/>
    <cellStyle name="Normal 6 3 4 4 3" xfId="24976" xr:uid="{B81CA4B1-D0EC-4903-82C2-3729418C66EC}"/>
    <cellStyle name="Normal 6 3 4 5" xfId="2132" xr:uid="{00000000-0005-0000-0000-0000CA020000}"/>
    <cellStyle name="Normal 6 3 4 5 2" xfId="4626" xr:uid="{385DF0D6-58F0-450D-88C9-C3CEB76D1408}"/>
    <cellStyle name="Normal 6 3 4 5 3" xfId="30213" xr:uid="{90312F7B-2D6D-405C-8052-43F9AAADE25C}"/>
    <cellStyle name="Normal 6 3 4 5 3 2" xfId="31357" xr:uid="{E7349462-429D-4D08-82F3-1A2EB2E58B37}"/>
    <cellStyle name="Normal 6 3 4 5 4" xfId="31553" xr:uid="{1042ECBD-2BB7-4E90-905B-07F8507D3AB7}"/>
    <cellStyle name="Normal 6 3 4 5 5" xfId="31847" xr:uid="{6C5AA0DD-3468-4F0D-B57F-4A9120AFE14F}"/>
    <cellStyle name="Normal 6 3 4 6" xfId="4038" xr:uid="{8D1101F3-0C22-4BE8-AF14-06E549D8B1C0}"/>
    <cellStyle name="Normal 6 3 4 6 2" xfId="4708" xr:uid="{309113B5-9206-44C4-9B50-F0859B4F4AC0}"/>
    <cellStyle name="Normal 6 3 4 6 3" xfId="30330" xr:uid="{75C41231-A56E-451C-A0E6-06EE355C936A}"/>
    <cellStyle name="Normal 6 3 4 6 3 2" xfId="31473" xr:uid="{E83C45BE-E56B-493C-B749-8DBB698D4281}"/>
    <cellStyle name="Normal 6 3 4 6 4" xfId="31670" xr:uid="{BED4E2F1-8BFE-49E7-94A6-F6C20E56EE89}"/>
    <cellStyle name="Normal 6 3 4 6 5" xfId="31964" xr:uid="{F27C1DC0-90DF-4120-8952-65B84C1CBB5C}"/>
    <cellStyle name="Normal 6 3 4 7" xfId="30150" xr:uid="{230E3327-1DCE-4021-B3F8-983D1A5A137A}"/>
    <cellStyle name="Normal 6 3 4 7 2" xfId="30518" xr:uid="{E88A4B4D-5E2F-4EF4-8F91-154A61DEACCE}"/>
    <cellStyle name="Normal 6 3 4 8" xfId="31784" xr:uid="{6D7E8ABB-FD7C-401F-A318-46987B373574}"/>
    <cellStyle name="Normal 6 3 5" xfId="29609" xr:uid="{631E655F-7844-43BA-9955-2AD29CB8158C}"/>
    <cellStyle name="Normal 6 3 5 2" xfId="29637" xr:uid="{B4AFCDD8-862C-4144-A948-C80FD9D9C627}"/>
    <cellStyle name="Normal 6 3 5 3" xfId="30365" xr:uid="{BB71A935-D937-468C-AA47-D9536B9840FB}"/>
    <cellStyle name="Normal 6 3 5 3 2" xfId="30520" xr:uid="{EB168DF3-E7E9-4582-9E18-6217A4D688DD}"/>
    <cellStyle name="Normal 6 3 5 4" xfId="31999" xr:uid="{E0EBF805-1D6B-4701-B2D1-326C63ED6BE7}"/>
    <cellStyle name="Normal 6 3 6" xfId="31500" xr:uid="{DD156CEF-7EAB-43B9-BB83-25E20C183EA0}"/>
    <cellStyle name="Normal 6 3 7" xfId="31742" xr:uid="{B400B9E4-1355-4386-B647-8830266281C1}"/>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3 3 3" xfId="30278" xr:uid="{E39C729E-3986-412E-9582-DDBDB6F5B372}"/>
    <cellStyle name="Normal 6 5 3 2 3 2 3 3 3 2" xfId="31421" xr:uid="{3CA02C8E-1377-438F-8ACF-277F8C8DB7A0}"/>
    <cellStyle name="Normal 6 5 3 2 3 2 3 3 4" xfId="31618" xr:uid="{0A1895AA-EE88-42AC-B89A-BCDB4B9319D4}"/>
    <cellStyle name="Normal 6 5 3 2 3 2 3 3 5" xfId="31912" xr:uid="{FA306F00-B841-4355-A066-EC66918A692E}"/>
    <cellStyle name="Normal 6 5 3 2 3 2 4" xfId="22682" xr:uid="{9FD8EF5C-1DF1-4ABC-86B0-BC0A24BC7DB0}"/>
    <cellStyle name="Normal 6 5 3 2 3 3" xfId="1292" xr:uid="{00000000-0005-0000-0000-0000D9060000}"/>
    <cellStyle name="Normal 6 5 3 2 3 4" xfId="2977" xr:uid="{00000000-0005-0000-0000-0000B7070000}"/>
    <cellStyle name="Normal 6 5 3 2 3 4 2" xfId="31277" xr:uid="{AC78F16B-C398-421C-B6DA-60754B2F6068}"/>
    <cellStyle name="Normal 6 5 3 2 3 5" xfId="2136" xr:uid="{00000000-0005-0000-0000-0000D4020000}"/>
    <cellStyle name="Normal 6 5 3 2 3 5 2" xfId="4648" xr:uid="{6EE5CD5D-2630-46DB-98C1-E0A91C088B26}"/>
    <cellStyle name="Normal 6 5 3 2 3 5 3" xfId="30217" xr:uid="{ADF6D548-1F3A-459F-A750-74CD99FDEE9A}"/>
    <cellStyle name="Normal 6 5 3 2 3 5 3 2" xfId="31361" xr:uid="{B71D2F94-18B1-4748-AC7B-9E99EEE3BBE2}"/>
    <cellStyle name="Normal 6 5 3 2 3 5 4" xfId="31557" xr:uid="{F49B284C-4158-45C7-A289-51B9D8DE13A3}"/>
    <cellStyle name="Normal 6 5 3 2 3 5 5" xfId="31851" xr:uid="{67AA7A16-6D9A-4F6F-8C69-9779C128EF35}"/>
    <cellStyle name="Normal 6 5 3 2 3 6" xfId="4042" xr:uid="{8B315A9F-8391-474D-B4C0-405EE4404F8E}"/>
    <cellStyle name="Normal 6 5 3 2 3 6 2" xfId="4713" xr:uid="{B2D6BDD1-5721-402C-A1EB-DE58BA876C84}"/>
    <cellStyle name="Normal 6 5 3 2 3 6 3" xfId="30334" xr:uid="{BB68FD68-7256-47F7-953D-2BBE26864CDA}"/>
    <cellStyle name="Normal 6 5 3 2 3 6 3 2" xfId="31476" xr:uid="{8C01FEE2-79B9-4A0F-A784-4FD92A5B6B0B}"/>
    <cellStyle name="Normal 6 5 3 2 3 6 4" xfId="31674" xr:uid="{EBE5DAA1-C59B-46EC-A8F2-1CE773456805}"/>
    <cellStyle name="Normal 6 5 3 2 3 6 5" xfId="31968" xr:uid="{C3B81571-3093-4248-9DDA-B5D3C700E5CD}"/>
    <cellStyle name="Normal 6 5 3 2 3 7" xfId="30153" xr:uid="{49112585-27FD-43F2-BF44-AC831E47158C}"/>
    <cellStyle name="Normal 6 5 3 2 3 7 2" xfId="30522" xr:uid="{97E9803D-6432-444E-A890-68A0602A16F1}"/>
    <cellStyle name="Normal 6 5 3 2 3 8" xfId="31787" xr:uid="{92E4056A-0E55-450E-8180-8D324919DF75}"/>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4 3 3 3" xfId="30392" xr:uid="{3896CCD4-4803-40CF-8441-650569527929}"/>
    <cellStyle name="Normal 6 5 3 2 4 3 3 4" xfId="30379" xr:uid="{CBA19119-5BB4-4E00-A950-1BDA2D9F3805}"/>
    <cellStyle name="Normal 6 5 3 2 4 3 3 4 2" xfId="31718" xr:uid="{8630AAF4-9A72-44FF-B5C2-D15011E2D118}"/>
    <cellStyle name="Normal 6 5 3 2 4 3 3 5" xfId="32013" xr:uid="{ED42548C-FFC3-4356-B950-BF13D0FA1BF0}"/>
    <cellStyle name="Normal 6 5 3 2 4 3 4" xfId="30366" xr:uid="{ECE487CF-3F45-4A59-B530-7A43F95E48BF}"/>
    <cellStyle name="Normal 6 5 3 2 4 3 4 2" xfId="31705" xr:uid="{08509A36-70E6-4EBD-A46D-BFCD7652D951}"/>
    <cellStyle name="Normal 6 5 3 2 4 3 5" xfId="32000" xr:uid="{524D9E0C-D4F0-412A-85C7-DB233C7F4163}"/>
    <cellStyle name="Normal 6 5 3 2 5" xfId="2135" xr:uid="{00000000-0005-0000-0000-0000D2020000}"/>
    <cellStyle name="Normal 6 5 3 2 5 2" xfId="4684" xr:uid="{985E2EB5-9E1E-43AC-B0AB-0DDE28EC2B5C}"/>
    <cellStyle name="Normal 6 5 3 2 5 3" xfId="30216" xr:uid="{D46CE359-6D20-457D-B96B-F51C055BD562}"/>
    <cellStyle name="Normal 6 5 3 2 5 3 2" xfId="31360" xr:uid="{988CB04C-674F-41D1-A07E-95491E04BE7D}"/>
    <cellStyle name="Normal 6 5 3 2 5 4" xfId="31556" xr:uid="{D1D84B56-D950-4446-AE9F-C32773F7F07D}"/>
    <cellStyle name="Normal 6 5 3 2 5 5" xfId="31850" xr:uid="{C249B8BB-7FA6-449E-90CB-9850ACEA77F4}"/>
    <cellStyle name="Normal 6 5 3 2 6" xfId="4041" xr:uid="{8635F82C-04F7-4EC6-B923-CFC4350C7830}"/>
    <cellStyle name="Normal 6 5 3 2 6 2" xfId="4721" xr:uid="{5D5E7BFF-9D34-4E6B-9329-AD7DE75B6822}"/>
    <cellStyle name="Normal 6 5 3 2 6 3" xfId="30333" xr:uid="{32DCCDDE-5942-4CE1-9E1F-32A881D5BAD7}"/>
    <cellStyle name="Normal 6 5 3 2 6 3 2" xfId="31475" xr:uid="{5FA83714-5914-4708-8333-1CC83A3DDB0D}"/>
    <cellStyle name="Normal 6 5 3 2 6 4" xfId="31673" xr:uid="{E9FE8281-905A-4173-80C7-82183386EABC}"/>
    <cellStyle name="Normal 6 5 3 2 6 5" xfId="31967" xr:uid="{3399695D-436F-4CC2-AF84-C02327CC6E8C}"/>
    <cellStyle name="Normal 6 5 3 2 7" xfId="30152" xr:uid="{940D94C0-6359-4490-BCCE-8FEBED747550}"/>
    <cellStyle name="Normal 6 5 3 2 7 2" xfId="30521" xr:uid="{AC08ED16-3FFE-4CEE-BEF0-0022C74CD6F4}"/>
    <cellStyle name="Normal 6 5 3 2 8" xfId="31786" xr:uid="{52842E78-08C4-4D93-B418-278B236D7F7D}"/>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2 2" xfId="30071" xr:uid="{CE4D3F89-E104-4E7C-94DC-8DEA8C31FCE9}"/>
    <cellStyle name="Normal 6 5 3 4 2 2 2 3" xfId="3754" xr:uid="{00000000-0005-0000-0000-000041060000}"/>
    <cellStyle name="Normal 6 5 3 4 2 2 2 3 2" xfId="4751" xr:uid="{26BAC224-8031-4231-90D3-310CC68CB6C0}"/>
    <cellStyle name="Normal 6 5 3 4 2 2 2 3 3" xfId="30279" xr:uid="{D5CEC65A-2ADC-4D45-B3B7-ADDDF3F54B9C}"/>
    <cellStyle name="Normal 6 5 3 4 2 2 2 3 3 2" xfId="31422" xr:uid="{F627CE79-B180-42C5-A491-6351F4C67CBE}"/>
    <cellStyle name="Normal 6 5 3 4 2 2 2 3 4" xfId="31619" xr:uid="{BB2108BE-1192-4E13-B6B9-9D2AB265B6C3}"/>
    <cellStyle name="Normal 6 5 3 4 2 2 2 3 5" xfId="31913" xr:uid="{A7805F84-0B74-416D-ADFD-01F71EC45096}"/>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4 3" xfId="30219" xr:uid="{315EE6F0-4A4B-4614-90D5-5242C6E49BBC}"/>
    <cellStyle name="Normal 6 5 3 4 2 3 4 3 2" xfId="31363" xr:uid="{946949EA-0176-4BCD-B99E-F7D135D21458}"/>
    <cellStyle name="Normal 6 5 3 4 2 3 4 4" xfId="31559" xr:uid="{F5FB7FA9-7FF9-4592-9A76-78A07223589D}"/>
    <cellStyle name="Normal 6 5 3 4 2 3 4 5" xfId="31853" xr:uid="{37184B02-C537-4F3D-B29D-AC1AF1DF004A}"/>
    <cellStyle name="Normal 6 5 3 4 2 3 5" xfId="25819" xr:uid="{146A0A89-FA15-4673-83D1-1BD48BA23B4F}"/>
    <cellStyle name="Normal 6 5 3 4 2 3 6" xfId="30542" xr:uid="{1E4E56E2-FCF3-4C9E-A5C1-C675C3F1A005}"/>
    <cellStyle name="Normal 6 5 3 4 2 4" xfId="24939" xr:uid="{FD27707B-D4A4-422F-BC64-0031AA3E4D05}"/>
    <cellStyle name="Normal 6 5 3 4 3" xfId="1302" xr:uid="{00000000-0005-0000-0000-0000E5060000}"/>
    <cellStyle name="Normal 6 5 3 4 4" xfId="2978" xr:uid="{00000000-0005-0000-0000-0000C0070000}"/>
    <cellStyle name="Normal 6 5 3 4 4 2" xfId="31295" xr:uid="{AB74C274-9F21-4F33-97DC-03C78C47142A}"/>
    <cellStyle name="Normal 6 5 3 4 5" xfId="2137" xr:uid="{00000000-0005-0000-0000-0000D7020000}"/>
    <cellStyle name="Normal 6 5 3 4 5 2" xfId="4668" xr:uid="{D2333BB9-76BA-48B1-B619-1F9C6401FD25}"/>
    <cellStyle name="Normal 6 5 3 4 5 3" xfId="30218" xr:uid="{62554BF8-65F6-4FEE-9102-1517F5320031}"/>
    <cellStyle name="Normal 6 5 3 4 5 3 2" xfId="31362" xr:uid="{8411E2B0-CE72-4FAF-B1B5-E2FDF3AB6116}"/>
    <cellStyle name="Normal 6 5 3 4 5 4" xfId="31558" xr:uid="{613255CF-C246-4231-95AD-15A9EA1A28E1}"/>
    <cellStyle name="Normal 6 5 3 4 5 5" xfId="31852" xr:uid="{69C82089-5492-414A-9DDA-ADF45843FE6D}"/>
    <cellStyle name="Normal 6 5 3 4 6" xfId="4043" xr:uid="{13FADCA8-36DC-469D-8F55-211BB24FA64B}"/>
    <cellStyle name="Normal 6 5 3 4 6 2" xfId="4755" xr:uid="{ABAADEE5-6BDD-4DDF-988F-045E065F16C3}"/>
    <cellStyle name="Normal 6 5 3 4 6 3" xfId="30335" xr:uid="{C370706B-D050-44A6-8DBC-4B79D80786ED}"/>
    <cellStyle name="Normal 6 5 3 4 6 3 2" xfId="31477" xr:uid="{A2072E34-E841-4339-9FD5-C6D6C717F7C6}"/>
    <cellStyle name="Normal 6 5 3 4 6 4" xfId="31675" xr:uid="{A7B8BC6B-0D84-401C-BCE1-1C3CE034DBAA}"/>
    <cellStyle name="Normal 6 5 3 4 6 5" xfId="31969" xr:uid="{37B21FB9-1290-4412-A9CE-92BD2AAF5C40}"/>
    <cellStyle name="Normal 6 5 3 4 7" xfId="30154" xr:uid="{B6B1B1A2-B731-440F-A283-79585C0A73B2}"/>
    <cellStyle name="Normal 6 5 3 4 7 2" xfId="30523" xr:uid="{8E1F6B5E-F917-4E06-A35E-B3F4B762C63D}"/>
    <cellStyle name="Normal 6 5 3 4 8" xfId="31788" xr:uid="{C0022AF3-683F-4822-9FDE-2D4825BB3CEB}"/>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3" xfId="23853" xr:uid="{67DDA71D-7964-413D-BDC5-5EE7AA0D2113}"/>
    <cellStyle name="Normal 6 5 3 5 3 4" xfId="30280" xr:uid="{0F482ABE-F9DD-4AE1-B958-7F9AACCE1E1C}"/>
    <cellStyle name="Normal 6 5 3 5 3 4 2" xfId="31423" xr:uid="{8090AB6F-2CAE-48D4-BCB0-D8D0AD244004}"/>
    <cellStyle name="Normal 6 5 3 5 3 5" xfId="31620" xr:uid="{F37F9835-CED0-41DF-BE2E-CCAD9E7DE39B}"/>
    <cellStyle name="Normal 6 5 3 5 3 6" xfId="31914" xr:uid="{9D47DEBD-EEFE-4E64-8C27-EA9C22AC519C}"/>
    <cellStyle name="Normal 6 5 3 5 4" xfId="23274"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3 3 3" xfId="30281" xr:uid="{44E45A56-0938-496E-848A-9D883B75B8E6}"/>
    <cellStyle name="Normal 6 5 4 3 2 3 3 3 2" xfId="31424" xr:uid="{104720AE-072D-43E6-A876-8E12BB329AC9}"/>
    <cellStyle name="Normal 6 5 4 3 2 3 3 4" xfId="31621" xr:uid="{C63255E8-1A1C-4DD5-BCD8-566984E31045}"/>
    <cellStyle name="Normal 6 5 4 3 2 3 3 5" xfId="31915" xr:uid="{823605E1-DB5C-4F59-9EE6-AE17B1CDA6F4}"/>
    <cellStyle name="Normal 6 5 4 3 2 4" xfId="24664" xr:uid="{C8FD317F-C620-40B3-9E84-C86134062E28}"/>
    <cellStyle name="Normal 6 5 4 3 3" xfId="1311" xr:uid="{00000000-0005-0000-0000-0000EF060000}"/>
    <cellStyle name="Normal 6 5 4 3 4" xfId="2979" xr:uid="{00000000-0005-0000-0000-0000C6070000}"/>
    <cellStyle name="Normal 6 5 4 3 4 2" xfId="31300" xr:uid="{1D63F91C-4880-4AD8-ACE6-3490B3C191AF}"/>
    <cellStyle name="Normal 6 5 4 3 5" xfId="2140" xr:uid="{00000000-0005-0000-0000-0000DE020000}"/>
    <cellStyle name="Normal 6 5 4 3 5 2" xfId="3772" xr:uid="{0DAEABF9-E059-45BB-9EA3-DB8CCF44184B}"/>
    <cellStyle name="Normal 6 5 4 3 5 3" xfId="30221" xr:uid="{45838C83-4A43-4932-BDCE-C8F337A6FF93}"/>
    <cellStyle name="Normal 6 5 4 3 5 3 2" xfId="31365" xr:uid="{1681B1FF-BD73-48EA-B617-B273CD937AF6}"/>
    <cellStyle name="Normal 6 5 4 3 5 4" xfId="31561" xr:uid="{D408C2DC-B73E-44AF-B237-D74B8744DB20}"/>
    <cellStyle name="Normal 6 5 4 3 5 5" xfId="31855" xr:uid="{4429D6D9-8CFE-407C-B71F-35EA55399D04}"/>
    <cellStyle name="Normal 6 5 4 3 6" xfId="4045" xr:uid="{3B6C1D61-E8B0-4D32-BD74-479DABBA050E}"/>
    <cellStyle name="Normal 6 5 4 3 6 2" xfId="4743" xr:uid="{AB0FA666-59CA-452D-8185-BFDD339259A5}"/>
    <cellStyle name="Normal 6 5 4 3 6 3" xfId="30337" xr:uid="{A0F6DACF-5765-4B5B-B0D5-474B058864BF}"/>
    <cellStyle name="Normal 6 5 4 3 6 3 2" xfId="31479" xr:uid="{399043F7-6F4A-4A3E-9634-085F7EF1332F}"/>
    <cellStyle name="Normal 6 5 4 3 6 4" xfId="31677" xr:uid="{0C618089-00EB-4E10-B4F7-F237E3E30D1F}"/>
    <cellStyle name="Normal 6 5 4 3 6 5" xfId="31971" xr:uid="{F0527D1F-273E-49D2-A24A-A75265A92AFF}"/>
    <cellStyle name="Normal 6 5 4 3 7" xfId="30156" xr:uid="{E689BF94-8089-4EDB-8A90-EC9DD05FAEB6}"/>
    <cellStyle name="Normal 6 5 4 3 7 2" xfId="30525" xr:uid="{EFBA4820-C840-4148-BF88-6BDF2F0347D9}"/>
    <cellStyle name="Normal 6 5 4 3 8" xfId="31790" xr:uid="{A00B5BF0-4630-4B27-BCA7-9409C3E3A23A}"/>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4 3 3" xfId="30282" xr:uid="{0B00FD0E-6729-4916-9762-F885F79C9AA2}"/>
    <cellStyle name="Normal 6 5 4 4 3 3 2" xfId="31425" xr:uid="{06166BF6-49AB-4FD9-B6C9-466EFABFB73C}"/>
    <cellStyle name="Normal 6 5 4 4 3 4" xfId="31622" xr:uid="{F51A84E7-859C-4016-A24B-CC6BB58A5781}"/>
    <cellStyle name="Normal 6 5 4 4 3 5" xfId="31916" xr:uid="{7A555C8D-B18E-4F02-8331-898A76BDA649}"/>
    <cellStyle name="Normal 6 5 4 5" xfId="2139" xr:uid="{00000000-0005-0000-0000-0000DC020000}"/>
    <cellStyle name="Normal 6 5 4 5 2" xfId="4628" xr:uid="{F656D414-B9FB-4E57-A874-02EABF4164A9}"/>
    <cellStyle name="Normal 6 5 4 5 3" xfId="30220" xr:uid="{CC65D777-7FA0-471D-A07E-954A4411B4C7}"/>
    <cellStyle name="Normal 6 5 4 5 3 2" xfId="31364" xr:uid="{73E9ABE8-24A6-412C-9014-B32C406F5254}"/>
    <cellStyle name="Normal 6 5 4 5 4" xfId="31560" xr:uid="{6EB7D5EF-0E62-4B3E-BC7A-4EBD9D7356D9}"/>
    <cellStyle name="Normal 6 5 4 5 5" xfId="31854" xr:uid="{D28721DE-819F-43F9-A414-2BEC67C0122E}"/>
    <cellStyle name="Normal 6 5 4 6" xfId="4044" xr:uid="{275714B7-5104-4FAB-9E0E-B1CADB04BD20}"/>
    <cellStyle name="Normal 6 5 4 6 2" xfId="4758" xr:uid="{66B4AC42-B19A-46C7-BB60-AA3BF5A56B35}"/>
    <cellStyle name="Normal 6 5 4 6 3" xfId="30336" xr:uid="{0B89003E-3F94-4F85-8781-8734CDF2F216}"/>
    <cellStyle name="Normal 6 5 4 6 3 2" xfId="31478" xr:uid="{28AE4F89-814E-43D6-B004-239043802B5A}"/>
    <cellStyle name="Normal 6 5 4 6 4" xfId="31676" xr:uid="{C9E8D383-49F9-4B00-9D73-DB9D2C0D47B7}"/>
    <cellStyle name="Normal 6 5 4 6 5" xfId="31970" xr:uid="{433CF912-D1A6-4A9F-8959-3B581688C430}"/>
    <cellStyle name="Normal 6 5 4 7" xfId="30155" xr:uid="{2552D7E3-E9B3-4241-AB50-FAF890DD8E42}"/>
    <cellStyle name="Normal 6 5 4 7 2" xfId="30524" xr:uid="{4C0D5AE6-EFC9-4BFA-B323-123CB782B2A7}"/>
    <cellStyle name="Normal 6 5 4 8" xfId="31789" xr:uid="{33361614-3A2D-4D7D-BAA2-A1E6B612CF9C}"/>
    <cellStyle name="Normal 6 5 5" xfId="2071" xr:uid="{00000000-0005-0000-0000-0000CF020000}"/>
    <cellStyle name="Normal 6 5 5 2" xfId="4762" xr:uid="{58B42343-3889-4193-AB92-064DC779A64F}"/>
    <cellStyle name="Normal 6 5 5 3" xfId="30171" xr:uid="{1B9038EE-4F4C-4744-8861-25102551DC54}"/>
    <cellStyle name="Normal 6 5 5 3 2" xfId="30526" xr:uid="{438B0090-C4E0-4040-B6B8-2ED195399BE5}"/>
    <cellStyle name="Normal 6 5 5 4" xfId="31511" xr:uid="{22A88986-2C4B-4B97-B1CE-8329EB5EAAF9}"/>
    <cellStyle name="Normal 6 5 5 5" xfId="31805" xr:uid="{C050C015-E250-4559-AD66-78B8986C407A}"/>
    <cellStyle name="Normal 6 5 6" xfId="30115" xr:uid="{8D7A58C9-2680-41F9-B10A-5FB6EB00FD95}"/>
    <cellStyle name="Normal 6 5 6 2" xfId="30476" xr:uid="{6AC3E222-93E2-4ED5-A04F-8AD2183A95F8}"/>
    <cellStyle name="Normal 6 5 7" xfId="31749" xr:uid="{CB59BB16-5F38-4712-9C3A-9A00767CB6AD}"/>
    <cellStyle name="Normal 6 6" xfId="1313" xr:uid="{00000000-0005-0000-0000-0000F2060000}"/>
    <cellStyle name="Normal 6 6 10" xfId="30157" xr:uid="{52A1F13F-0078-432B-BBAA-5F6768E9F38E}"/>
    <cellStyle name="Normal 6 6 10 2" xfId="31504" xr:uid="{05AC218F-FBCD-4605-9DE7-01587C8CA6CF}"/>
    <cellStyle name="Normal 6 6 11" xfId="31791" xr:uid="{74FF6331-4671-4D2A-B271-7069687F8CA4}"/>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3 4 4" xfId="30223" xr:uid="{1E0F7A3C-2BD1-4F71-A059-2E52E4FFE1B1}"/>
    <cellStyle name="Normal 6 6 3 3 4 4 2" xfId="31367" xr:uid="{0CD2B232-A623-46D5-BE56-9B0330ABDEE6}"/>
    <cellStyle name="Normal 6 6 3 3 4 5" xfId="31563" xr:uid="{644EB2C4-45E6-4172-BD45-78B17057F6A4}"/>
    <cellStyle name="Normal 6 6 3 3 4 6" xfId="31857" xr:uid="{28903465-60C5-4A10-A8E8-F00A275D3F5A}"/>
    <cellStyle name="Normal 6 6 3 3 5" xfId="30463" xr:uid="{904D57A7-5920-484C-BF65-E06F982671D6}"/>
    <cellStyle name="Normal 6 6 3 3 6" xfId="30543" xr:uid="{45581F97-261A-4B5F-B6BF-52BB811941F9}"/>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3 4 3 3" xfId="30283" xr:uid="{43EAA275-4ABE-462B-9447-B627D0C084F1}"/>
    <cellStyle name="Normal 6 6 3 4 3 3 2" xfId="31426" xr:uid="{93AAD6B1-80BF-4EEF-8D5D-CD727227AB72}"/>
    <cellStyle name="Normal 6 6 3 4 3 4" xfId="31623" xr:uid="{DD574392-F768-47A5-8B02-6EED73AC3250}"/>
    <cellStyle name="Normal 6 6 3 4 3 5" xfId="31917" xr:uid="{3F146B55-5D43-4400-8F65-8489273F94A0}"/>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3 3 3" xfId="30284" xr:uid="{A757C1CC-289F-47DA-B927-DF3F89752397}"/>
    <cellStyle name="Normal 6 6 4 2 3 3 3 2" xfId="31427" xr:uid="{E50733EF-7DA7-4CC6-8EE1-0A08A8F17A48}"/>
    <cellStyle name="Normal 6 6 4 2 3 3 4" xfId="31624" xr:uid="{116C31C3-ADCC-4EDA-827C-4B657CD536F0}"/>
    <cellStyle name="Normal 6 6 4 2 3 3 5" xfId="31918" xr:uid="{960E59B8-C2E3-483C-ADDB-D1989A9218F0}"/>
    <cellStyle name="Normal 6 6 4 2 4" xfId="24612" xr:uid="{0E019910-37DE-43E1-BDD5-941731A48A83}"/>
    <cellStyle name="Normal 6 6 4 3" xfId="1326" xr:uid="{00000000-0005-0000-0000-000000070000}"/>
    <cellStyle name="Normal 6 6 4 4" xfId="2980" xr:uid="{00000000-0005-0000-0000-0000D1070000}"/>
    <cellStyle name="Normal 6 6 4 4 2" xfId="31286" xr:uid="{19635C23-0322-4BD8-97B1-5DC1FA748C5B}"/>
    <cellStyle name="Normal 6 6 4 5" xfId="2143" xr:uid="{00000000-0005-0000-0000-0000E6020000}"/>
    <cellStyle name="Normal 6 6 4 5 2" xfId="4636" xr:uid="{BD1045AF-7E49-48EA-AF41-B1E7071CB221}"/>
    <cellStyle name="Normal 6 6 4 5 3" xfId="30224" xr:uid="{6D024BB1-BCE9-45B1-B4E9-3324C92FA7CE}"/>
    <cellStyle name="Normal 6 6 4 5 3 2" xfId="31368" xr:uid="{A3F6340C-D451-475A-A982-207B891A2261}"/>
    <cellStyle name="Normal 6 6 4 5 4" xfId="31564" xr:uid="{E815B1D5-FDA4-48C8-A684-C03B7EE3E407}"/>
    <cellStyle name="Normal 6 6 4 5 5" xfId="31858" xr:uid="{173280EF-6653-42CB-8434-355231052529}"/>
    <cellStyle name="Normal 6 6 4 6" xfId="4047" xr:uid="{7E3C1600-D01B-4C17-A3C8-5A48EC2345CF}"/>
    <cellStyle name="Normal 6 6 4 6 2" xfId="4715" xr:uid="{68449821-113B-44E2-90F0-E71E4937E5CF}"/>
    <cellStyle name="Normal 6 6 4 6 3" xfId="30339" xr:uid="{4FEA25DB-3C81-4F82-B8DE-5FCA09BE2E0B}"/>
    <cellStyle name="Normal 6 6 4 6 3 2" xfId="31481" xr:uid="{1305EA02-9F5C-4ACE-9E7C-1E5681505D17}"/>
    <cellStyle name="Normal 6 6 4 6 4" xfId="31679" xr:uid="{6C3874CC-609C-48F8-B7E4-A3BC65EC6DA6}"/>
    <cellStyle name="Normal 6 6 4 6 5" xfId="31973" xr:uid="{342A6E5E-5D39-46FA-9E49-D50F18241D08}"/>
    <cellStyle name="Normal 6 6 4 7" xfId="30158" xr:uid="{5E7B4808-922D-4165-8936-0598A0A6DAFF}"/>
    <cellStyle name="Normal 6 6 4 7 2" xfId="30527" xr:uid="{D1390093-1061-4654-B29D-280509906CE5}"/>
    <cellStyle name="Normal 6 6 4 8" xfId="31792" xr:uid="{8DEA34C9-654F-4005-85CB-82FA7DFB213E}"/>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2 3" xfId="30350" xr:uid="{3218E97D-CD8C-4646-865A-D9FE354D3366}"/>
    <cellStyle name="Normal 6 6 6 3 2 3 2" xfId="31490" xr:uid="{3CAE3964-BC01-4657-A282-A605E568255D}"/>
    <cellStyle name="Normal 6 6 6 3 2 4" xfId="31690" xr:uid="{678B2E18-3999-4540-B1B8-C66D5ECF9D30}"/>
    <cellStyle name="Normal 6 6 6 3 2 5" xfId="31984" xr:uid="{AF73F513-87D6-47D6-9646-C04065186AB3}"/>
    <cellStyle name="Normal 6 6 6 3 3" xfId="25364" xr:uid="{25F2D5BA-2D6F-4E91-8FBB-4B9D252657D9}"/>
    <cellStyle name="Normal 6 6 6 4" xfId="2153" xr:uid="{00000000-0005-0000-0000-0000E9020000}"/>
    <cellStyle name="Normal 6 6 6 4 2" xfId="4691" xr:uid="{114F1330-7415-461B-B792-61BE07D55AC7}"/>
    <cellStyle name="Normal 6 6 6 4 3" xfId="30234" xr:uid="{F58AE918-38CD-4E0E-A2D9-09149BED6B00}"/>
    <cellStyle name="Normal 6 6 6 4 3 2" xfId="31378" xr:uid="{4B856CE8-FBE5-40B9-9BC7-A62E57FFCD5D}"/>
    <cellStyle name="Normal 6 6 6 4 4" xfId="31574" xr:uid="{4C1B4E78-3692-4AD9-812B-F104F8C9273E}"/>
    <cellStyle name="Normal 6 6 6 4 5" xfId="31868" xr:uid="{03485721-D522-4C8E-B1BE-9731A263D2AE}"/>
    <cellStyle name="Normal 6 6 6 5" xfId="4096" xr:uid="{E42903F7-CF43-4BB8-AC03-F1EB46C1FC19}"/>
    <cellStyle name="Normal 6 6 6 5 2" xfId="4767" xr:uid="{2CC1BF88-5B5D-4701-8916-7B15CC9D2D01}"/>
    <cellStyle name="Normal 6 6 6 5 3" xfId="30348" xr:uid="{98CCC825-4A1A-42E6-B1AA-0E2C69D86523}"/>
    <cellStyle name="Normal 6 6 6 5 3 2" xfId="30469" xr:uid="{4FBD431D-8DEA-4803-A24A-7EA12E3C3A28}"/>
    <cellStyle name="Normal 6 6 6 5 4" xfId="31688" xr:uid="{C49B3C7B-D919-4712-AAA7-9D97D397881B}"/>
    <cellStyle name="Normal 6 6 6 5 5" xfId="31982" xr:uid="{6B670D1B-72F8-476C-9820-687259F35253}"/>
    <cellStyle name="Normal 6 6 6 6" xfId="25714" xr:uid="{CE44424C-FDE2-4274-9AAC-2B2782EEB566}"/>
    <cellStyle name="Normal 6 6 6 6 2" xfId="26403" xr:uid="{DEBDC983-AB32-4C69-A2AF-B29A4C97979C}"/>
    <cellStyle name="Normal 6 6 6 6 3" xfId="31163" xr:uid="{BD47C53A-D048-4DE0-B9CB-CDDE1C18DABC}"/>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7 3 3" xfId="30285" xr:uid="{2C0FF210-3F32-4667-BC76-A197BDA7207F}"/>
    <cellStyle name="Normal 6 6 7 3 3 2" xfId="31428" xr:uid="{AD38E9A4-55DA-497D-9BB3-C9C7088878B7}"/>
    <cellStyle name="Normal 6 6 7 3 4" xfId="31625" xr:uid="{42646DD9-025F-4705-9E62-4F3B5975772E}"/>
    <cellStyle name="Normal 6 6 7 3 5" xfId="31919" xr:uid="{16F026D2-0DB1-46A8-8FFA-BC5B09FC2223}"/>
    <cellStyle name="Normal 6 6 8" xfId="2141" xr:uid="{00000000-0005-0000-0000-0000E0020000}"/>
    <cellStyle name="Normal 6 6 8 2" xfId="4774" xr:uid="{C961BEA7-4CED-4BA6-BDFD-A714A0F418E5}"/>
    <cellStyle name="Normal 6 6 8 3" xfId="30222" xr:uid="{37158C93-C128-47BC-9E38-D6AD1178AECA}"/>
    <cellStyle name="Normal 6 6 8 3 2" xfId="31366" xr:uid="{872114F9-D194-46EE-A5D9-EE1B0BAD18D4}"/>
    <cellStyle name="Normal 6 6 8 4" xfId="31562" xr:uid="{3F39477A-ED45-441A-A75D-B419A820AC75}"/>
    <cellStyle name="Normal 6 6 8 5" xfId="31856" xr:uid="{7366CA6F-6EE2-4AEC-9452-BA6A62DD4FB2}"/>
    <cellStyle name="Normal 6 6 9" xfId="4046" xr:uid="{A50BAD3F-B140-4A20-83B4-791B93C5BDD0}"/>
    <cellStyle name="Normal 6 6 9 2" xfId="4823" xr:uid="{7CDE7D59-F383-4AF9-8CAA-D8B18AFC360A}"/>
    <cellStyle name="Normal 6 6 9 3" xfId="30338" xr:uid="{3A6A9E50-0BA5-4941-9213-B78E13DA814B}"/>
    <cellStyle name="Normal 6 6 9 3 2" xfId="31480" xr:uid="{6013DB08-71B5-4C90-970E-D19F82C70232}"/>
    <cellStyle name="Normal 6 6 9 4" xfId="31678" xr:uid="{53DDC73E-BA27-4E23-88D4-7A4DBD3D816F}"/>
    <cellStyle name="Normal 6 6 9 5" xfId="31972" xr:uid="{10DB9F5C-EF7E-4FBA-9689-529FC0D984FB}"/>
    <cellStyle name="Normal 6 7" xfId="29575" xr:uid="{949E648E-1627-4304-B1D4-9DF911CA9729}"/>
    <cellStyle name="Normal 6 7 2" xfId="29632" xr:uid="{0E90CD01-BDD5-4813-BF65-92255AD7581D}"/>
    <cellStyle name="Normal 6 7 2 2" xfId="31251" xr:uid="{93E5B342-B8B5-4605-BBB7-D65BB0DA361E}"/>
    <cellStyle name="Normal 6 7 2 3" xfId="30419" xr:uid="{12179D78-6B54-4E06-83B0-9939D6079D0B}"/>
    <cellStyle name="Normal 6 7 3" xfId="29611" xr:uid="{7AF28517-C91E-49FA-99C2-5F623D4C0532}"/>
    <cellStyle name="Normal 6 7 3 2" xfId="29651" xr:uid="{53DFD4C6-C645-4A38-ACB5-6A77D465B439}"/>
    <cellStyle name="Normal 6 7 3 3" xfId="30393" xr:uid="{A5E5D95B-DDD1-4A2C-BD44-CABFE47ABDB3}"/>
    <cellStyle name="Normal 6 7 3 4" xfId="30380" xr:uid="{5155BC23-F086-4F1A-906F-131E56510975}"/>
    <cellStyle name="Normal 6 7 3 4 2" xfId="31719" xr:uid="{2BC8B870-CC42-4F6F-B727-0ADF1FB26729}"/>
    <cellStyle name="Normal 6 7 3 5" xfId="32014" xr:uid="{E5B9F66D-6161-48B2-803E-6760CD70079F}"/>
    <cellStyle name="Normal 6 7 4" xfId="29640" xr:uid="{BF5B92AD-058E-4424-9669-B083BD07B8A2}"/>
    <cellStyle name="Normal 6 7 5" xfId="30367" xr:uid="{F68FEA24-123A-403F-96BE-EBB35A98CD3A}"/>
    <cellStyle name="Normal 6 7 5 2" xfId="31245" xr:uid="{E6CAD0FF-2279-4F48-A47B-5AABE6331490}"/>
    <cellStyle name="Normal 6 7 5 3" xfId="31706" xr:uid="{5A1A3DA2-D180-456E-AB85-E966B8A9EF63}"/>
    <cellStyle name="Normal 6 7 6" xfId="32001" xr:uid="{21442EBC-428C-40AE-9CDB-EDF03BE8B984}"/>
    <cellStyle name="Normal 6 8" xfId="31497" xr:uid="{87BFBF72-39C8-449B-BCD7-58E40C532503}"/>
    <cellStyle name="Normal 6 9" xfId="31739" xr:uid="{76EECAB5-253D-4568-A8DF-AA4469B54760}"/>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2 4" xfId="31106" xr:uid="{30963E68-DF7F-441E-B851-E7A8DAB34A08}"/>
    <cellStyle name="Normal 7 14 2 2 5" xfId="30421" xr:uid="{B8C63CF5-2E3D-473B-81DF-62C1DAE53521}"/>
    <cellStyle name="Normal 7 14 2 3" xfId="12176" xr:uid="{14EEB91B-D8F9-4F06-B344-22845EF1E6AA}"/>
    <cellStyle name="Normal 7 14 2 3 2" xfId="22556" xr:uid="{3B072E4D-49A0-409B-9BD9-9B2AAEACA31C}"/>
    <cellStyle name="Normal 7 14 2 4" xfId="24584" xr:uid="{5942702B-591C-4132-A5C1-66F61F49F937}"/>
    <cellStyle name="Normal 7 14 2 4 2" xfId="31154" xr:uid="{DFD19340-27A1-4EB4-9771-AFF3F37C5F8F}"/>
    <cellStyle name="Normal 7 14 2 4 3" xfId="30528" xr:uid="{097927A9-822F-4CE1-ABAF-BC40902279A8}"/>
    <cellStyle name="Normal 7 14 2 5" xfId="16890" xr:uid="{683ACCB9-7C62-4B63-B4F1-090AB6DAC786}"/>
    <cellStyle name="Normal 7 14 2 6" xfId="30416" xr:uid="{CAAFDBF3-936A-463B-A3A3-49A746E7DF3C}"/>
    <cellStyle name="Normal 7 14 3" xfId="5400" xr:uid="{FAC9975F-8F2F-4E63-A9C3-9F3C1010A589}"/>
    <cellStyle name="Normal 7 14 3 2" xfId="25774" xr:uid="{8D397C2B-E913-4504-B12F-1B0EE6347D16}"/>
    <cellStyle name="Normal 7 14 3 2 2" xfId="30609" xr:uid="{8CB35ADA-85AD-456B-A4A2-9E7935D7A153}"/>
    <cellStyle name="Normal 7 14 3 2 3" xfId="30628" xr:uid="{844DF4E4-5553-4C45-8863-EB680F88D5AA}"/>
    <cellStyle name="Normal 7 14 3 2 4" xfId="30934" xr:uid="{01A695C0-06D1-4038-BF9D-2C5EAC4E3B89}"/>
    <cellStyle name="Normal 7 14 3 3" xfId="27633" xr:uid="{07857877-B5B2-4CEB-A569-43A78CB1FF4C}"/>
    <cellStyle name="Normal 7 14 3 3 2" xfId="30637" xr:uid="{B264691C-E730-4EB5-8788-D14FC0F420C6}"/>
    <cellStyle name="Normal 7 14 3 3 3" xfId="30947" xr:uid="{6CD0E69B-2973-47A6-BAED-35F716DDA0C5}"/>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6 3" xfId="30394" xr:uid="{FA523EAF-70B8-4AB1-B244-F2E2D64AD147}"/>
    <cellStyle name="Normal 7 14 3 6 4" xfId="30381" xr:uid="{D9D852A3-6220-47B4-992C-3A8987A5120D}"/>
    <cellStyle name="Normal 7 14 3 6 4 2" xfId="31720" xr:uid="{E0D828CE-13E3-40E8-9A67-00BAC0712D97}"/>
    <cellStyle name="Normal 7 14 3 6 5" xfId="32015" xr:uid="{46B3987C-F377-4BA8-88FD-DD093606B7D0}"/>
    <cellStyle name="Normal 7 14 3 7" xfId="29635" xr:uid="{34C97F94-45C7-4B15-9ED5-2C3B425DF668}"/>
    <cellStyle name="Normal 7 14 3 8" xfId="30368" xr:uid="{41672123-6C8D-4359-9C8E-48BF387564A2}"/>
    <cellStyle name="Normal 7 14 3 8 2" xfId="31707" xr:uid="{E814CD8D-8D5B-49AD-88A8-8E69D7486D14}"/>
    <cellStyle name="Normal 7 14 3 9" xfId="32002" xr:uid="{BCC042FB-75E0-4775-91B4-89B2F3EE376D}"/>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4 5" xfId="30999" xr:uid="{2F8BC7AC-73B7-4F15-821E-FB071EE57409}"/>
    <cellStyle name="Normal 7 14 4 6" xfId="30420" xr:uid="{385EB25C-5F27-41F3-A609-38B7663A6BFD}"/>
    <cellStyle name="Normal 7 14 5" xfId="9983" xr:uid="{8235CE7C-372C-4318-A599-8E62C285DA7B}"/>
    <cellStyle name="Normal 7 14 5 2" xfId="29451" xr:uid="{AEDE9949-7169-4514-AE0E-4A891C24561E}"/>
    <cellStyle name="Normal 7 14 5 3" xfId="20363" xr:uid="{9449C78C-D33B-459C-BBF9-694343407FAB}"/>
    <cellStyle name="Normal 7 14 5 4" xfId="30939" xr:uid="{E0BCDBFB-8F60-42E5-B625-B2599670E8F5}"/>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2 4" xfId="30935" xr:uid="{33745800-52FB-4055-8019-A260A36BC408}"/>
    <cellStyle name="Normal 7 15 3" xfId="7557" xr:uid="{F1E98D2C-5E23-44D7-A17A-E7E508629C08}"/>
    <cellStyle name="Normal 7 15 3 2" xfId="17937" xr:uid="{AE558860-C380-4D33-B8F4-BAFABF7E14FC}"/>
    <cellStyle name="Normal 7 15 3 3" xfId="30948" xr:uid="{0DCC9790-3146-4601-AB3F-28C8BDFFB878}"/>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2 3" xfId="30950" xr:uid="{A45B824F-5108-4980-B469-78E9818C36B4}"/>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20 2" xfId="29834" xr:uid="{06A9DF73-34B1-440D-84B3-8A48C8702549}"/>
    <cellStyle name="Normal 7 20 2 2" xfId="31246" xr:uid="{209E63D4-6E49-46E2-AC41-4E8AA5C77F37}"/>
    <cellStyle name="Normal 7 21" xfId="29979" xr:uid="{9CE9C7A0-056C-44AD-A33D-E7968E3C6153}"/>
    <cellStyle name="Normal 7 21 2" xfId="31501" xr:uid="{FFA9F5D8-7DC6-4F24-B4CD-E82A02F1D2A8}"/>
    <cellStyle name="Normal 7 22" xfId="30111" xr:uid="{758F768F-0264-4A45-A815-34609497E100}"/>
    <cellStyle name="Normal 7 22 2" xfId="32018" xr:uid="{50E47BEF-A468-48F5-A420-3B199B9330CE}"/>
    <cellStyle name="Normal 7 23" xfId="31743" xr:uid="{CEF6573A-53EC-4ADF-A172-4A2371A008E9}"/>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3 3 3" xfId="30286" xr:uid="{CC748A5D-0BEB-4944-8F3D-97F8CF0BB353}"/>
    <cellStyle name="Normal 7 3 3 2 3 2 3 3 3 2" xfId="31429" xr:uid="{6DA37E3D-007F-49C2-A12C-7354CDCD0FDC}"/>
    <cellStyle name="Normal 7 3 3 2 3 2 3 3 4" xfId="31626" xr:uid="{A591BBBB-0D4A-46D3-A04A-7C0B2D602A7C}"/>
    <cellStyle name="Normal 7 3 3 2 3 2 3 3 5" xfId="31920" xr:uid="{55361E46-5E85-436F-A87E-13321082FEED}"/>
    <cellStyle name="Normal 7 3 3 2 3 2 4" xfId="24308" xr:uid="{4F4781A6-ECE1-4C9E-AC58-6E5C10C0A2BA}"/>
    <cellStyle name="Normal 7 3 3 2 3 3" xfId="1362" xr:uid="{00000000-0005-0000-0000-000025070000}"/>
    <cellStyle name="Normal 7 3 3 2 3 4" xfId="2983" xr:uid="{00000000-0005-0000-0000-0000FA070000}"/>
    <cellStyle name="Normal 7 3 3 2 3 4 2" xfId="31276" xr:uid="{FE80F6DF-4597-4CFB-BBD3-5BE6A13FC5D1}"/>
    <cellStyle name="Normal 7 3 3 2 3 5" xfId="2145" xr:uid="{00000000-0005-0000-0000-0000F7020000}"/>
    <cellStyle name="Normal 7 3 3 2 3 5 2" xfId="4635" xr:uid="{4276D1A2-DC93-4587-8A35-0E2B48A1053D}"/>
    <cellStyle name="Normal 7 3 3 2 3 5 3" xfId="30226" xr:uid="{26797C4E-8D1E-4032-A1BF-A4CEED6C0C3E}"/>
    <cellStyle name="Normal 7 3 3 2 3 5 3 2" xfId="31370" xr:uid="{AE22E742-9D01-4013-99C2-F097DBB0C902}"/>
    <cellStyle name="Normal 7 3 3 2 3 5 4" xfId="31566" xr:uid="{44215A84-68FA-41D8-95CF-672B06952FBE}"/>
    <cellStyle name="Normal 7 3 3 2 3 5 5" xfId="31860" xr:uid="{9CBCCE02-47FB-4AF6-ADDB-B464771E04FE}"/>
    <cellStyle name="Normal 7 3 3 2 3 6" xfId="4055" xr:uid="{B827FBD5-2E2E-4EC7-8D41-DDFF87CC148D}"/>
    <cellStyle name="Normal 7 3 3 2 3 6 2" xfId="4800" xr:uid="{41E9EAB1-F610-481E-9DBF-172EE15DBDDE}"/>
    <cellStyle name="Normal 7 3 3 2 3 6 3" xfId="30341" xr:uid="{1870D514-1782-4A72-924A-46F157C54A64}"/>
    <cellStyle name="Normal 7 3 3 2 3 6 3 2" xfId="31483" xr:uid="{10473CFF-088B-46C0-9F1B-6A43DFDE6F83}"/>
    <cellStyle name="Normal 7 3 3 2 3 6 4" xfId="31681" xr:uid="{A0C69ABB-68AB-49B8-8AA7-23CBE1147DF3}"/>
    <cellStyle name="Normal 7 3 3 2 3 6 5" xfId="31975" xr:uid="{97F602CD-4D32-4105-B0B3-757FFCD6EBFE}"/>
    <cellStyle name="Normal 7 3 3 2 3 7" xfId="30160" xr:uid="{780A71C4-DEF8-4E6E-ACC0-3655804A98B1}"/>
    <cellStyle name="Normal 7 3 3 2 3 7 2" xfId="30530" xr:uid="{0EEE45BB-0632-4849-9B3D-03E60AC02070}"/>
    <cellStyle name="Normal 7 3 3 2 3 8" xfId="31794" xr:uid="{C144B9C8-39BD-4E83-B5B7-593FF45276F0}"/>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4 3 3 3" xfId="30395" xr:uid="{298B7D3F-FBD5-4460-93A9-F54645816E7E}"/>
    <cellStyle name="Normal 7 3 3 2 4 3 3 4" xfId="30382" xr:uid="{EB6E69B1-D944-4719-98E3-285669324B35}"/>
    <cellStyle name="Normal 7 3 3 2 4 3 3 4 2" xfId="31721" xr:uid="{C95F887A-0DE3-4885-9933-DFDC3C26B10C}"/>
    <cellStyle name="Normal 7 3 3 2 4 3 3 5" xfId="32016" xr:uid="{BAA84678-B9E5-44F0-AACB-BC984A455A5A}"/>
    <cellStyle name="Normal 7 3 3 2 4 3 4" xfId="30369" xr:uid="{51F68BB7-1CBC-471B-8C45-133EBC2770D2}"/>
    <cellStyle name="Normal 7 3 3 2 4 3 4 2" xfId="31708" xr:uid="{9A461396-9683-439E-A844-9F185B081F12}"/>
    <cellStyle name="Normal 7 3 3 2 4 3 5" xfId="32003" xr:uid="{8F72FC01-163A-4051-8EAF-8C05A91C2A2C}"/>
    <cellStyle name="Normal 7 3 3 2 5" xfId="2144" xr:uid="{00000000-0005-0000-0000-0000F5020000}"/>
    <cellStyle name="Normal 7 3 3 2 5 2" xfId="4663" xr:uid="{8519FF03-5F6D-4EB4-B933-25C9AA886D70}"/>
    <cellStyle name="Normal 7 3 3 2 5 3" xfId="30225" xr:uid="{3961AF33-EFDD-4226-A841-E3976186FFD4}"/>
    <cellStyle name="Normal 7 3 3 2 5 3 2" xfId="31369" xr:uid="{16EBF1E3-7968-444B-8C3D-D7DC786844C8}"/>
    <cellStyle name="Normal 7 3 3 2 5 4" xfId="31565" xr:uid="{214AA77A-3A32-4BAE-847A-D697B49E96EA}"/>
    <cellStyle name="Normal 7 3 3 2 5 5" xfId="31859" xr:uid="{8A5C62B8-D4CC-4179-ADE7-B7BC4D8AF4B6}"/>
    <cellStyle name="Normal 7 3 3 2 6" xfId="4054" xr:uid="{0F69AA1D-AABD-4773-8E71-6D7F88104E7D}"/>
    <cellStyle name="Normal 7 3 3 2 6 2" xfId="4706" xr:uid="{FBE10302-99A6-4D2B-BB8D-B20AC5081845}"/>
    <cellStyle name="Normal 7 3 3 2 6 3" xfId="30340" xr:uid="{A37C4874-8220-4154-9C48-359C73DA2E56}"/>
    <cellStyle name="Normal 7 3 3 2 6 3 2" xfId="31482" xr:uid="{1468B4C2-4CC6-4853-886D-572963C37F80}"/>
    <cellStyle name="Normal 7 3 3 2 6 4" xfId="31680" xr:uid="{70321CC2-308C-492B-9C17-C00F1D0D05E8}"/>
    <cellStyle name="Normal 7 3 3 2 6 5" xfId="31974" xr:uid="{5153D389-8175-4598-B8CE-6C4EAFCC97B3}"/>
    <cellStyle name="Normal 7 3 3 2 7" xfId="30159" xr:uid="{FA8D9B86-1118-4618-BB6D-43B775B037D2}"/>
    <cellStyle name="Normal 7 3 3 2 7 2" xfId="30529" xr:uid="{5EDFF2C5-0B36-4BC0-9185-4FF885E1700E}"/>
    <cellStyle name="Normal 7 3 3 2 8" xfId="31793" xr:uid="{32B13723-F3E1-4DA7-85FD-F0F88921FADD}"/>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2 2" xfId="30080" xr:uid="{3537F8E7-8F63-4952-A614-60ED7C47A13A}"/>
    <cellStyle name="Normal 7 3 3 4 2 2 2 3" xfId="3762" xr:uid="{00000000-0005-0000-0000-00008B060000}"/>
    <cellStyle name="Normal 7 3 3 4 2 2 2 3 2" xfId="4690" xr:uid="{FFDAA0C2-4A8B-4197-B6CC-922603129983}"/>
    <cellStyle name="Normal 7 3 3 4 2 2 2 3 3" xfId="30287" xr:uid="{A5F56370-D827-4B99-ABC8-6275F53DD26A}"/>
    <cellStyle name="Normal 7 3 3 4 2 2 2 3 3 2" xfId="31430" xr:uid="{1B7941D8-E613-4CAB-A60E-F55CDB998239}"/>
    <cellStyle name="Normal 7 3 3 4 2 2 2 3 4" xfId="31627" xr:uid="{07B95D85-B905-48E7-BD19-0355BFAB2114}"/>
    <cellStyle name="Normal 7 3 3 4 2 2 2 3 5" xfId="31921" xr:uid="{63301C97-B84A-4E7A-8688-742EB75815D0}"/>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4 3" xfId="30228" xr:uid="{F67EB70F-E06D-4EBB-9414-4F6A0ABDCA9A}"/>
    <cellStyle name="Normal 7 3 3 4 2 3 4 3 2" xfId="31372" xr:uid="{150FAA65-DC89-4157-9322-130B051ADE2F}"/>
    <cellStyle name="Normal 7 3 3 4 2 3 4 4" xfId="31568" xr:uid="{BC1256C2-D523-4DD4-AA26-053BFC807901}"/>
    <cellStyle name="Normal 7 3 3 4 2 3 4 5" xfId="31862" xr:uid="{2EC07911-05C0-4CAF-B202-5092EDBBF497}"/>
    <cellStyle name="Normal 7 3 3 4 2 3 5" xfId="24402" xr:uid="{AE0E1D6A-38CA-406E-AE73-788945631526}"/>
    <cellStyle name="Normal 7 3 3 4 2 3 6" xfId="30544" xr:uid="{AC01CEC4-5B95-4E42-8FF7-121F69B77E99}"/>
    <cellStyle name="Normal 7 3 3 4 2 4" xfId="23708" xr:uid="{E6762BC0-4988-4223-B09E-CC35F0BD73AE}"/>
    <cellStyle name="Normal 7 3 3 4 3" xfId="1372" xr:uid="{00000000-0005-0000-0000-000031070000}"/>
    <cellStyle name="Normal 7 3 3 4 4" xfId="2984" xr:uid="{00000000-0005-0000-0000-000003080000}"/>
    <cellStyle name="Normal 7 3 3 4 4 2" xfId="31290" xr:uid="{9F4A7FD4-2CC3-4D75-A163-54E002A5B431}"/>
    <cellStyle name="Normal 7 3 3 4 5" xfId="2146" xr:uid="{00000000-0005-0000-0000-0000FA020000}"/>
    <cellStyle name="Normal 7 3 3 4 5 2" xfId="4023" xr:uid="{6D2F6D47-4728-4B49-AE2E-D503982C4500}"/>
    <cellStyle name="Normal 7 3 3 4 5 3" xfId="30227" xr:uid="{B4C65A3C-9A2A-47E6-ACA6-EABEB7F3EC73}"/>
    <cellStyle name="Normal 7 3 3 4 5 3 2" xfId="31371" xr:uid="{16A1F998-BDD9-48F0-A1CA-3C3865A23834}"/>
    <cellStyle name="Normal 7 3 3 4 5 4" xfId="31567" xr:uid="{C81BDD7A-E442-49FA-9146-5D12360A9450}"/>
    <cellStyle name="Normal 7 3 3 4 5 5" xfId="31861" xr:uid="{E88DA9FC-87BB-4143-BC53-9B2399968B3D}"/>
    <cellStyle name="Normal 7 3 3 4 6" xfId="4056" xr:uid="{3D663429-9E72-4EFF-8B04-88C376DF2815}"/>
    <cellStyle name="Normal 7 3 3 4 6 2" xfId="4796" xr:uid="{AEA4314F-DE64-4934-8CDE-F04585260C3B}"/>
    <cellStyle name="Normal 7 3 3 4 6 3" xfId="30342" xr:uid="{6116923A-F62C-4F9F-A326-D07A8FD4381A}"/>
    <cellStyle name="Normal 7 3 3 4 6 3 2" xfId="31484" xr:uid="{CDC4F293-C87D-4A0F-B788-8B9E787F9DF4}"/>
    <cellStyle name="Normal 7 3 3 4 6 4" xfId="31682" xr:uid="{85689CFE-9FF2-4DE3-9BD0-535F40259C97}"/>
    <cellStyle name="Normal 7 3 3 4 6 5" xfId="31976" xr:uid="{7977BF5F-CF9F-4A6A-8CB8-A7B643E6B27E}"/>
    <cellStyle name="Normal 7 3 3 4 7" xfId="30161" xr:uid="{52394549-E29E-4278-9C6A-6C4AFCC85D43}"/>
    <cellStyle name="Normal 7 3 3 4 7 2" xfId="30531" xr:uid="{79991904-AF5C-4236-8DCF-6C2BEDC43AA3}"/>
    <cellStyle name="Normal 7 3 3 4 8" xfId="31795" xr:uid="{47E5FB9E-D623-43B4-A4AD-A3D134ACD5E5}"/>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3" xfId="25223" xr:uid="{B55B4F7C-6E21-48BE-9E2E-2D34FC86B976}"/>
    <cellStyle name="Normal 7 3 3 5 3 4" xfId="30288" xr:uid="{7DB1975E-D21E-4CBF-9637-4AE3E6D74C12}"/>
    <cellStyle name="Normal 7 3 3 5 3 4 2" xfId="31431" xr:uid="{99ECBF59-1354-4783-BEAE-B7E19B25B945}"/>
    <cellStyle name="Normal 7 3 3 5 3 5" xfId="31628" xr:uid="{7D588285-A419-4667-B536-46B1B8B1ACDD}"/>
    <cellStyle name="Normal 7 3 3 5 3 6" xfId="31922" xr:uid="{2C59FDC7-DB25-4F03-A12F-8B0B7DE4C225}"/>
    <cellStyle name="Normal 7 3 3 5 4" xfId="24261"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3 3 3" xfId="30289" xr:uid="{30109096-014C-4DA2-92E3-E5015E0ECB5D}"/>
    <cellStyle name="Normal 7 3 4 3 2 3 3 3 2" xfId="31432" xr:uid="{EAB0C2EA-DC67-4172-92E3-7F9D56EB00AD}"/>
    <cellStyle name="Normal 7 3 4 3 2 3 3 4" xfId="31629" xr:uid="{9BD9345E-9D68-4A3B-B175-A464CEC94D75}"/>
    <cellStyle name="Normal 7 3 4 3 2 3 3 5" xfId="31923" xr:uid="{38023B3C-A0A5-4432-BF8A-CF008C9C4100}"/>
    <cellStyle name="Normal 7 3 4 3 2 4" xfId="25414" xr:uid="{F055F10B-64A1-40D8-B460-1A174561E6AE}"/>
    <cellStyle name="Normal 7 3 4 3 3" xfId="1381" xr:uid="{00000000-0005-0000-0000-00003B070000}"/>
    <cellStyle name="Normal 7 3 4 3 4" xfId="2985" xr:uid="{00000000-0005-0000-0000-000009080000}"/>
    <cellStyle name="Normal 7 3 4 3 4 2" xfId="31299" xr:uid="{51B7DBEA-ED31-4954-9F86-83029453074D}"/>
    <cellStyle name="Normal 7 3 4 3 5" xfId="2149" xr:uid="{00000000-0005-0000-0000-000001030000}"/>
    <cellStyle name="Normal 7 3 4 3 5 2" xfId="4669" xr:uid="{E82F8251-A2EF-493C-99EC-798453FDB072}"/>
    <cellStyle name="Normal 7 3 4 3 5 3" xfId="30230" xr:uid="{A6924A06-14A6-48AE-A85A-4DABC1CC13E5}"/>
    <cellStyle name="Normal 7 3 4 3 5 3 2" xfId="31374" xr:uid="{C8D4E907-8DE5-4032-99CD-497732C57A8C}"/>
    <cellStyle name="Normal 7 3 4 3 5 4" xfId="31570" xr:uid="{2AED3941-1FFB-4F03-B67E-AF20682A3540}"/>
    <cellStyle name="Normal 7 3 4 3 5 5" xfId="31864" xr:uid="{4DC4F957-CC23-4812-BAE0-B7E016475ED7}"/>
    <cellStyle name="Normal 7 3 4 3 6" xfId="4058" xr:uid="{19AF6C94-1102-41EB-A615-06CFDA2F78F6}"/>
    <cellStyle name="Normal 7 3 4 3 6 2" xfId="4819" xr:uid="{0CC34133-4C51-4581-8706-421D8E52AF25}"/>
    <cellStyle name="Normal 7 3 4 3 6 3" xfId="30344" xr:uid="{F2BB3124-6AE4-40BC-B519-5A61E185E003}"/>
    <cellStyle name="Normal 7 3 4 3 6 3 2" xfId="31486" xr:uid="{6FDB91E1-41FC-4670-9B2F-D9DC69D295B1}"/>
    <cellStyle name="Normal 7 3 4 3 6 4" xfId="31684" xr:uid="{94F26B9A-DF18-4DFF-9BB3-356E8653AEE6}"/>
    <cellStyle name="Normal 7 3 4 3 6 5" xfId="31978" xr:uid="{9306CA6F-2E9E-481C-8EF0-FBCD946739C3}"/>
    <cellStyle name="Normal 7 3 4 3 7" xfId="30163" xr:uid="{8FB8729F-E256-4613-98CA-4EC4024F1636}"/>
    <cellStyle name="Normal 7 3 4 3 7 2" xfId="30533" xr:uid="{D8F8BCBD-9FA9-4694-BE0E-FA68B6A82F77}"/>
    <cellStyle name="Normal 7 3 4 3 8" xfId="31797" xr:uid="{631BC5F8-D753-4365-B5B2-C7BF0ADA5825}"/>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4 3 3" xfId="30290" xr:uid="{33067305-5030-4C44-A096-EB1A04AB9E17}"/>
    <cellStyle name="Normal 7 3 4 4 3 3 2" xfId="31433" xr:uid="{5464B581-FC1F-4F05-88EE-62C6E6E88CAA}"/>
    <cellStyle name="Normal 7 3 4 4 3 4" xfId="31630" xr:uid="{0A8F1EDA-FA33-459B-B2F0-524CCFD0733E}"/>
    <cellStyle name="Normal 7 3 4 4 3 5" xfId="31924" xr:uid="{D7B6178E-619E-46EE-BDC2-A00B64BB6FB3}"/>
    <cellStyle name="Normal 7 3 4 5" xfId="2148" xr:uid="{00000000-0005-0000-0000-0000FF020000}"/>
    <cellStyle name="Normal 7 3 4 5 2" xfId="4676" xr:uid="{62B191F5-1F42-4E10-9F64-94BCDEA70967}"/>
    <cellStyle name="Normal 7 3 4 5 3" xfId="30229" xr:uid="{754916DA-38F4-4DB4-AC60-276D3B784FE8}"/>
    <cellStyle name="Normal 7 3 4 5 3 2" xfId="31373" xr:uid="{044A87F7-8EA1-490E-9C8D-11D6D6BAE37E}"/>
    <cellStyle name="Normal 7 3 4 5 4" xfId="31569" xr:uid="{5DA86EC8-8286-4878-8542-77217A13FFA4}"/>
    <cellStyle name="Normal 7 3 4 5 5" xfId="31863" xr:uid="{0473FE3B-B9AA-47DE-9BC9-F8D6FA07832C}"/>
    <cellStyle name="Normal 7 3 4 6" xfId="4057" xr:uid="{FA0FC87F-FC4E-4E3F-98FE-B3C6B8313692}"/>
    <cellStyle name="Normal 7 3 4 6 2" xfId="4766" xr:uid="{56DF81AD-9939-4BBA-9856-A8B717C867ED}"/>
    <cellStyle name="Normal 7 3 4 6 3" xfId="30343" xr:uid="{B20B5A7A-FDC4-4249-8466-A745C0238C84}"/>
    <cellStyle name="Normal 7 3 4 6 3 2" xfId="31485" xr:uid="{A0200AC4-E0FC-4EF7-BE2C-B088557646B3}"/>
    <cellStyle name="Normal 7 3 4 6 4" xfId="31683" xr:uid="{3694F6B6-85D0-4B9D-A3E8-21FFBEDC8837}"/>
    <cellStyle name="Normal 7 3 4 6 5" xfId="31977" xr:uid="{36928D29-A131-4FEB-82EE-02A909264579}"/>
    <cellStyle name="Normal 7 3 4 7" xfId="30162" xr:uid="{547D83AB-00BA-499B-81A0-779EECACE4D6}"/>
    <cellStyle name="Normal 7 3 4 7 2" xfId="30532" xr:uid="{C34CEC2F-9910-42A5-A6D6-E9823FE39A10}"/>
    <cellStyle name="Normal 7 3 4 8" xfId="31796" xr:uid="{51DAE4A7-2976-4A42-88D1-2A39C979678A}"/>
    <cellStyle name="Normal 7 3 5" xfId="2072" xr:uid="{00000000-0005-0000-0000-0000F2020000}"/>
    <cellStyle name="Normal 7 3 5 2" xfId="4780" xr:uid="{2BC8EFBC-06F5-4C7E-B0DC-F1B8E24A78E5}"/>
    <cellStyle name="Normal 7 3 5 3" xfId="30172" xr:uid="{DECA1B29-BBE5-4B43-B1E4-970DDF40EAFE}"/>
    <cellStyle name="Normal 7 3 5 3 2" xfId="30534" xr:uid="{1E65DB43-42EC-4ED4-993E-326E053D0E1B}"/>
    <cellStyle name="Normal 7 3 5 4" xfId="31512" xr:uid="{62585BCE-F536-46B9-8EFD-7DDBD82F7D6A}"/>
    <cellStyle name="Normal 7 3 5 5" xfId="31806" xr:uid="{11E33760-64EC-4568-9ABC-E16EE221B5DD}"/>
    <cellStyle name="Normal 7 3 6" xfId="29580" xr:uid="{F508C06F-0760-4DB3-8A82-A860AE1FCD26}"/>
    <cellStyle name="Normal 7 3 6 2" xfId="31247" xr:uid="{35461E4B-121A-4F8F-8CB4-021E38307A97}"/>
    <cellStyle name="Normal 7 3 6 3" xfId="30477" xr:uid="{EA0BC44F-1276-48AD-906F-6873BECD3DA1}"/>
    <cellStyle name="Normal 7 3 7" xfId="30116" xr:uid="{AA681422-51CE-46B6-A8B2-24AE11AA003A}"/>
    <cellStyle name="Normal 7 3 7 2" xfId="31502" xr:uid="{57282A1B-C9B2-4738-A048-DE5BEE2B6052}"/>
    <cellStyle name="Normal 7 3 8" xfId="31750" xr:uid="{6F01602F-B9A8-4E34-928B-8B7B3FDA5091}"/>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3 3 3" xfId="30291" xr:uid="{CB1BD4F2-F63B-4AC6-A611-52768EB82BEB}"/>
    <cellStyle name="Normal 7 6 10 2 3 3 3 2" xfId="31434" xr:uid="{39266993-B013-4166-A920-C26B0A484995}"/>
    <cellStyle name="Normal 7 6 10 2 3 3 4" xfId="31631" xr:uid="{E1F93840-EE29-493B-A5F9-44A29EBD528D}"/>
    <cellStyle name="Normal 7 6 10 2 3 3 5" xfId="31925" xr:uid="{5B5EBB68-0A11-442D-823C-B46CE6330393}"/>
    <cellStyle name="Normal 7 6 10 2 4" xfId="25604" xr:uid="{1F88F4F4-8E7E-4A10-9831-AB18C3F05F2C}"/>
    <cellStyle name="Normal 7 6 10 3" xfId="1466" xr:uid="{00000000-0005-0000-0000-000092070000}"/>
    <cellStyle name="Normal 7 6 10 4" xfId="2998" xr:uid="{00000000-0005-0000-0000-0000DB080000}"/>
    <cellStyle name="Normal 7 6 10 4 2" xfId="31283" xr:uid="{69027C77-DB7A-41A6-AD44-B417C9A1F73E}"/>
    <cellStyle name="Normal 7 6 10 5" xfId="2151" xr:uid="{00000000-0005-0000-0000-000024030000}"/>
    <cellStyle name="Normal 7 6 10 5 2" xfId="4681" xr:uid="{64225ED7-B81F-4829-937E-4C8F86992647}"/>
    <cellStyle name="Normal 7 6 10 5 3" xfId="30232" xr:uid="{E8A66BD3-D076-4AC4-9CB9-C69A4F84E392}"/>
    <cellStyle name="Normal 7 6 10 5 3 2" xfId="31376" xr:uid="{D1DAB6D5-9CCE-40FC-902D-9DEE317FF735}"/>
    <cellStyle name="Normal 7 6 10 5 4" xfId="31572" xr:uid="{11601000-5713-4821-958F-68BE4ED60597}"/>
    <cellStyle name="Normal 7 6 10 5 5" xfId="31866" xr:uid="{3F49E6C2-1A90-4871-B579-033A0A0310AD}"/>
    <cellStyle name="Normal 7 6 10 6" xfId="4079" xr:uid="{5A04D94C-6FA8-4354-90B5-CFB60835C8E6}"/>
    <cellStyle name="Normal 7 6 10 6 2" xfId="4824" xr:uid="{0FEEC669-8F27-4B5E-8A98-CFDB8125CE32}"/>
    <cellStyle name="Normal 7 6 10 6 3" xfId="30346" xr:uid="{F9587E97-63EE-407D-AB4F-67E8F50E4485}"/>
    <cellStyle name="Normal 7 6 10 6 3 2" xfId="31488" xr:uid="{1B8E676E-0AA8-4F0A-8F3B-F346F6626895}"/>
    <cellStyle name="Normal 7 6 10 6 4" xfId="31686" xr:uid="{8B0FF327-4B58-4E9D-B7E2-13B7E118E2F7}"/>
    <cellStyle name="Normal 7 6 10 6 5" xfId="31980" xr:uid="{152DA5AE-C37F-47BF-B925-52D2A4AEDE56}"/>
    <cellStyle name="Normal 7 6 10 7" xfId="30165" xr:uid="{12C3815A-038F-484F-AD47-98D3CF0EAE5F}"/>
    <cellStyle name="Normal 7 6 10 7 2" xfId="30535" xr:uid="{0238211A-81EA-4FE4-8F6A-61EEA3D894FA}"/>
    <cellStyle name="Normal 7 6 10 8" xfId="31799" xr:uid="{8A9FC99B-6DCD-4262-BCF2-EB79CEDF5684}"/>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2 3" xfId="30351" xr:uid="{32EA88A3-08AC-49A9-88D9-78D4B3CF965A}"/>
    <cellStyle name="Normal 7 6 12 3 2 3 2" xfId="31491" xr:uid="{4E36D0A4-F1F3-4DA5-BD91-14C17BE12718}"/>
    <cellStyle name="Normal 7 6 12 3 2 4" xfId="31691" xr:uid="{4EB2BB40-362C-4EB4-A380-9BF8050F35EC}"/>
    <cellStyle name="Normal 7 6 12 3 2 5" xfId="31985" xr:uid="{762A2D3A-6FC8-40AA-B98E-AB71505F9243}"/>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5" xfId="2154" xr:uid="{00000000-0005-0000-0000-000027030000}"/>
    <cellStyle name="Normal 7 6 12 5 2" xfId="4790" xr:uid="{41EDDE25-589E-426C-B333-2F90E7438841}"/>
    <cellStyle name="Normal 7 6 12 5 2 2" xfId="28351" xr:uid="{3EB7436E-C897-4D37-A74A-339AD61DBDE8}"/>
    <cellStyle name="Normal 7 6 12 5 3" xfId="30235" xr:uid="{83457AE9-53E7-4626-824E-8BAF1E027614}"/>
    <cellStyle name="Normal 7 6 12 5 3 2" xfId="30408" xr:uid="{BBED2A49-C521-4234-9A68-3423CCBF2CC3}"/>
    <cellStyle name="Normal 7 6 12 5 4" xfId="31575" xr:uid="{F51BCC98-4641-44BA-970F-92381F3BC744}"/>
    <cellStyle name="Normal 7 6 12 5 5" xfId="31869" xr:uid="{A8422BAC-31C8-453B-B096-90DBB72464BC}"/>
    <cellStyle name="Normal 7 6 12 6" xfId="4107" xr:uid="{30A2C7AC-688D-49BA-80A4-9263C9BFA06B}"/>
    <cellStyle name="Normal 7 6 12 6 2" xfId="4760" xr:uid="{A9321574-1AD7-4B70-B5D3-A6DF307B9A1E}"/>
    <cellStyle name="Normal 7 6 12 6 3" xfId="30349" xr:uid="{92066A0A-D760-4CC8-B1AD-E90895EDD322}"/>
    <cellStyle name="Normal 7 6 12 6 3 2" xfId="30470" xr:uid="{F372F407-C5C1-421C-B0DA-539207397CF2}"/>
    <cellStyle name="Normal 7 6 12 6 4" xfId="31689" xr:uid="{AF9DAF71-AEF0-46C2-AF8D-5CD1CE61D7A8}"/>
    <cellStyle name="Normal 7 6 12 6 5" xfId="31983" xr:uid="{3942AF52-D4AD-45BF-A526-185D948791E2}"/>
    <cellStyle name="Normal 7 6 12 7" xfId="25333" xr:uid="{F7D8B81A-047F-48C6-A186-A40F67FBBC1A}"/>
    <cellStyle name="Normal 7 6 12 7 2" xfId="26410" xr:uid="{92E5298E-5151-4BC5-8530-0F8A55FB4F6C}"/>
    <cellStyle name="Normal 7 6 12 7 3" xfId="31158" xr:uid="{2374E897-A2DD-4365-809D-E07045FA949F}"/>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3 4" xfId="30292" xr:uid="{FAC2BF2A-86D0-46D4-9C19-960A9118AE4A}"/>
    <cellStyle name="Normal 7 6 14 3 4 2" xfId="31435" xr:uid="{1A077638-1BB3-4622-90A7-D76601927321}"/>
    <cellStyle name="Normal 7 6 14 3 5" xfId="31632" xr:uid="{F015D07E-7A10-4562-9261-1F62D0680FB5}"/>
    <cellStyle name="Normal 7 6 14 3 6" xfId="31926" xr:uid="{2FE623C4-5C9B-4719-9236-574D991686ED}"/>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3" xfId="27002" xr:uid="{CF3F67CA-7171-40A7-8B27-2E3B488C6464}"/>
    <cellStyle name="Normal 7 6 17 4" xfId="30231" xr:uid="{22805842-D57A-4294-947D-0526512732D1}"/>
    <cellStyle name="Normal 7 6 17 4 2" xfId="31375" xr:uid="{3A52D4CE-12B1-451F-B61D-7FA7D4D520E5}"/>
    <cellStyle name="Normal 7 6 17 5" xfId="31571" xr:uid="{F2A4B6CE-C68B-42CC-9C27-3F458A1293BD}"/>
    <cellStyle name="Normal 7 6 17 6" xfId="31865" xr:uid="{E55F823F-4A15-4C26-9344-B1D432761C2B}"/>
    <cellStyle name="Normal 7 6 18" xfId="4078" xr:uid="{0FEC4EED-31A4-4E9D-A539-4F81C2FE41D8}"/>
    <cellStyle name="Normal 7 6 18 2" xfId="4693" xr:uid="{BF19DB26-08D9-499A-A4F6-1D49D2A37102}"/>
    <cellStyle name="Normal 7 6 18 3" xfId="30345" xr:uid="{097B12CA-5FBD-4FCE-AC04-16616058D705}"/>
    <cellStyle name="Normal 7 6 18 3 2" xfId="31487" xr:uid="{FF36C13B-12D4-45EE-9BDA-D2A65682F0F4}"/>
    <cellStyle name="Normal 7 6 18 4" xfId="31685" xr:uid="{84FA38DB-E8D3-4A3F-894E-B6DF80BE9978}"/>
    <cellStyle name="Normal 7 6 18 5" xfId="31979" xr:uid="{CE2C3E01-1D6B-4F77-AD4A-A2B7FE05F7FC}"/>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10" xfId="29982" xr:uid="{04EAF5DC-CECD-4DF5-8341-46D11520E3B2}"/>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4 3" xfId="29856" xr:uid="{F5A0251C-89B3-4ED2-B453-D31D90B62909}"/>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7" xfId="25095" xr:uid="{2DD6EE98-696C-462E-BCC5-900432B06F90}"/>
    <cellStyle name="Normal 7 6 2 2 2 7 2" xfId="29683" xr:uid="{9C6F49DB-D23B-4106-9F39-763D45CC4D93}"/>
    <cellStyle name="Normal 7 6 2 2 2 7 2 2" xfId="31156" xr:uid="{319D062E-984D-495E-A6B1-EDF1A68F4600}"/>
    <cellStyle name="Normal 7 6 2 2 2 8" xfId="29671" xr:uid="{A6916481-21A3-435F-B144-A91FBB42ED2B}"/>
    <cellStyle name="Normal 7 6 2 2 2 9" xfId="29837" xr:uid="{9D9C830E-9D27-4D5D-A596-7040B62EB861}"/>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4 2" xfId="29747" xr:uid="{5D856566-71DC-4B60-BA54-4AAFB41ABC56}"/>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21" xfId="29836" xr:uid="{14591012-5BF2-4661-84EF-D3C202A421F1}"/>
    <cellStyle name="Normal 7 6 21 2" xfId="31505" xr:uid="{AE07DE1B-668E-4B16-88FD-3A9EC54BD8AE}"/>
    <cellStyle name="Normal 7 6 22" xfId="29981" xr:uid="{9BCCC15C-78C9-486F-A701-1A52E6003D5D}"/>
    <cellStyle name="Normal 7 6 23" xfId="30164" xr:uid="{49D357EA-AD67-4E3B-A3C0-C67DEDCA22C2}"/>
    <cellStyle name="Normal 7 6 23 2" xfId="32020" xr:uid="{973872C4-0B51-4EC1-9087-44540FD2E4EB}"/>
    <cellStyle name="Normal 7 6 24" xfId="31798" xr:uid="{141CC0B2-AEC2-469D-8BE9-D5FE5F93FB89}"/>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4 2" xfId="29786" xr:uid="{AEE5E8D0-64E0-4EF2-B258-9A2F3F526AE1}"/>
    <cellStyle name="Normal 7 6 3 3 2 2 5" xfId="24559" xr:uid="{B922943A-682E-4BDA-97D1-4B15684C58BE}"/>
    <cellStyle name="Normal 7 6 3 3 2 2 6" xfId="14086" xr:uid="{962D000C-A1AC-4453-ACAB-73642BEFA1C9}"/>
    <cellStyle name="Normal 7 6 3 3 2 3" xfId="3493" xr:uid="{00000000-0005-0000-0000-000006090000}"/>
    <cellStyle name="Normal 7 6 3 3 2 3 2" xfId="30074" xr:uid="{32C9490F-223B-4F54-991F-4B3A7967E779}"/>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2 2" xfId="29806" xr:uid="{5B30EC69-E692-4A67-825D-515A3CD295B3}"/>
    <cellStyle name="Normal 7 6 3 3 2 5 3" xfId="23112" xr:uid="{8B9C337C-9F1F-4B71-B33C-4BBF8768F2B4}"/>
    <cellStyle name="Normal 7 6 3 3 2 5 3 2" xfId="30094" xr:uid="{704ABBA2-7391-4C03-A229-8C5BE6596277}"/>
    <cellStyle name="Normal 7 6 3 3 2 5 4" xfId="25624" xr:uid="{08F19465-FA20-4EFC-BDBA-F333EA0FE99C}"/>
    <cellStyle name="Normal 7 6 3 3 2 5 5" xfId="30293" xr:uid="{B0B0FC5E-A681-4C7A-9402-587E6D246449}"/>
    <cellStyle name="Normal 7 6 3 3 2 5 5 2" xfId="31436" xr:uid="{0C479F8B-31BC-4A83-A9FF-C393F1C53DF5}"/>
    <cellStyle name="Normal 7 6 3 3 2 5 6" xfId="31633" xr:uid="{30D63F68-2665-4D62-BFD1-4D3B105583A0}"/>
    <cellStyle name="Normal 7 6 3 3 2 5 7" xfId="31927" xr:uid="{0B7A38A3-D1DF-48EC-A2E6-D9E92519B970}"/>
    <cellStyle name="Normal 7 6 3 3 2 6" xfId="23049" xr:uid="{6A1329E9-4F61-4AE7-A038-DC47D92FCBA5}"/>
    <cellStyle name="Normal 7 6 3 3 2 6 2" xfId="31146" xr:uid="{34B83ACE-44A3-4940-AFE5-B4EF022905B3}"/>
    <cellStyle name="Normal 7 6 3 3 2 6 3" xfId="30914" xr:uid="{6E2A21CD-035E-489F-A7DE-293D595960DB}"/>
    <cellStyle name="Normal 7 6 3 3 2 7" xfId="13327" xr:uid="{F64208F4-0E3F-4CEE-8256-88031B63933C}"/>
    <cellStyle name="Normal 7 6 3 3 2 8" xfId="30926" xr:uid="{9FCF0968-A979-4539-AD90-D2D9D79CDAFE}"/>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2 4" xfId="29816" xr:uid="{A6D295F5-EE7B-4174-AF97-372C2354F921}"/>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2 2" xfId="29819" xr:uid="{780A20BF-D728-490A-A368-FF54E81B0461}"/>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2 3" xfId="31107" xr:uid="{8CB3474E-5571-49FA-AE72-8D5E115219A0}"/>
    <cellStyle name="Normal 7 6 3 3 3 4 2 4" xfId="30915" xr:uid="{DE5E27BB-B822-402D-923F-F9EA10B0EB4E}"/>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5 2" xfId="29710" xr:uid="{04BD60D3-49F8-449A-9143-0C78D84BF8AD}"/>
    <cellStyle name="Normal 7 6 3 3 3 5 2 2" xfId="30953" xr:uid="{B3D80988-D845-47B0-B2DE-F9006412263D}"/>
    <cellStyle name="Normal 7 6 3 3 3 6" xfId="22964" xr:uid="{A39247FC-957C-4179-8B1D-E102D3CFAC6C}"/>
    <cellStyle name="Normal 7 6 3 3 3 6 2" xfId="29674" xr:uid="{CA9E9E34-311D-47F7-9DA7-90D58AC2FE83}"/>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2 5" xfId="30570" xr:uid="{84B7872D-76F9-4A5E-9DB5-AB13DBD0B9B6}"/>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6 3" xfId="30233" xr:uid="{6645CF52-C51C-46A3-B69A-670BFF6D043C}"/>
    <cellStyle name="Normal 7 6 3 3 6 3 2" xfId="31377" xr:uid="{9C0664F1-2BC2-4486-BD5C-A88F2827CD6E}"/>
    <cellStyle name="Normal 7 6 3 3 6 4" xfId="31573" xr:uid="{B935607C-FA16-46A0-8678-73DBE2437CBD}"/>
    <cellStyle name="Normal 7 6 3 3 6 5" xfId="31867" xr:uid="{ACF92A0E-985B-41DD-BC15-4DDAD94F98B9}"/>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3 2" xfId="31185" xr:uid="{6E7833E5-778C-465E-8DE0-065A447A6E20}"/>
    <cellStyle name="Normal 7 6 3 3 7 4" xfId="27627" xr:uid="{D690042B-48A8-4B37-88B6-2BF49BC9445A}"/>
    <cellStyle name="Normal 7 6 3 3 7 5" xfId="30347" xr:uid="{9CC4D4A5-A59A-485D-9725-F0B5952F9150}"/>
    <cellStyle name="Normal 7 6 3 3 7 5 2" xfId="31489" xr:uid="{7896352E-95E3-41EA-B176-36FF0CEE565A}"/>
    <cellStyle name="Normal 7 6 3 3 7 6" xfId="31687" xr:uid="{D11F685F-83BD-4E7B-A8DA-FFB6C0997B38}"/>
    <cellStyle name="Normal 7 6 3 3 7 7" xfId="31981" xr:uid="{8F3A3EFA-40F6-4219-A5AF-EC49E0730250}"/>
    <cellStyle name="Normal 7 6 3 3 8" xfId="29682" xr:uid="{DDD031FA-DD35-4F20-99A5-AA11D3C98D44}"/>
    <cellStyle name="Normal 7 6 3 3 8 2" xfId="30545" xr:uid="{DE3B6B93-E2A5-480B-9010-B39AA1DCB833}"/>
    <cellStyle name="Normal 7 6 3 3 9" xfId="29670" xr:uid="{5A811436-6D74-48D3-AB9A-EE7538A6A6FC}"/>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6 9 2" xfId="30417" xr:uid="{AB45C2D4-D1A5-4191-A2B5-6B3B04A57500}"/>
    <cellStyle name="Normal 7 6 9 3" xfId="30418" xr:uid="{878EED05-4C5D-4667-BCA2-DAD249232A25}"/>
    <cellStyle name="Normal 7 6 9 3 2" xfId="30571" xr:uid="{1BBA716F-322A-443F-9F1C-34B4B91E48F1}"/>
    <cellStyle name="Normal 7 6 9 3 2 2" xfId="30610" xr:uid="{4BD1B694-F951-4017-95A9-FF534FEB7058}"/>
    <cellStyle name="Normal 7 6 9 3 2 3" xfId="30629" xr:uid="{D926D891-B7C7-4693-8B9F-A282844D3DAF}"/>
    <cellStyle name="Normal 7 6 9 3 2 4" xfId="30936" xr:uid="{D974361E-AECE-4B32-BC25-92B53BFBEF24}"/>
    <cellStyle name="Normal 7 6 9 3 3" xfId="30597" xr:uid="{1CB22FE2-C93E-4B7A-9F83-F05BC42F8988}"/>
    <cellStyle name="Normal 7 6 9 3 3 2" xfId="30638" xr:uid="{0E85BEEA-8502-4FB9-9D7B-9B39FC6894C4}"/>
    <cellStyle name="Normal 7 6 9 3 3 3" xfId="30949" xr:uid="{10A0B2B1-C014-460B-B97B-1F8715293478}"/>
    <cellStyle name="Normal 7 6 9 3 4" xfId="30626" xr:uid="{D5B2EEA1-BA41-4ECF-8645-DC7FCB362E6F}"/>
    <cellStyle name="Normal 7 6 9 3 5" xfId="30924" xr:uid="{59272B79-6782-498A-A565-B27F383EE7E8}"/>
    <cellStyle name="Normal 7 6 9 4" xfId="30574" xr:uid="{AF443EFD-BF75-488F-8C96-3A07A286175C}"/>
    <cellStyle name="Normal 7 6 9 4 2" xfId="30613" xr:uid="{93E0A71D-1FCA-4C1A-8893-2D82F9B7C858}"/>
    <cellStyle name="Normal 7 6 9 4 3" xfId="30632" xr:uid="{32F1BC2F-10D3-4E71-AD07-986C280704B2}"/>
    <cellStyle name="Normal 7 6 9 4 4" xfId="30940" xr:uid="{D4C2894F-E69E-46C0-825F-9DFEC6921BF8}"/>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7" xfId="5533" xr:uid="{046B55AD-73C4-4E32-BA01-C1D2261765B1}"/>
    <cellStyle name="Normal 9 4 7 2" xfId="30088" xr:uid="{2F6732B9-22B1-4277-B1A7-B0F33EDFCAEE}"/>
    <cellStyle name="Normal 9 4 7 2 2" xfId="30954" xr:uid="{A8188D3E-D4CD-4378-91D8-1EB48A3EF6B0}"/>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3 2" xfId="31302" xr:uid="{09740B15-9ABE-40E6-8871-06691DDF618A}"/>
    <cellStyle name="Note 4 2 4" xfId="3769" xr:uid="{00000000-0005-0000-0000-0000E60E0000}"/>
    <cellStyle name="Note 4 2 4 2" xfId="4802" xr:uid="{E4762291-6E3E-40C0-B2A3-FBA7791D5340}"/>
    <cellStyle name="Note 4 2 4 3" xfId="30294" xr:uid="{F6CC97B8-D329-47AB-B30B-38088FA4AA4F}"/>
    <cellStyle name="Note 4 2 4 3 2" xfId="31437" xr:uid="{8DF259B6-D8D6-4B9D-B39D-3D52A6097811}"/>
    <cellStyle name="Note 4 2 4 4" xfId="31634" xr:uid="{E29E150E-84A6-4520-A31C-C74B5C1F5214}"/>
    <cellStyle name="Note 4 2 4 5" xfId="31928" xr:uid="{94C5323D-F7B6-4ECB-AD1E-3416C18ADF9C}"/>
    <cellStyle name="Note 4 3" xfId="1545" xr:uid="{00000000-0005-0000-0000-0000E2070000}"/>
    <cellStyle name="Note 4 3 2" xfId="30097" xr:uid="{9537CA53-C3FD-4E87-AC66-BA3C054C1009}"/>
    <cellStyle name="Note 4 4" xfId="2073" xr:uid="{00000000-0005-0000-0000-000049030000}"/>
    <cellStyle name="Note 4 4 2" xfId="4791" xr:uid="{EAC7EE03-6B36-4A5D-889D-B815EC9F9048}"/>
    <cellStyle name="Note 4 4 3" xfId="30173" xr:uid="{F6441C75-DAA1-4486-B072-CAFC56088476}"/>
    <cellStyle name="Note 4 4 3 2" xfId="31317" xr:uid="{A51A4A51-59A9-4DA4-BAC6-6B498B98295B}"/>
    <cellStyle name="Note 4 4 4" xfId="31513" xr:uid="{46BB7552-C9F7-4992-BB91-1408BCB3217B}"/>
    <cellStyle name="Note 4 4 5" xfId="31807" xr:uid="{64E24786-A0BE-4408-97F4-A4E6CCF6094A}"/>
    <cellStyle name="Note 4 5" xfId="29583" xr:uid="{24FEBD0B-5ABA-49D8-AC25-4DA966B23BF8}"/>
    <cellStyle name="Note 4 5 2" xfId="31248" xr:uid="{179223E0-4C3A-4691-A628-3421C1D9764F}"/>
    <cellStyle name="Note 4 5 3" xfId="30548" xr:uid="{6CEC5488-D223-4DCD-BE4A-44A97B40BB66}"/>
    <cellStyle name="Note 5" xfId="12255" xr:uid="{E1364BB4-A0A2-46F5-BB38-05901CCE3206}"/>
    <cellStyle name="Note 5 2" xfId="22634" xr:uid="{E297CF68-B359-40C9-8CC6-73BC50F6502C}"/>
    <cellStyle name="Note 6" xfId="30917" xr:uid="{568266BE-1B4B-4D3A-B271-E6A359140DD3}"/>
    <cellStyle name="Note 6 2" xfId="30951" xr:uid="{BC9386E2-C514-49C7-8749-71E76C1309B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2 2" xfId="31736" xr:uid="{F5D2602A-1CA8-4937-A75B-B7316868305F}"/>
    <cellStyle name="Percent 2 3" xfId="29585" xr:uid="{8FB87725-886D-4A62-BBA8-4FA9FB880D61}"/>
    <cellStyle name="Percent 2 4" xfId="31735" xr:uid="{81975A88-DC72-409E-895A-F94B1AF416FB}"/>
    <cellStyle name="Percent 3" xfId="1550" xr:uid="{00000000-0005-0000-0000-0000E7070000}"/>
    <cellStyle name="Percent 3 2" xfId="2034" xr:uid="{00000000-0005-0000-0000-0000E8070000}"/>
    <cellStyle name="Percent 3 2 2" xfId="24401" xr:uid="{D0B85497-BCB7-44B3-90B9-F34C3207B46F}"/>
    <cellStyle name="Percent 3 2 2 2" xfId="29826" xr:uid="{75C23271-7EC3-43D0-8BA4-69F636E29421}"/>
    <cellStyle name="Percent 3 2 3" xfId="24242" xr:uid="{2ACE85BF-3B3C-4EA3-8A82-C46C5C94E5DC}"/>
    <cellStyle name="Percent 3 3" xfId="2035" xr:uid="{00000000-0005-0000-0000-0000E9070000}"/>
    <cellStyle name="Percent 3 3 2" xfId="31314" xr:uid="{BBC1F203-4A2A-48B7-9BD9-1716E25CC9AC}"/>
    <cellStyle name="Percent 3 3 3" xfId="31266" xr:uid="{8085B9E8-E0F4-4AC1-ADD7-5A40211A939D}"/>
    <cellStyle name="Percent 3 4" xfId="2033" xr:uid="{00000000-0005-0000-0000-0000EA070000}"/>
    <cellStyle name="Percent 3 5" xfId="30405" xr:uid="{0945A6B3-A411-4FFC-8192-180DB5988AA0}"/>
    <cellStyle name="Percent 3 5 2" xfId="30464" xr:uid="{63EB7186-FCEB-4D7E-9110-B36DEB064572}"/>
    <cellStyle name="Percent 3 6" xfId="31734" xr:uid="{C296D834-E3A5-4FC0-BDC5-01EF2E3AC3B4}"/>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2 4 2" xfId="29999" xr:uid="{DBA75EBB-88DC-4000-A3DE-7A773AC8CB6F}"/>
    <cellStyle name="Percent 4 2 5" xfId="29655" xr:uid="{C102B639-DE72-4927-A796-0F496C3DDD1A}"/>
    <cellStyle name="Percent 4 3" xfId="2038" xr:uid="{00000000-0005-0000-0000-0000ED070000}"/>
    <cellStyle name="Percent 4 3 2" xfId="29736" xr:uid="{2BDC7087-3D0C-4FA8-ACBA-F106235DF4E2}"/>
    <cellStyle name="Percent 4 3 3" xfId="29668" xr:uid="{6A17D060-249E-4F71-900C-08F938E35D8F}"/>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Percent 7" xfId="30409" xr:uid="{BD67580D-48EC-4ABF-B2EE-570D90A532C8}"/>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2 2" xfId="29810" xr:uid="{D4E7F262-7E61-4687-B06C-E107D8296DF9}"/>
    <cellStyle name="Style 1 2 2 3" xfId="25778" xr:uid="{C9F19B91-F5E5-4CD7-BE8E-78C05D2BCD6F}"/>
    <cellStyle name="Style 1 2 3" xfId="2041" xr:uid="{00000000-0005-0000-0000-0000F3070000}"/>
    <cellStyle name="Style 1 2 3 2" xfId="31315" xr:uid="{5D03057C-9A71-4F1B-9674-72DE10B21C86}"/>
    <cellStyle name="Style 1 2 3 3" xfId="31269" xr:uid="{FAC42ECE-AC01-4F74-8A11-03C4263CADAB}"/>
    <cellStyle name="Style 1 2 4" xfId="2039" xr:uid="{00000000-0005-0000-0000-0000F4070000}"/>
    <cellStyle name="Style 1 2 5" xfId="30407" xr:uid="{2E6C0663-EF3E-4DBA-8EED-2A1EA035CBE7}"/>
    <cellStyle name="Style 1 2 5 2" xfId="30465" xr:uid="{F706DBF5-298E-4FDD-8401-13A891456247}"/>
    <cellStyle name="Style 1 3" xfId="1555" xr:uid="{00000000-0005-0000-0000-0000F5070000}"/>
    <cellStyle name="Style 1 4" xfId="2042" xr:uid="{00000000-0005-0000-0000-0000F6070000}"/>
    <cellStyle name="Style 1 4 2" xfId="24410" xr:uid="{ED030EBF-D663-412E-B3DF-AF45BED2AFE5}"/>
    <cellStyle name="Style 1 4 2 2" xfId="29831" xr:uid="{12EB135A-16A2-48C8-957C-56C95D4F0B94}"/>
    <cellStyle name="Style 1 4 3" xfId="25651" xr:uid="{8568525C-B3AA-4170-9749-B4F90608AC98}"/>
    <cellStyle name="Style 1 5" xfId="30406" xr:uid="{91B5FAB8-CE8E-4A1E-A86E-BA45CA647BF5}"/>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122">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91" formatCode=";;;"/>
    </dxf>
    <dxf>
      <numFmt numFmtId="191" formatCode=";;;"/>
    </dxf>
    <dxf>
      <numFmt numFmtId="191" formatCode=";;;"/>
    </dxf>
    <dxf>
      <numFmt numFmtId="191" formatCode=";;;"/>
    </dxf>
    <dxf>
      <numFmt numFmtId="191"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FFCC"/>
        </patternFill>
      </fill>
    </dxf>
    <dxf>
      <font>
        <b/>
        <i val="0"/>
        <color rgb="FFFF0000"/>
      </font>
      <fill>
        <patternFill>
          <bgColor rgb="FFFFC7CE"/>
        </patternFill>
      </fill>
    </dxf>
    <dxf>
      <font>
        <color rgb="FFFF0000"/>
      </font>
      <fill>
        <patternFill>
          <bgColor rgb="FFFFFFCC"/>
        </patternFill>
      </fill>
    </dxf>
    <dxf>
      <font>
        <color rgb="FF9C0006"/>
      </font>
      <fill>
        <patternFill>
          <bgColor rgb="FFFFC7CE"/>
        </patternFill>
      </fill>
    </dxf>
    <dxf>
      <font>
        <color rgb="FFFF0000"/>
      </font>
      <fill>
        <patternFill>
          <bgColor rgb="FFFFFFCC"/>
        </patternFill>
      </fill>
    </dxf>
    <dxf>
      <font>
        <color rgb="FFFF0000"/>
      </font>
      <fill>
        <patternFill>
          <bgColor rgb="FFFFFFCC"/>
        </patternFill>
      </fill>
    </dxf>
    <dxf>
      <font>
        <b/>
        <i val="0"/>
        <color rgb="FFFF0000"/>
      </font>
      <fill>
        <patternFill>
          <bgColor rgb="FFFFC7CE"/>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5" tint="0.79998168889431442"/>
        </patternFill>
      </fill>
    </dxf>
    <dxf>
      <font>
        <b/>
        <i val="0"/>
      </font>
      <fill>
        <patternFill>
          <bgColor rgb="FFFDC7D6"/>
        </patternFill>
      </fill>
    </dxf>
    <dxf>
      <fill>
        <patternFill>
          <bgColor rgb="FFFFFFCC"/>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ont>
        <b/>
        <i val="0"/>
        <color rgb="FFFF0000"/>
      </font>
      <fill>
        <patternFill>
          <bgColor rgb="FFFFC7CE"/>
        </patternFill>
      </fill>
    </dxf>
    <dxf>
      <fill>
        <patternFill>
          <bgColor rgb="FFFFFFCC"/>
        </patternFill>
      </fill>
    </dxf>
    <dxf>
      <font>
        <b/>
        <i val="0"/>
        <color rgb="FFFF0000"/>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fill>
        <patternFill>
          <bgColor rgb="FFFFC7CE"/>
        </patternFill>
      </fill>
    </dxf>
    <dxf>
      <font>
        <color rgb="FF9C0006"/>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numFmt numFmtId="191"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121"/>
      <tableStyleElement type="headerRow" dxfId="120"/>
      <tableStyleElement type="firstRowStripe" dxfId="119"/>
    </tableStyle>
  </tableStyles>
  <colors>
    <mruColors>
      <color rgb="FFFFFFCC"/>
      <color rgb="FFFFC7CE"/>
      <color rgb="FFFFC4FF"/>
      <color rgb="FF0315BD"/>
      <color rgb="FFFFFFFF"/>
      <color rgb="FFCCFF66"/>
      <color rgb="FF99FF66"/>
      <color rgb="FFFDC7D6"/>
      <color rgb="FFFEE2EA"/>
      <color rgb="FFFDD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Fund Balance Available  as a % of Expenditures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9.7797185706470544E-2"/>
          <c:y val="0.15667699698037926"/>
          <c:w val="0.87753647349015773"/>
          <c:h val="0.70688706795084866"/>
        </c:manualLayout>
      </c:layout>
      <c:barChart>
        <c:barDir val="col"/>
        <c:grouping val="clustered"/>
        <c:varyColors val="1"/>
        <c:ser>
          <c:idx val="0"/>
          <c:order val="0"/>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1948-4790-A7B9-1F8BA545F0C2}"/>
              </c:ext>
            </c:extLst>
          </c:dPt>
          <c:dPt>
            <c:idx val="1"/>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1948-4790-A7B9-1F8BA545F0C2}"/>
              </c:ext>
            </c:extLst>
          </c:dPt>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1948-4790-A7B9-1F8BA545F0C2}"/>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  Indicators Print'!$L$10:$N$10</c:f>
              <c:numCache>
                <c:formatCode>0</c:formatCode>
                <c:ptCount val="3"/>
                <c:pt idx="0" formatCode="General">
                  <c:v>2021</c:v>
                </c:pt>
                <c:pt idx="1">
                  <c:v>2022</c:v>
                </c:pt>
                <c:pt idx="2" formatCode="General">
                  <c:v>2023</c:v>
                </c:pt>
              </c:numCache>
            </c:numRef>
          </c:cat>
          <c:val>
            <c:numRef>
              <c:f>'Performance  Indicators Print'!$L$11:$N$11</c:f>
              <c:numCache>
                <c:formatCode>0.00%</c:formatCode>
                <c:ptCount val="3"/>
                <c:pt idx="0">
                  <c:v>#N/A</c:v>
                </c:pt>
                <c:pt idx="1">
                  <c:v>#N/A</c:v>
                </c:pt>
                <c:pt idx="2">
                  <c:v>0</c:v>
                </c:pt>
              </c:numCache>
            </c:numRef>
          </c:val>
          <c:extLst>
            <c:ext xmlns:c16="http://schemas.microsoft.com/office/drawing/2014/chart" uri="{C3380CC4-5D6E-409C-BE32-E72D297353CC}">
              <c16:uniqueId val="{00000000-A409-43D6-8C66-73522177D1BF}"/>
            </c:ext>
          </c:extLst>
        </c:ser>
        <c:dLbls>
          <c:dLblPos val="inEnd"/>
          <c:showLegendKey val="0"/>
          <c:showVal val="1"/>
          <c:showCatName val="0"/>
          <c:showSerName val="0"/>
          <c:showPercent val="0"/>
          <c:showBubbleSize val="0"/>
        </c:dLbls>
        <c:gapWidth val="75"/>
        <c:overlap val="40"/>
        <c:axId val="75334896"/>
        <c:axId val="216599104"/>
      </c:barChart>
      <c:catAx>
        <c:axId val="75334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Ratio-Water and Sewer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8820-4E4A-9E55-9678AD123E46}"/>
              </c:ext>
            </c:extLst>
          </c:dPt>
          <c:dPt>
            <c:idx val="1"/>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8820-4E4A-9E55-9678AD123E46}"/>
              </c:ext>
            </c:extLst>
          </c:dPt>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8820-4E4A-9E55-9678AD123E46}"/>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  Indicators Print'!$L$10:$N$10</c:f>
              <c:numCache>
                <c:formatCode>0</c:formatCode>
                <c:ptCount val="3"/>
                <c:pt idx="0" formatCode="General">
                  <c:v>2021</c:v>
                </c:pt>
                <c:pt idx="1">
                  <c:v>2022</c:v>
                </c:pt>
                <c:pt idx="2" formatCode="General">
                  <c:v>2023</c:v>
                </c:pt>
              </c:numCache>
            </c:numRef>
          </c:cat>
          <c:val>
            <c:numRef>
              <c:f>'Performance  Indicators Print'!$L$16:$N$16</c:f>
              <c:numCache>
                <c:formatCode>0.00</c:formatCode>
                <c:ptCount val="3"/>
                <c:pt idx="0">
                  <c:v>#N/A</c:v>
                </c:pt>
                <c:pt idx="1">
                  <c:v>#N/A</c:v>
                </c:pt>
                <c:pt idx="2">
                  <c:v>0</c:v>
                </c:pt>
              </c:numCache>
            </c:numRef>
          </c:val>
          <c:extLst>
            <c:ext xmlns:c16="http://schemas.microsoft.com/office/drawing/2014/chart" uri="{C3380CC4-5D6E-409C-BE32-E72D297353CC}">
              <c16:uniqueId val="{00000000-1CDB-4C76-BFFC-D1B465011A83}"/>
            </c:ext>
          </c:extLst>
        </c:ser>
        <c:dLbls>
          <c:dLblPos val="inEnd"/>
          <c:showLegendKey val="0"/>
          <c:showVal val="1"/>
          <c:showCatName val="0"/>
          <c:showSerName val="0"/>
          <c:showPercent val="0"/>
          <c:showBubbleSize val="0"/>
        </c:dLbls>
        <c:gapWidth val="75"/>
        <c:overlap val="40"/>
        <c:axId val="75334896"/>
        <c:axId val="216599104"/>
      </c:barChart>
      <c:catAx>
        <c:axId val="75334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baseline="0">
                <a:solidFill>
                  <a:schemeClr val="tx1"/>
                </a:solidFill>
              </a:rPr>
              <a:t>Quick Ratio-Electric</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1"/>
        <c:ser>
          <c:idx val="0"/>
          <c:order val="0"/>
          <c:invertIfNegative val="0"/>
          <c:dPt>
            <c:idx val="0"/>
            <c:invertIfNegative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95-4FC6-84A4-7A5F1ECAFFDB}"/>
              </c:ext>
            </c:extLst>
          </c:dPt>
          <c:dPt>
            <c:idx val="1"/>
            <c:invertIfNegative val="0"/>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95-4FC6-84A4-7A5F1ECAFFDB}"/>
              </c:ext>
            </c:extLst>
          </c:dPt>
          <c:dPt>
            <c:idx val="2"/>
            <c:invertIfNegative val="0"/>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95-4FC6-84A4-7A5F1ECAFFDB}"/>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'Performance  Indicators Print'!$L$10:$N$10</c:f>
              <c:numCache>
                <c:formatCode>0</c:formatCode>
                <c:ptCount val="3"/>
                <c:pt idx="0" formatCode="General">
                  <c:v>2021</c:v>
                </c:pt>
                <c:pt idx="1">
                  <c:v>2022</c:v>
                </c:pt>
                <c:pt idx="2" formatCode="General">
                  <c:v>2023</c:v>
                </c:pt>
              </c:numCache>
            </c:numRef>
          </c:cat>
          <c:val>
            <c:numRef>
              <c:f>'Performance  Indicators Print'!$L$25:$N$25</c:f>
              <c:numCache>
                <c:formatCode>0.00</c:formatCode>
                <c:ptCount val="3"/>
                <c:pt idx="0">
                  <c:v>#N/A</c:v>
                </c:pt>
                <c:pt idx="1">
                  <c:v>#N/A</c:v>
                </c:pt>
                <c:pt idx="2">
                  <c:v>0</c:v>
                </c:pt>
              </c:numCache>
            </c:numRef>
          </c:val>
          <c:extLst>
            <c:ext xmlns:c16="http://schemas.microsoft.com/office/drawing/2014/chart" uri="{C3380CC4-5D6E-409C-BE32-E72D297353CC}">
              <c16:uniqueId val="{00000000-3BE2-4478-82F0-97834E674CDE}"/>
            </c:ext>
          </c:extLst>
        </c:ser>
        <c:dLbls>
          <c:dLblPos val="inEnd"/>
          <c:showLegendKey val="0"/>
          <c:showVal val="1"/>
          <c:showCatName val="0"/>
          <c:showSerName val="0"/>
          <c:showPercent val="0"/>
          <c:showBubbleSize val="0"/>
        </c:dLbls>
        <c:gapWidth val="75"/>
        <c:overlap val="40"/>
        <c:axId val="75334896"/>
        <c:axId val="216599104"/>
      </c:barChart>
      <c:catAx>
        <c:axId val="7533489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599104"/>
        <c:crosses val="autoZero"/>
        <c:auto val="1"/>
        <c:lblAlgn val="ctr"/>
        <c:lblOffset val="100"/>
        <c:noMultiLvlLbl val="0"/>
      </c:catAx>
      <c:valAx>
        <c:axId val="216599104"/>
        <c:scaling>
          <c:orientation val="minMax"/>
        </c:scaling>
        <c:delete val="0"/>
        <c:axPos val="l"/>
        <c:majorGridlines>
          <c:spPr>
            <a:ln w="9525" cap="flat" cmpd="sng" algn="ctr">
              <a:solidFill>
                <a:schemeClr val="tx1"/>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50" b="0" i="0" u="none" strike="noStrike" kern="1200" baseline="0">
                <a:solidFill>
                  <a:schemeClr val="tx1"/>
                </a:solidFill>
                <a:latin typeface="+mn-lt"/>
                <a:ea typeface="+mn-ea"/>
                <a:cs typeface="+mn-cs"/>
              </a:defRPr>
            </a:pPr>
            <a:endParaRPr lang="en-US"/>
          </a:p>
        </c:txPr>
        <c:crossAx val="75334896"/>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206828</xdr:colOff>
      <xdr:row>10</xdr:row>
      <xdr:rowOff>190500</xdr:rowOff>
    </xdr:from>
    <xdr:to>
      <xdr:col>4</xdr:col>
      <xdr:colOff>849086</xdr:colOff>
      <xdr:row>10</xdr:row>
      <xdr:rowOff>2906486</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195942</xdr:colOff>
      <xdr:row>15</xdr:row>
      <xdr:rowOff>68036</xdr:rowOff>
    </xdr:from>
    <xdr:to>
      <xdr:col>4</xdr:col>
      <xdr:colOff>859972</xdr:colOff>
      <xdr:row>15</xdr:row>
      <xdr:rowOff>2408464</xdr:rowOff>
    </xdr:to>
    <xdr:graphicFrame macro="">
      <xdr:nvGraphicFramePr>
        <xdr:cNvPr id="3" name="Chart 1">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163287</xdr:colOff>
      <xdr:row>24</xdr:row>
      <xdr:rowOff>81643</xdr:rowOff>
    </xdr:from>
    <xdr:to>
      <xdr:col>4</xdr:col>
      <xdr:colOff>838201</xdr:colOff>
      <xdr:row>24</xdr:row>
      <xdr:rowOff>2449286</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289560</xdr:colOff>
          <xdr:row>7</xdr:row>
          <xdr:rowOff>99060</xdr:rowOff>
        </xdr:from>
        <xdr:to>
          <xdr:col>5</xdr:col>
          <xdr:colOff>1188720</xdr:colOff>
          <xdr:row>8</xdr:row>
          <xdr:rowOff>1531620</xdr:rowOff>
        </xdr:to>
        <xdr:sp macro="" textlink="">
          <xdr:nvSpPr>
            <xdr:cNvPr id="48129" name="Object 1" hidden="1">
              <a:extLst>
                <a:ext uri="{63B3BB69-23CF-44E3-9099-C40C66FF867C}">
                  <a14:compatExt spid="_x0000_s48129"/>
                </a:ext>
                <a:ext uri="{FF2B5EF4-FFF2-40B4-BE49-F238E27FC236}">
                  <a16:creationId xmlns:a16="http://schemas.microsoft.com/office/drawing/2014/main" id="{00000000-0008-0000-0300-000001B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5" Type="http://schemas.openxmlformats.org/officeDocument/2006/relationships/printerSettings" Target="../printerSettings/printerSettings1.bin"/><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75D9-3D83-4324-B62D-17FE2ED83864}">
  <sheetPr codeName="Sheet1"/>
  <dimension ref="B1:N61"/>
  <sheetViews>
    <sheetView tabSelected="1" zoomScaleNormal="100" workbookViewId="0">
      <selection activeCell="B2" sqref="B2"/>
    </sheetView>
  </sheetViews>
  <sheetFormatPr defaultColWidth="9.109375" defaultRowHeight="14.4" x14ac:dyDescent="0.3"/>
  <cols>
    <col min="1" max="1" width="1.6640625" style="180" customWidth="1"/>
    <col min="2" max="2" width="187.109375" style="180" customWidth="1"/>
    <col min="3" max="4" width="9.109375" style="180" hidden="1" customWidth="1"/>
    <col min="5" max="5" width="2.33203125" style="180" customWidth="1"/>
    <col min="6" max="6" width="16.44140625" style="180" customWidth="1"/>
    <col min="7" max="16384" width="9.109375" style="180"/>
  </cols>
  <sheetData>
    <row r="1" spans="2:14" ht="9.6" customHeight="1" thickBot="1" x14ac:dyDescent="0.35">
      <c r="B1" s="162"/>
    </row>
    <row r="2" spans="2:14" ht="91.95" customHeight="1" thickBot="1" x14ac:dyDescent="0.35">
      <c r="B2" s="534" t="s">
        <v>2737</v>
      </c>
      <c r="E2"/>
    </row>
    <row r="3" spans="2:14" ht="76.2" customHeight="1" thickBot="1" x14ac:dyDescent="0.35">
      <c r="B3" s="998" t="s">
        <v>1982</v>
      </c>
      <c r="C3" s="173"/>
      <c r="D3" s="173"/>
      <c r="E3"/>
      <c r="F3"/>
    </row>
    <row r="4" spans="2:14" ht="58.95" customHeight="1" thickBot="1" x14ac:dyDescent="0.35">
      <c r="B4" s="998" t="s">
        <v>1983</v>
      </c>
      <c r="C4" s="173"/>
      <c r="D4" s="173"/>
    </row>
    <row r="5" spans="2:14" ht="61.2" customHeight="1" x14ac:dyDescent="0.3">
      <c r="B5" s="173" t="s">
        <v>1946</v>
      </c>
    </row>
    <row r="6" spans="2:14" ht="83.4" customHeight="1" x14ac:dyDescent="0.4">
      <c r="B6" s="173" t="s">
        <v>878</v>
      </c>
      <c r="F6" s="535"/>
      <c r="G6" s="535"/>
      <c r="H6" s="535"/>
      <c r="I6" s="535"/>
      <c r="J6" s="535"/>
      <c r="K6" s="535"/>
      <c r="L6" s="535"/>
      <c r="M6" s="535"/>
      <c r="N6" s="535"/>
    </row>
    <row r="7" spans="2:14" ht="58.2" customHeight="1" x14ac:dyDescent="0.3">
      <c r="B7" s="173" t="s">
        <v>879</v>
      </c>
    </row>
    <row r="8" spans="2:14" ht="117.6" customHeight="1" x14ac:dyDescent="0.3">
      <c r="B8" s="163" t="s">
        <v>880</v>
      </c>
    </row>
    <row r="9" spans="2:14" ht="25.95" customHeight="1" x14ac:dyDescent="0.3">
      <c r="B9" s="175" t="s">
        <v>455</v>
      </c>
    </row>
    <row r="10" spans="2:14" ht="49.2" customHeight="1" x14ac:dyDescent="0.3">
      <c r="B10" s="536" t="s">
        <v>881</v>
      </c>
    </row>
    <row r="11" spans="2:14" ht="42.6" customHeight="1" x14ac:dyDescent="0.3">
      <c r="B11" s="536" t="s">
        <v>456</v>
      </c>
    </row>
    <row r="12" spans="2:14" s="538" customFormat="1" ht="34.200000000000003" customHeight="1" x14ac:dyDescent="0.3">
      <c r="B12" s="537" t="s">
        <v>2715</v>
      </c>
    </row>
    <row r="13" spans="2:14" s="538" customFormat="1" ht="55.95" customHeight="1" x14ac:dyDescent="0.3">
      <c r="B13" s="539" t="s">
        <v>882</v>
      </c>
    </row>
    <row r="14" spans="2:14" ht="36" customHeight="1" x14ac:dyDescent="0.3">
      <c r="B14" s="539" t="s">
        <v>883</v>
      </c>
    </row>
    <row r="15" spans="2:14" ht="39" customHeight="1" x14ac:dyDescent="0.3">
      <c r="B15" s="540" t="s">
        <v>884</v>
      </c>
    </row>
    <row r="16" spans="2:14" ht="25.95" customHeight="1" x14ac:dyDescent="0.3">
      <c r="B16" s="175" t="s">
        <v>457</v>
      </c>
    </row>
    <row r="17" spans="2:2" x14ac:dyDescent="0.3">
      <c r="B17" s="162"/>
    </row>
    <row r="18" spans="2:2" x14ac:dyDescent="0.3">
      <c r="B18" s="541" t="s">
        <v>36</v>
      </c>
    </row>
    <row r="19" spans="2:2" ht="15.6" customHeight="1" x14ac:dyDescent="0.3">
      <c r="B19" s="542" t="s">
        <v>885</v>
      </c>
    </row>
    <row r="20" spans="2:2" x14ac:dyDescent="0.3">
      <c r="B20" s="543"/>
    </row>
    <row r="21" spans="2:2" x14ac:dyDescent="0.3">
      <c r="B21" s="541" t="s">
        <v>37</v>
      </c>
    </row>
    <row r="22" spans="2:2" ht="15.6" customHeight="1" x14ac:dyDescent="0.3">
      <c r="B22" s="544" t="s">
        <v>337</v>
      </c>
    </row>
    <row r="23" spans="2:2" ht="13.2" customHeight="1" x14ac:dyDescent="0.3">
      <c r="B23" s="162"/>
    </row>
    <row r="24" spans="2:2" ht="25.95" customHeight="1" x14ac:dyDescent="0.3">
      <c r="B24" s="175" t="s">
        <v>458</v>
      </c>
    </row>
    <row r="25" spans="2:2" s="538" customFormat="1" ht="72.599999999999994" customHeight="1" x14ac:dyDescent="0.3">
      <c r="B25" s="536" t="s">
        <v>1563</v>
      </c>
    </row>
    <row r="26" spans="2:2" s="538" customFormat="1" ht="84.6" customHeight="1" x14ac:dyDescent="0.3">
      <c r="B26" s="536" t="s">
        <v>886</v>
      </c>
    </row>
    <row r="27" spans="2:2" s="538" customFormat="1" ht="78.599999999999994" customHeight="1" x14ac:dyDescent="0.3">
      <c r="B27" s="536" t="s">
        <v>459</v>
      </c>
    </row>
    <row r="28" spans="2:2" ht="15" x14ac:dyDescent="0.3">
      <c r="B28" s="165" t="s">
        <v>887</v>
      </c>
    </row>
    <row r="29" spans="2:2" ht="8.4" customHeight="1" x14ac:dyDescent="0.3">
      <c r="B29" s="164"/>
    </row>
    <row r="30" spans="2:2" ht="25.95" customHeight="1" x14ac:dyDescent="0.3">
      <c r="B30" s="175" t="s">
        <v>888</v>
      </c>
    </row>
    <row r="31" spans="2:2" ht="28.95" customHeight="1" x14ac:dyDescent="0.3">
      <c r="B31" s="176" t="s">
        <v>1637</v>
      </c>
    </row>
    <row r="32" spans="2:2" ht="31.95" customHeight="1" x14ac:dyDescent="0.3">
      <c r="B32" s="176" t="s">
        <v>1640</v>
      </c>
    </row>
    <row r="33" spans="2:7" ht="30.6" customHeight="1" x14ac:dyDescent="0.3">
      <c r="B33" s="545" t="s">
        <v>1639</v>
      </c>
    </row>
    <row r="34" spans="2:7" ht="25.2" customHeight="1" x14ac:dyDescent="0.3">
      <c r="B34" s="545" t="s">
        <v>1945</v>
      </c>
    </row>
    <row r="35" spans="2:7" ht="27.6" customHeight="1" x14ac:dyDescent="0.3">
      <c r="B35" s="545" t="s">
        <v>1638</v>
      </c>
    </row>
    <row r="36" spans="2:7" ht="31.95" customHeight="1" x14ac:dyDescent="0.3">
      <c r="B36" s="546" t="s">
        <v>889</v>
      </c>
    </row>
    <row r="37" spans="2:7" ht="60" customHeight="1" x14ac:dyDescent="0.3">
      <c r="B37" s="176" t="s">
        <v>1643</v>
      </c>
    </row>
    <row r="38" spans="2:7" ht="60" customHeight="1" x14ac:dyDescent="0.3">
      <c r="B38" s="672" t="s">
        <v>1644</v>
      </c>
    </row>
    <row r="39" spans="2:7" ht="25.95" customHeight="1" x14ac:dyDescent="0.3">
      <c r="B39" s="176" t="s">
        <v>890</v>
      </c>
    </row>
    <row r="40" spans="2:7" ht="12" customHeight="1" x14ac:dyDescent="0.3">
      <c r="B40" s="176"/>
    </row>
    <row r="41" spans="2:7" ht="25.95" customHeight="1" x14ac:dyDescent="0.3">
      <c r="B41" s="175" t="s">
        <v>1641</v>
      </c>
    </row>
    <row r="42" spans="2:7" x14ac:dyDescent="0.3">
      <c r="B42" s="174"/>
      <c r="G42" s="547"/>
    </row>
    <row r="43" spans="2:7" ht="43.2" customHeight="1" x14ac:dyDescent="0.3">
      <c r="B43" s="548" t="s">
        <v>891</v>
      </c>
    </row>
    <row r="44" spans="2:7" ht="19.95" customHeight="1" x14ac:dyDescent="0.3">
      <c r="B44" s="549" t="s">
        <v>884</v>
      </c>
    </row>
    <row r="45" spans="2:7" ht="11.4" customHeight="1" x14ac:dyDescent="0.3">
      <c r="B45" s="177"/>
    </row>
    <row r="46" spans="2:7" ht="15" x14ac:dyDescent="0.3">
      <c r="B46" s="178"/>
    </row>
    <row r="47" spans="2:7" ht="7.2" customHeight="1" x14ac:dyDescent="0.3">
      <c r="B47" s="176"/>
    </row>
    <row r="48" spans="2:7" ht="25.95" customHeight="1" x14ac:dyDescent="0.3">
      <c r="B48" s="175" t="s">
        <v>1642</v>
      </c>
    </row>
    <row r="49" spans="2:2" ht="35.4" customHeight="1" x14ac:dyDescent="0.3">
      <c r="B49" s="548" t="s">
        <v>1659</v>
      </c>
    </row>
    <row r="50" spans="2:2" ht="15" x14ac:dyDescent="0.3">
      <c r="B50" s="178"/>
    </row>
    <row r="61" spans="2:2" ht="44.25" customHeight="1" x14ac:dyDescent="0.3"/>
  </sheetData>
  <sheetProtection algorithmName="SHA-512" hashValue="25GoR7lDUDs1kND8WWNMWe4y1alhO93vw8VOOjgbUOieg2reORCxLt6AAxbdq+p+jHhSgGGhFiNcwxk6F5+X7g==" saltValue="X2Az+19y8pe+836JJhEscA==" spinCount="100000" sheet="1" formatCells="0" formatColumns="0" formatRows="0"/>
  <hyperlinks>
    <hyperlink ref="B19" r:id="rId1" xr:uid="{C1F6514A-E8A6-43E5-A86A-05C7A391046B}"/>
    <hyperlink ref="B22" r:id="rId2" xr:uid="{B1541227-3D45-4870-904D-604AA0D245A4}"/>
    <hyperlink ref="B44" r:id="rId3" xr:uid="{4A9D302D-DF03-4083-B0C5-61ACF65C0239}"/>
    <hyperlink ref="B15" r:id="rId4" xr:uid="{C422E034-BC33-4433-9232-B9B4AB71E050}"/>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TI406"/>
  <sheetViews>
    <sheetView zoomScaleNormal="100" workbookViewId="0">
      <pane ySplit="5" topLeftCell="A6" activePane="bottomLeft" state="frozen"/>
      <selection activeCell="K179" sqref="K179"/>
      <selection pane="bottomLeft" activeCell="D2" sqref="D2"/>
    </sheetView>
  </sheetViews>
  <sheetFormatPr defaultColWidth="9.109375" defaultRowHeight="14.4" x14ac:dyDescent="0.3"/>
  <cols>
    <col min="1" max="1" width="9.6640625" style="279" customWidth="1"/>
    <col min="2" max="2" width="20.6640625" style="5" customWidth="1"/>
    <col min="3" max="3" width="17.44140625" style="5" customWidth="1"/>
    <col min="4" max="4" width="46.33203125" style="386" customWidth="1"/>
    <col min="5" max="5" width="17.109375" style="18" customWidth="1"/>
    <col min="6" max="6" width="21.5546875" style="386" customWidth="1"/>
    <col min="7" max="7" width="26.6640625" style="451" customWidth="1"/>
    <col min="8" max="8" width="25.109375" style="311" customWidth="1"/>
    <col min="9" max="10" width="24" style="386" customWidth="1"/>
    <col min="11" max="11" width="17.33203125" style="18" customWidth="1"/>
    <col min="12" max="12" width="11.6640625" style="18" customWidth="1"/>
    <col min="13" max="13" width="4" hidden="1" customWidth="1"/>
    <col min="14" max="14" width="11" style="18" hidden="1" customWidth="1"/>
    <col min="15" max="15" width="3.33203125" style="187" hidden="1" customWidth="1"/>
    <col min="16" max="16" width="2.109375" style="18" hidden="1" customWidth="1"/>
    <col min="17" max="17" width="13.44140625" style="18" hidden="1" customWidth="1"/>
    <col min="18" max="18" width="13.109375" style="18" customWidth="1"/>
    <col min="19" max="25" width="9.109375" style="18"/>
    <col min="26" max="26" width="8.88671875" customWidth="1"/>
    <col min="27" max="29" width="10.5546875" customWidth="1"/>
    <col min="30" max="96" width="20.6640625" customWidth="1"/>
    <col min="124" max="1881" width="9.109375" style="18"/>
    <col min="1882" max="16384" width="9.109375" style="386"/>
  </cols>
  <sheetData>
    <row r="1" spans="1:123" ht="15" thickBot="1" x14ac:dyDescent="0.35">
      <c r="B1" s="453" t="s">
        <v>388</v>
      </c>
      <c r="C1" s="453"/>
      <c r="E1" s="387" t="s">
        <v>35</v>
      </c>
      <c r="F1" s="388">
        <v>2023</v>
      </c>
      <c r="G1" s="115" t="s">
        <v>118</v>
      </c>
      <c r="H1" s="389"/>
      <c r="I1" s="390"/>
      <c r="J1" s="390"/>
      <c r="K1" s="391"/>
      <c r="N1" s="18" t="s">
        <v>50</v>
      </c>
      <c r="P1" s="18">
        <v>1</v>
      </c>
      <c r="Q1" s="18" t="s">
        <v>1140</v>
      </c>
    </row>
    <row r="2" spans="1:123" ht="44.25" customHeight="1" thickBot="1" x14ac:dyDescent="0.35">
      <c r="B2" s="1068" t="s">
        <v>284</v>
      </c>
      <c r="C2" s="1069"/>
      <c r="D2" s="392" t="s">
        <v>814</v>
      </c>
      <c r="E2" s="1066" t="s">
        <v>296</v>
      </c>
      <c r="F2" s="1066"/>
      <c r="G2" s="1067"/>
      <c r="H2" s="779" t="s">
        <v>2748</v>
      </c>
      <c r="N2" s="18" t="s">
        <v>51</v>
      </c>
      <c r="O2" s="187">
        <v>50</v>
      </c>
      <c r="P2" s="18">
        <v>2</v>
      </c>
      <c r="Q2" s="18">
        <v>9004</v>
      </c>
    </row>
    <row r="3" spans="1:123" ht="15" thickBot="1" x14ac:dyDescent="0.35">
      <c r="B3" s="454" t="s">
        <v>0</v>
      </c>
      <c r="C3" s="455"/>
      <c r="D3" s="394" t="e">
        <f>VLOOKUP(D2,'Unit Names(H)'!A2:B139,2,FALSE)</f>
        <v>#N/A</v>
      </c>
      <c r="E3" s="526"/>
      <c r="F3" s="395"/>
      <c r="G3" s="396"/>
      <c r="H3" s="393"/>
      <c r="O3" s="187">
        <v>51</v>
      </c>
      <c r="P3" s="18">
        <v>3</v>
      </c>
    </row>
    <row r="4" spans="1:123" ht="15" thickBot="1" x14ac:dyDescent="0.35">
      <c r="B4" s="456" t="s">
        <v>680</v>
      </c>
      <c r="C4" s="457"/>
      <c r="D4" s="397"/>
      <c r="E4" s="397"/>
      <c r="F4" s="398"/>
      <c r="G4" s="399"/>
      <c r="H4" s="393"/>
      <c r="I4" s="2"/>
      <c r="J4" s="2"/>
      <c r="N4" s="18" t="s">
        <v>324</v>
      </c>
      <c r="O4" s="187">
        <v>52</v>
      </c>
      <c r="P4" s="18">
        <v>4</v>
      </c>
    </row>
    <row r="5" spans="1:123" ht="37.5" customHeight="1" thickBot="1" x14ac:dyDescent="0.35">
      <c r="A5" s="375" t="s">
        <v>385</v>
      </c>
      <c r="B5" s="973" t="s">
        <v>103</v>
      </c>
      <c r="C5" s="973" t="s">
        <v>120</v>
      </c>
      <c r="D5" s="974" t="s">
        <v>1</v>
      </c>
      <c r="E5" s="974">
        <v>2022</v>
      </c>
      <c r="F5" s="400">
        <v>2023</v>
      </c>
      <c r="G5" s="975" t="s">
        <v>789</v>
      </c>
      <c r="H5" s="401" t="s">
        <v>300</v>
      </c>
      <c r="I5" s="388" t="s">
        <v>13</v>
      </c>
      <c r="J5" s="388"/>
      <c r="N5" s="18" t="s">
        <v>430</v>
      </c>
    </row>
    <row r="6" spans="1:123" ht="48" customHeight="1" thickBot="1" x14ac:dyDescent="0.4">
      <c r="A6" s="375"/>
      <c r="B6" s="1075" t="s">
        <v>1947</v>
      </c>
      <c r="C6" s="1076"/>
      <c r="D6" s="1076"/>
      <c r="E6" s="1076"/>
      <c r="F6" s="1076"/>
      <c r="G6" s="1077"/>
      <c r="H6" s="964"/>
      <c r="I6" s="388"/>
      <c r="J6" s="388"/>
      <c r="M6" s="180"/>
      <c r="N6" s="344" t="s">
        <v>464</v>
      </c>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c r="BF6" s="180"/>
      <c r="BG6" s="180"/>
      <c r="BH6" s="180"/>
      <c r="BI6" s="180"/>
      <c r="BJ6" s="180"/>
      <c r="BK6" s="180"/>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0"/>
      <c r="DQ6" s="180"/>
      <c r="DR6" s="180"/>
      <c r="DS6" s="180"/>
    </row>
    <row r="7" spans="1:123" ht="72" customHeight="1" thickBot="1" x14ac:dyDescent="0.4">
      <c r="A7" s="375"/>
      <c r="B7" s="1075" t="s">
        <v>1983</v>
      </c>
      <c r="C7" s="1076"/>
      <c r="D7" s="1076"/>
      <c r="E7" s="1076"/>
      <c r="F7" s="1076"/>
      <c r="G7" s="1077"/>
      <c r="H7" s="964"/>
      <c r="I7" s="388"/>
      <c r="J7" s="388"/>
      <c r="M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0"/>
      <c r="DQ7" s="180"/>
      <c r="DR7" s="180"/>
      <c r="DS7" s="180"/>
    </row>
    <row r="8" spans="1:123" ht="31.2" customHeight="1" x14ac:dyDescent="0.3">
      <c r="B8" s="481" t="s">
        <v>119</v>
      </c>
      <c r="C8" s="482"/>
      <c r="D8" s="483"/>
      <c r="E8" s="484"/>
      <c r="F8" s="485"/>
      <c r="G8" s="477"/>
      <c r="H8" s="17"/>
      <c r="K8" s="774"/>
      <c r="N8" s="18" t="s">
        <v>413</v>
      </c>
    </row>
    <row r="9" spans="1:123" s="18" customFormat="1" ht="72.599999999999994" customHeight="1" x14ac:dyDescent="0.3">
      <c r="A9" s="553">
        <v>333</v>
      </c>
      <c r="B9" s="375" t="s">
        <v>66</v>
      </c>
      <c r="C9" s="375" t="s">
        <v>121</v>
      </c>
      <c r="D9" s="385" t="s">
        <v>681</v>
      </c>
      <c r="E9" s="373" t="e">
        <f>INDEX('PY1 Data(H)'!$A$1:$CZ$265,MATCH('Unit Data from Audit Worksheet'!$A9,'PY1 Data(H)'!$A$1:$A$258,0),MATCH('Unit Data from Audit Worksheet'!$D$2,'PY1 Data(H)'!$A$1:$CZ$1,0))</f>
        <v>#N/A</v>
      </c>
      <c r="F9" s="816">
        <v>0</v>
      </c>
      <c r="G9" s="403">
        <f>IF(F9&lt;0,"Note: Number is normally positive.",)</f>
        <v>0</v>
      </c>
      <c r="H9" s="404"/>
      <c r="I9" s="405"/>
      <c r="J9" s="405"/>
      <c r="K9" s="294"/>
      <c r="L9" s="550"/>
      <c r="M9"/>
      <c r="N9" s="18" t="s">
        <v>431</v>
      </c>
      <c r="O9" s="187"/>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s="18" customFormat="1" ht="51" customHeight="1" x14ac:dyDescent="0.3">
      <c r="A10" s="100">
        <v>500</v>
      </c>
      <c r="B10" s="375" t="s">
        <v>54</v>
      </c>
      <c r="C10" s="375" t="s">
        <v>121</v>
      </c>
      <c r="D10" s="385" t="s">
        <v>682</v>
      </c>
      <c r="E10" s="373" t="e">
        <f>INDEX('PY1 Data(H)'!$A$1:$CZ$265,MATCH('Unit Data from Audit Worksheet'!$A10,'PY1 Data(H)'!$A$1:$A$258,0),MATCH('Unit Data from Audit Worksheet'!$D$2,'PY1 Data(H)'!$A$1:$CZ$1,0))</f>
        <v>#N/A</v>
      </c>
      <c r="F10" s="816">
        <v>0</v>
      </c>
      <c r="G10" s="403">
        <f>IF(F10&lt;0,"Note: Number is normally positive.",)</f>
        <v>0</v>
      </c>
      <c r="H10" s="404"/>
      <c r="I10" s="404"/>
      <c r="J10" s="404"/>
      <c r="K10" s="294"/>
      <c r="L10" s="550"/>
      <c r="M10"/>
      <c r="N10" s="18" t="s">
        <v>432</v>
      </c>
      <c r="O10" s="187"/>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51" customHeight="1" x14ac:dyDescent="0.3">
      <c r="A11" s="565">
        <v>385</v>
      </c>
      <c r="B11" s="4" t="s">
        <v>59</v>
      </c>
      <c r="C11" s="375" t="s">
        <v>121</v>
      </c>
      <c r="D11" s="99" t="s">
        <v>122</v>
      </c>
      <c r="E11" s="373" t="e">
        <f>INDEX('PY1 Data(H)'!$A$1:$CZ$265,MATCH('Unit Data from Audit Worksheet'!$A11,'PY1 Data(H)'!$A$1:$A$258,0),MATCH('Unit Data from Audit Worksheet'!$D$2,'PY1 Data(H)'!$A$1:$CZ$1,0))-INDEX('PY1 Data(H)'!$A$1:$CZ$258,MATCH('Unit Data from Audit Worksheet'!$A13,'PY1 Data(H)'!$A$1:$A$258,0),MATCH('Unit Data from Audit Worksheet'!$D$2,'PY1 Data(H)'!$A$1:$CZ$1,0))</f>
        <v>#N/A</v>
      </c>
      <c r="F11" s="816">
        <v>0</v>
      </c>
      <c r="G11" s="403">
        <f>IF((F9+F10)&gt;F11,"Error: Please review Account numbers (333+500)&gt;385",)</f>
        <v>0</v>
      </c>
      <c r="H11" s="404"/>
      <c r="I11" s="404"/>
      <c r="J11" s="404"/>
      <c r="K11"/>
      <c r="L11" s="550"/>
    </row>
    <row r="12" spans="1:123" s="18" customFormat="1" ht="90" customHeight="1" x14ac:dyDescent="0.3">
      <c r="A12" s="100">
        <v>575</v>
      </c>
      <c r="B12" s="375" t="s">
        <v>69</v>
      </c>
      <c r="C12" s="375" t="s">
        <v>121</v>
      </c>
      <c r="D12" s="458" t="s">
        <v>683</v>
      </c>
      <c r="E12" s="373" t="e">
        <f>INDEX('PY1 Data(H)'!$A$1:$CZ$265,MATCH('Unit Data from Audit Worksheet'!$A12,'PY1 Data(H)'!$A$1:$A$258,0),MATCH('Unit Data from Audit Worksheet'!$D$2,'PY1 Data(H)'!$A$1:$CZ$1,0))</f>
        <v>#N/A</v>
      </c>
      <c r="F12" s="816">
        <v>0</v>
      </c>
      <c r="G12" s="403">
        <f>IF(F12&lt;0,"Note: Number is normally positive.",)</f>
        <v>0</v>
      </c>
      <c r="H12" s="406"/>
      <c r="I12" s="407"/>
      <c r="J12" s="407"/>
      <c r="K12"/>
      <c r="L12" s="550"/>
      <c r="M12"/>
      <c r="O12" s="187"/>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s="18" customFormat="1" ht="93.75" customHeight="1" x14ac:dyDescent="0.3">
      <c r="A13" s="100">
        <v>576</v>
      </c>
      <c r="B13" s="375" t="s">
        <v>69</v>
      </c>
      <c r="C13" s="375" t="s">
        <v>121</v>
      </c>
      <c r="D13" s="458" t="s">
        <v>684</v>
      </c>
      <c r="E13" s="373" t="e">
        <f>INDEX('PY1 Data(H)'!$A$1:$CZ$265,MATCH('Unit Data from Audit Worksheet'!$A13,'PY1 Data(H)'!$A$1:$A$258,0),MATCH('Unit Data from Audit Worksheet'!$D$2,'PY1 Data(H)'!$A$1:$CZ$1,0))</f>
        <v>#N/A</v>
      </c>
      <c r="F13" s="816">
        <v>0</v>
      </c>
      <c r="G13" s="403">
        <f>IF(F13&lt;0,"Error: Enter as positive.",)</f>
        <v>0</v>
      </c>
      <c r="H13" s="406"/>
      <c r="I13" s="407"/>
      <c r="J13" s="407"/>
      <c r="K13"/>
      <c r="L13" s="550"/>
      <c r="M13"/>
      <c r="O13" s="187"/>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ht="85.5" customHeight="1" x14ac:dyDescent="0.3">
      <c r="A14" s="566">
        <v>626</v>
      </c>
      <c r="B14" s="462" t="s">
        <v>445</v>
      </c>
      <c r="C14" s="462" t="s">
        <v>121</v>
      </c>
      <c r="D14" s="216" t="s">
        <v>685</v>
      </c>
      <c r="E14" s="373" t="e">
        <f>INDEX('PY1 Data(H)'!$A$1:$CZ$265,MATCH('Unit Data from Audit Worksheet'!$A14,'PY1 Data(H)'!$A$1:$A$258,0),MATCH('Unit Data from Audit Worksheet'!$D$2,'PY1 Data(H)'!$A$1:$CZ$1,0))-INDEX('PY1 Data(H)'!$A$1:$CZ$258,MATCH('Unit Data from Audit Worksheet'!$A13,'PY1 Data(H)'!$A$1:$A$258,0),MATCH('Unit Data from Audit Worksheet'!$D$2,'PY1 Data(H)'!$A$1:$CZ$1,0))</f>
        <v>#N/A</v>
      </c>
      <c r="F14" s="816">
        <v>0</v>
      </c>
      <c r="G14" s="403">
        <f>IF(F14&lt;0,"Error: Enter as positive.",)</f>
        <v>0</v>
      </c>
      <c r="H14" s="408"/>
      <c r="I14" s="408"/>
      <c r="J14" s="775"/>
      <c r="K14"/>
      <c r="L14" s="550"/>
    </row>
    <row r="15" spans="1:123" ht="89.25" customHeight="1" x14ac:dyDescent="0.3">
      <c r="A15" s="191">
        <v>627</v>
      </c>
      <c r="B15" s="463" t="s">
        <v>360</v>
      </c>
      <c r="C15" s="462" t="s">
        <v>121</v>
      </c>
      <c r="D15" s="216" t="s">
        <v>686</v>
      </c>
      <c r="E15" s="373" t="e">
        <f>INDEX('PY1 Data(H)'!$A$1:$CZ$265,MATCH('Unit Data from Audit Worksheet'!$A15,'PY1 Data(H)'!$A$1:$A$258,0),MATCH('Unit Data from Audit Worksheet'!$D$2,'PY1 Data(H)'!$A$1:$CZ$1,0))</f>
        <v>#N/A</v>
      </c>
      <c r="F15" s="816">
        <v>0</v>
      </c>
      <c r="G15" s="403">
        <f>IF(F15&gt;F14,"Please review account numbers 627 &gt;626",)</f>
        <v>0</v>
      </c>
      <c r="H15" s="408"/>
      <c r="I15" s="408"/>
      <c r="J15" s="775"/>
      <c r="K15"/>
      <c r="L15" s="550"/>
    </row>
    <row r="16" spans="1:123" ht="105" customHeight="1" x14ac:dyDescent="0.3">
      <c r="A16" s="191">
        <v>628</v>
      </c>
      <c r="B16" s="463" t="s">
        <v>360</v>
      </c>
      <c r="C16" s="462" t="s">
        <v>121</v>
      </c>
      <c r="D16" s="216" t="s">
        <v>687</v>
      </c>
      <c r="E16" s="373" t="e">
        <f>INDEX('PY1 Data(H)'!$A$1:$CZ$265,MATCH('Unit Data from Audit Worksheet'!$A16,'PY1 Data(H)'!$A$1:$A$258,0),MATCH('Unit Data from Audit Worksheet'!$D$2,'PY1 Data(H)'!$A$1:$CZ$1,0))</f>
        <v>#N/A</v>
      </c>
      <c r="F16" s="816">
        <v>0</v>
      </c>
      <c r="G16" s="403">
        <f>IF(F16&gt;F14,"Please review account numbers 628 &gt; 626",)</f>
        <v>0</v>
      </c>
      <c r="H16" s="408"/>
      <c r="I16" s="408"/>
      <c r="J16" s="775"/>
      <c r="K16"/>
      <c r="L16" s="550"/>
    </row>
    <row r="17" spans="1:12" ht="95.25" customHeight="1" x14ac:dyDescent="0.3">
      <c r="A17" s="191">
        <v>629</v>
      </c>
      <c r="B17" s="463" t="s">
        <v>360</v>
      </c>
      <c r="C17" s="462" t="s">
        <v>121</v>
      </c>
      <c r="D17" s="216" t="s">
        <v>688</v>
      </c>
      <c r="E17" s="373" t="e">
        <f>INDEX('PY1 Data(H)'!$A$1:$CZ$265,MATCH('Unit Data from Audit Worksheet'!$A17,'PY1 Data(H)'!$A$1:$A$258,0),MATCH('Unit Data from Audit Worksheet'!$D$2,'PY1 Data(H)'!$A$1:$CZ$1,0))</f>
        <v>#N/A</v>
      </c>
      <c r="F17" s="816">
        <v>0</v>
      </c>
      <c r="G17" s="403">
        <f>IF(F17&gt;F14,"Please review account numbers 629 &gt; 626",)</f>
        <v>0</v>
      </c>
      <c r="H17" s="408"/>
      <c r="I17" s="408"/>
      <c r="J17" s="775"/>
      <c r="K17"/>
      <c r="L17" s="550"/>
    </row>
    <row r="18" spans="1:12" ht="69" customHeight="1" x14ac:dyDescent="0.3">
      <c r="A18" s="191">
        <v>630</v>
      </c>
      <c r="B18" s="463" t="s">
        <v>360</v>
      </c>
      <c r="C18" s="462" t="s">
        <v>121</v>
      </c>
      <c r="D18" s="216" t="s">
        <v>426</v>
      </c>
      <c r="E18" s="373" t="e">
        <f>INDEX('PY1 Data(H)'!$A$1:$CZ$265,MATCH('Unit Data from Audit Worksheet'!$A18,'PY1 Data(H)'!$A$1:$A$258,0),MATCH('Unit Data from Audit Worksheet'!$D$2,'PY1 Data(H)'!$A$1:$CZ$1,0))</f>
        <v>#N/A</v>
      </c>
      <c r="F18" s="816">
        <v>0</v>
      </c>
      <c r="G18" s="403">
        <f>IF(F18&gt;F14,"Please review account numbers 630 &gt; 626",)</f>
        <v>0</v>
      </c>
      <c r="H18" s="408"/>
      <c r="I18" s="408"/>
      <c r="J18" s="775"/>
      <c r="K18"/>
      <c r="L18" s="550"/>
    </row>
    <row r="19" spans="1:12" ht="95.25" customHeight="1" x14ac:dyDescent="0.3">
      <c r="A19" s="191">
        <v>631</v>
      </c>
      <c r="B19" s="463" t="s">
        <v>360</v>
      </c>
      <c r="C19" s="462" t="s">
        <v>121</v>
      </c>
      <c r="D19" s="216" t="s">
        <v>689</v>
      </c>
      <c r="E19" s="373" t="e">
        <f>INDEX('PY1 Data(H)'!$A$1:$CZ$265,MATCH('Unit Data from Audit Worksheet'!$A19,'PY1 Data(H)'!$A$1:$A$258,0),MATCH('Unit Data from Audit Worksheet'!$D$2,'PY1 Data(H)'!$A$1:$CZ$1,0))</f>
        <v>#N/A</v>
      </c>
      <c r="F19" s="816">
        <v>0</v>
      </c>
      <c r="G19" s="403">
        <f>IF(F19&gt;F14,"Please review account numbers 631 &gt; 626",)</f>
        <v>0</v>
      </c>
      <c r="H19" s="408"/>
      <c r="I19" s="408"/>
      <c r="J19" s="775"/>
      <c r="K19"/>
      <c r="L19" s="550"/>
    </row>
    <row r="20" spans="1:12" ht="111.75" customHeight="1" x14ac:dyDescent="0.3">
      <c r="A20" s="191">
        <v>632</v>
      </c>
      <c r="B20" s="463" t="s">
        <v>360</v>
      </c>
      <c r="C20" s="462" t="s">
        <v>121</v>
      </c>
      <c r="D20" s="216" t="s">
        <v>690</v>
      </c>
      <c r="E20" s="373" t="e">
        <f>INDEX('PY1 Data(H)'!$A$1:$CZ$265,MATCH('Unit Data from Audit Worksheet'!$A20,'PY1 Data(H)'!$A$1:$A$258,0),MATCH('Unit Data from Audit Worksheet'!$D$2,'PY1 Data(H)'!$A$1:$CZ$1,0))</f>
        <v>#N/A</v>
      </c>
      <c r="F20" s="816">
        <v>0</v>
      </c>
      <c r="G20" s="403">
        <f>IF(F20&gt;F14,"Please review account numbers 632 &gt; 626",)</f>
        <v>0</v>
      </c>
      <c r="H20" s="408"/>
      <c r="I20" s="408"/>
      <c r="J20" s="775"/>
      <c r="K20"/>
      <c r="L20" s="550"/>
    </row>
    <row r="21" spans="1:12" ht="55.5" customHeight="1" x14ac:dyDescent="0.3">
      <c r="A21" s="565">
        <v>338</v>
      </c>
      <c r="B21" s="4" t="s">
        <v>55</v>
      </c>
      <c r="C21" s="375" t="s">
        <v>121</v>
      </c>
      <c r="D21" s="99" t="s">
        <v>123</v>
      </c>
      <c r="E21" s="373" t="e">
        <f>INDEX('PY1 Data(H)'!$A$1:$CZ$265,MATCH('Unit Data from Audit Worksheet'!$A21,'PY1 Data(H)'!$A$1:$A$258,0),MATCH('Unit Data from Audit Worksheet'!$D$2,'PY1 Data(H)'!$A$1:$CZ$1,0))-INDEX('PY1 Data(H)'!$A$1:$CZ$258,MATCH('Unit Data from Audit Worksheet'!$A13,'PY1 Data(H)'!$A$1:$A$258,0),MATCH('Unit Data from Audit Worksheet'!$D$2,'PY1 Data(H)'!$A$1:$CZ$1,0))</f>
        <v>#N/A</v>
      </c>
      <c r="F21" s="816">
        <v>0</v>
      </c>
      <c r="G21" s="403" t="str">
        <f>IF(F14&gt;F21,"Error: Please review accts 626 &gt; 338","")</f>
        <v/>
      </c>
      <c r="H21" s="404"/>
      <c r="I21" s="404"/>
      <c r="J21" s="404"/>
      <c r="K21"/>
      <c r="L21" s="550"/>
    </row>
    <row r="22" spans="1:12" ht="89.25" customHeight="1" x14ac:dyDescent="0.3">
      <c r="A22" s="100">
        <v>335</v>
      </c>
      <c r="B22" s="4" t="s">
        <v>55</v>
      </c>
      <c r="C22" s="375" t="s">
        <v>121</v>
      </c>
      <c r="D22" s="385" t="s">
        <v>691</v>
      </c>
      <c r="E22" s="373" t="e">
        <f>INDEX('PY1 Data(H)'!$A$1:$CZ$265,MATCH('Unit Data from Audit Worksheet'!$A22,'PY1 Data(H)'!$A$1:$A$258,0),MATCH('Unit Data from Audit Worksheet'!$D$2,'PY1 Data(H)'!$A$1:$CZ$1,0))</f>
        <v>#N/A</v>
      </c>
      <c r="F22" s="816">
        <v>0</v>
      </c>
      <c r="G22" s="403">
        <f>IF(F22&lt;0,"Error: Enter as positive.",)</f>
        <v>0</v>
      </c>
      <c r="H22" s="404"/>
      <c r="I22" s="244"/>
      <c r="J22" s="244"/>
      <c r="K22"/>
      <c r="L22" s="550"/>
    </row>
    <row r="23" spans="1:12" ht="48.75" customHeight="1" x14ac:dyDescent="0.3">
      <c r="A23" s="100">
        <v>252</v>
      </c>
      <c r="B23" s="4" t="s">
        <v>55</v>
      </c>
      <c r="C23" s="375" t="s">
        <v>121</v>
      </c>
      <c r="D23" s="99" t="s">
        <v>124</v>
      </c>
      <c r="E23" s="373" t="e">
        <f>INDEX('PY1 Data(H)'!$A$1:$CZ$265,MATCH('Unit Data from Audit Worksheet'!$A23,'PY1 Data(H)'!$A$1:$A$258,0),MATCH('Unit Data from Audit Worksheet'!$D$2,'PY1 Data(H)'!$A$1:$CZ$1,0))</f>
        <v>#N/A</v>
      </c>
      <c r="F23" s="816">
        <v>0</v>
      </c>
      <c r="G23" s="737"/>
      <c r="H23" s="404"/>
      <c r="I23" s="72"/>
      <c r="J23" s="72"/>
      <c r="K23"/>
      <c r="L23" s="550"/>
    </row>
    <row r="24" spans="1:12" ht="43.2" x14ac:dyDescent="0.3">
      <c r="A24" s="100">
        <v>253</v>
      </c>
      <c r="B24" s="4" t="s">
        <v>55</v>
      </c>
      <c r="C24" s="375" t="s">
        <v>121</v>
      </c>
      <c r="D24" s="99" t="s">
        <v>125</v>
      </c>
      <c r="E24" s="373" t="e">
        <f>INDEX('PY1 Data(H)'!$A$1:$CZ$265,MATCH('Unit Data from Audit Worksheet'!$A24,'PY1 Data(H)'!$A$1:$A$258,0),MATCH('Unit Data from Audit Worksheet'!$D$2,'PY1 Data(H)'!$A$1:$CZ$1,0))</f>
        <v>#N/A</v>
      </c>
      <c r="F24" s="816">
        <v>0</v>
      </c>
      <c r="G24" s="403"/>
      <c r="H24" s="404"/>
      <c r="I24" s="72"/>
      <c r="J24" s="72"/>
      <c r="K24"/>
      <c r="L24" s="550"/>
    </row>
    <row r="25" spans="1:12" ht="138" customHeight="1" x14ac:dyDescent="0.3">
      <c r="A25" s="100">
        <v>254</v>
      </c>
      <c r="B25" s="4" t="s">
        <v>55</v>
      </c>
      <c r="C25" s="375" t="s">
        <v>121</v>
      </c>
      <c r="D25" s="99" t="s">
        <v>692</v>
      </c>
      <c r="E25" s="373" t="e">
        <f>INDEX('PY1 Data(H)'!$A$1:$CZ$265,MATCH('Unit Data from Audit Worksheet'!$A25,'PY1 Data(H)'!$A$1:$A$258,0),MATCH('Unit Data from Audit Worksheet'!$D$2,'PY1 Data(H)'!$A$1:$CZ$1,0))</f>
        <v>#N/A</v>
      </c>
      <c r="F25" s="816">
        <v>0</v>
      </c>
      <c r="G25" s="403">
        <f>IF(H25=0,,"Error: Total assets and deferred outflows less total liabilities and deferred inflows do not equal total net position. Account numbers  385-338-252-253-254 = 0.  The amount the formula is off is located in the cell to the right")</f>
        <v>0</v>
      </c>
      <c r="H25" s="406">
        <f>F11-F21-F23-F24-F25</f>
        <v>0</v>
      </c>
      <c r="I25" s="72"/>
      <c r="J25" s="72"/>
      <c r="K25"/>
      <c r="L25" s="550"/>
    </row>
    <row r="26" spans="1:12" ht="21.75" customHeight="1" x14ac:dyDescent="0.3">
      <c r="A26" s="100"/>
      <c r="B26" s="492" t="s">
        <v>126</v>
      </c>
      <c r="C26" s="502"/>
      <c r="D26" s="475"/>
      <c r="E26" s="486"/>
      <c r="F26" s="486"/>
      <c r="G26" s="487"/>
      <c r="H26" s="17"/>
      <c r="I26" s="72"/>
      <c r="J26" s="72"/>
      <c r="K26"/>
      <c r="L26" s="550"/>
    </row>
    <row r="27" spans="1:12" ht="59.25" customHeight="1" x14ac:dyDescent="0.3">
      <c r="A27" s="100">
        <v>502</v>
      </c>
      <c r="B27" s="4" t="s">
        <v>54</v>
      </c>
      <c r="C27" s="375" t="s">
        <v>128</v>
      </c>
      <c r="D27" s="385" t="s">
        <v>693</v>
      </c>
      <c r="E27" s="373" t="e">
        <f>INDEX('PY1 Data(H)'!$A$1:$CZ$265,MATCH('Unit Data from Audit Worksheet'!$A27,'PY1 Data(H)'!$A$1:$A$258,0),MATCH('Unit Data from Audit Worksheet'!$D$2,'PY1 Data(H)'!$A$1:$CZ$1,0))</f>
        <v>#N/A</v>
      </c>
      <c r="F27" s="816">
        <v>0</v>
      </c>
      <c r="G27" s="403">
        <f>IF(F27&lt;0,"Note: Number is normally positive.",)</f>
        <v>0</v>
      </c>
      <c r="H27" s="17"/>
      <c r="I27" s="72"/>
      <c r="J27" s="72"/>
      <c r="K27"/>
      <c r="L27" s="550"/>
    </row>
    <row r="28" spans="1:12" ht="59.25" customHeight="1" x14ac:dyDescent="0.3">
      <c r="A28" s="100">
        <v>503</v>
      </c>
      <c r="B28" s="4" t="s">
        <v>54</v>
      </c>
      <c r="C28" s="375" t="s">
        <v>128</v>
      </c>
      <c r="D28" s="99" t="s">
        <v>127</v>
      </c>
      <c r="E28" s="373" t="e">
        <f>INDEX('PY1 Data(H)'!$A$1:$CZ$265,MATCH('Unit Data from Audit Worksheet'!$A28,'PY1 Data(H)'!$A$1:$A$258,0),MATCH('Unit Data from Audit Worksheet'!$D$2,'PY1 Data(H)'!$A$1:$CZ$1,0))</f>
        <v>#N/A</v>
      </c>
      <c r="F28" s="816">
        <v>0</v>
      </c>
      <c r="G28" s="403">
        <f>IF(F28&lt;0,"Note: Number is normally positive.",)</f>
        <v>0</v>
      </c>
      <c r="H28" s="17"/>
      <c r="I28" s="72"/>
      <c r="J28" s="72"/>
      <c r="K28"/>
      <c r="L28" s="550"/>
    </row>
    <row r="29" spans="1:12" ht="27" customHeight="1" x14ac:dyDescent="0.3">
      <c r="A29" s="100"/>
      <c r="B29" s="492" t="s">
        <v>129</v>
      </c>
      <c r="C29" s="502"/>
      <c r="D29" s="475"/>
      <c r="E29" s="476"/>
      <c r="F29" s="476"/>
      <c r="G29" s="477"/>
      <c r="H29" s="17"/>
      <c r="I29" s="72"/>
      <c r="J29" s="72"/>
      <c r="K29"/>
      <c r="L29" s="550"/>
    </row>
    <row r="30" spans="1:12" ht="49.5" customHeight="1" x14ac:dyDescent="0.3">
      <c r="A30" s="100">
        <v>344</v>
      </c>
      <c r="B30" s="4" t="s">
        <v>55</v>
      </c>
      <c r="C30" s="4" t="s">
        <v>136</v>
      </c>
      <c r="D30" s="99" t="s">
        <v>130</v>
      </c>
      <c r="E30" s="373" t="e">
        <f>INDEX('PY1 Data(H)'!$A$1:$CZ$265,MATCH('Unit Data from Audit Worksheet'!$A30,'PY1 Data(H)'!$A$1:$A$258,0),MATCH('Unit Data from Audit Worksheet'!$D$2,'PY1 Data(H)'!$A$1:$CZ$1,0))</f>
        <v>#N/A</v>
      </c>
      <c r="F30" s="816">
        <v>0</v>
      </c>
      <c r="G30" s="403">
        <f t="shared" ref="G30:G37" si="0">IF(F30&lt;0,"Error: Enter as positive.",)</f>
        <v>0</v>
      </c>
      <c r="H30" s="17"/>
      <c r="I30" s="72"/>
      <c r="J30" s="72"/>
      <c r="K30"/>
      <c r="L30" s="550"/>
    </row>
    <row r="31" spans="1:12" ht="49.5" customHeight="1" x14ac:dyDescent="0.3">
      <c r="A31" s="100">
        <v>388</v>
      </c>
      <c r="B31" s="4" t="s">
        <v>59</v>
      </c>
      <c r="C31" s="4" t="s">
        <v>136</v>
      </c>
      <c r="D31" s="99" t="s">
        <v>131</v>
      </c>
      <c r="E31" s="373" t="e">
        <f>INDEX('PY1 Data(H)'!$A$1:$CZ$265,MATCH('Unit Data from Audit Worksheet'!$A31,'PY1 Data(H)'!$A$1:$A$258,0),MATCH('Unit Data from Audit Worksheet'!$D$2,'PY1 Data(H)'!$A$1:$CZ$1,0))</f>
        <v>#N/A</v>
      </c>
      <c r="F31" s="816">
        <v>0</v>
      </c>
      <c r="G31" s="403">
        <f t="shared" si="0"/>
        <v>0</v>
      </c>
      <c r="H31" s="17"/>
      <c r="I31" s="72"/>
      <c r="J31" s="72"/>
      <c r="K31"/>
      <c r="L31" s="550"/>
    </row>
    <row r="32" spans="1:12" ht="51.75" customHeight="1" x14ac:dyDescent="0.3">
      <c r="A32" s="100">
        <v>339</v>
      </c>
      <c r="B32" s="4" t="s">
        <v>55</v>
      </c>
      <c r="C32" s="4" t="s">
        <v>136</v>
      </c>
      <c r="D32" s="99" t="s">
        <v>132</v>
      </c>
      <c r="E32" s="373" t="e">
        <f>INDEX('PY1 Data(H)'!$A$1:$CZ$265,MATCH('Unit Data from Audit Worksheet'!$A32,'PY1 Data(H)'!$A$1:$A$258,0),MATCH('Unit Data from Audit Worksheet'!$D$2,'PY1 Data(H)'!$A$1:$CZ$1,0))</f>
        <v>#N/A</v>
      </c>
      <c r="F32" s="816">
        <v>0</v>
      </c>
      <c r="G32" s="403">
        <f t="shared" si="0"/>
        <v>0</v>
      </c>
      <c r="H32" s="17"/>
      <c r="I32" s="72"/>
      <c r="J32" s="72"/>
      <c r="K32"/>
      <c r="L32" s="550"/>
    </row>
    <row r="33" spans="1:123" ht="50.25" customHeight="1" x14ac:dyDescent="0.3">
      <c r="A33" s="100">
        <v>504</v>
      </c>
      <c r="B33" s="4" t="s">
        <v>55</v>
      </c>
      <c r="C33" s="4" t="s">
        <v>136</v>
      </c>
      <c r="D33" s="99" t="s">
        <v>133</v>
      </c>
      <c r="E33" s="373" t="e">
        <f>INDEX('PY1 Data(H)'!$A$1:$CZ$265,MATCH('Unit Data from Audit Worksheet'!$A33,'PY1 Data(H)'!$A$1:$A$258,0),MATCH('Unit Data from Audit Worksheet'!$D$2,'PY1 Data(H)'!$A$1:$CZ$1,0))</f>
        <v>#N/A</v>
      </c>
      <c r="F33" s="816">
        <v>0</v>
      </c>
      <c r="G33" s="403">
        <f t="shared" si="0"/>
        <v>0</v>
      </c>
      <c r="H33" s="17"/>
      <c r="I33" s="72"/>
      <c r="J33" s="72"/>
      <c r="K33"/>
      <c r="L33" s="550"/>
    </row>
    <row r="34" spans="1:123" ht="60" customHeight="1" x14ac:dyDescent="0.3">
      <c r="A34" s="100">
        <v>505</v>
      </c>
      <c r="B34" s="4" t="s">
        <v>55</v>
      </c>
      <c r="C34" s="4" t="s">
        <v>136</v>
      </c>
      <c r="D34" s="379" t="s">
        <v>134</v>
      </c>
      <c r="E34" s="373" t="e">
        <f>INDEX('PY1 Data(H)'!$A$1:$CZ$265,MATCH('Unit Data from Audit Worksheet'!$A34,'PY1 Data(H)'!$A$1:$A$258,0),MATCH('Unit Data from Audit Worksheet'!$D$2,'PY1 Data(H)'!$A$1:$CZ$1,0))</f>
        <v>#N/A</v>
      </c>
      <c r="F34" s="816">
        <v>0</v>
      </c>
      <c r="G34" s="403">
        <f t="shared" si="0"/>
        <v>0</v>
      </c>
      <c r="H34" s="17"/>
      <c r="I34" s="72"/>
      <c r="J34" s="72"/>
      <c r="K34"/>
      <c r="L34" s="550"/>
    </row>
    <row r="35" spans="1:123" ht="67.95" customHeight="1" x14ac:dyDescent="0.3">
      <c r="A35" s="100">
        <v>341</v>
      </c>
      <c r="B35" s="4" t="s">
        <v>55</v>
      </c>
      <c r="C35" s="4" t="s">
        <v>136</v>
      </c>
      <c r="D35" s="385" t="s">
        <v>694</v>
      </c>
      <c r="E35" s="373" t="e">
        <f>INDEX('PY1 Data(H)'!$A$1:$CZ$265,MATCH('Unit Data from Audit Worksheet'!$A35,'PY1 Data(H)'!$A$1:$A$258,0),MATCH('Unit Data from Audit Worksheet'!$D$2,'PY1 Data(H)'!$A$1:$CZ$1,0))</f>
        <v>#N/A</v>
      </c>
      <c r="F35" s="816">
        <v>0</v>
      </c>
      <c r="G35" s="403">
        <f t="shared" si="0"/>
        <v>0</v>
      </c>
      <c r="H35" s="17"/>
      <c r="I35" s="72"/>
      <c r="J35" s="72"/>
      <c r="K35"/>
      <c r="L35" s="550"/>
    </row>
    <row r="36" spans="1:123" ht="44.25" customHeight="1" x14ac:dyDescent="0.3">
      <c r="A36" s="100">
        <v>386</v>
      </c>
      <c r="B36" s="4" t="s">
        <v>55</v>
      </c>
      <c r="C36" s="4" t="s">
        <v>136</v>
      </c>
      <c r="D36" s="99" t="s">
        <v>695</v>
      </c>
      <c r="E36" s="373" t="e">
        <f>INDEX('PY1 Data(H)'!$A$1:$CZ$265,MATCH('Unit Data from Audit Worksheet'!$A36,'PY1 Data(H)'!$A$1:$A$258,0),MATCH('Unit Data from Audit Worksheet'!$D$2,'PY1 Data(H)'!$A$1:$CZ$1,0))</f>
        <v>#N/A</v>
      </c>
      <c r="F36" s="816">
        <v>0</v>
      </c>
      <c r="G36" s="403">
        <f t="shared" si="0"/>
        <v>0</v>
      </c>
      <c r="H36" s="17"/>
      <c r="I36" s="72"/>
      <c r="J36" s="72"/>
      <c r="K36"/>
      <c r="L36" s="550"/>
    </row>
    <row r="37" spans="1:123" ht="48.75" customHeight="1" x14ac:dyDescent="0.3">
      <c r="A37" s="100">
        <v>387</v>
      </c>
      <c r="B37" s="4" t="s">
        <v>59</v>
      </c>
      <c r="C37" s="4" t="s">
        <v>136</v>
      </c>
      <c r="D37" s="99" t="s">
        <v>696</v>
      </c>
      <c r="E37" s="373" t="e">
        <f>INDEX('PY1 Data(H)'!$A$1:$CZ$265,MATCH('Unit Data from Audit Worksheet'!$A37,'PY1 Data(H)'!$A$1:$A$258,0),MATCH('Unit Data from Audit Worksheet'!$D$2,'PY1 Data(H)'!$A$1:$CZ$1,0))</f>
        <v>#N/A</v>
      </c>
      <c r="F37" s="816">
        <v>0</v>
      </c>
      <c r="G37" s="403">
        <f t="shared" si="0"/>
        <v>0</v>
      </c>
      <c r="H37" s="17"/>
      <c r="I37" s="72"/>
      <c r="J37" s="72"/>
      <c r="K37"/>
      <c r="L37" s="550"/>
    </row>
    <row r="38" spans="1:123" ht="92.25" customHeight="1" x14ac:dyDescent="0.3">
      <c r="A38" s="100">
        <v>389</v>
      </c>
      <c r="B38" s="4" t="s">
        <v>59</v>
      </c>
      <c r="C38" s="4" t="s">
        <v>136</v>
      </c>
      <c r="D38" s="385" t="s">
        <v>697</v>
      </c>
      <c r="E38" s="373" t="e">
        <f>INDEX('PY1 Data(H)'!$A$1:$CZ$265,MATCH('Unit Data from Audit Worksheet'!$A38,'PY1 Data(H)'!$A$1:$A$258,0),MATCH('Unit Data from Audit Worksheet'!$D$2,'PY1 Data(H)'!$A$1:$CZ$1,0))</f>
        <v>#N/A</v>
      </c>
      <c r="F38" s="816">
        <v>0</v>
      </c>
      <c r="G38" s="403"/>
      <c r="H38" s="17"/>
      <c r="I38" s="72"/>
      <c r="J38" s="72"/>
      <c r="K38"/>
      <c r="L38" s="550"/>
    </row>
    <row r="39" spans="1:123" ht="138" customHeight="1" x14ac:dyDescent="0.3">
      <c r="A39" s="100">
        <v>255</v>
      </c>
      <c r="B39" s="4" t="s">
        <v>55</v>
      </c>
      <c r="C39" s="4" t="s">
        <v>136</v>
      </c>
      <c r="D39" s="385" t="s">
        <v>698</v>
      </c>
      <c r="E39" s="373" t="e">
        <f>INDEX('PY1 Data(H)'!$A$1:$CZ$265,MATCH('Unit Data from Audit Worksheet'!$A39,'PY1 Data(H)'!$A$1:$A$258,0),MATCH('Unit Data from Audit Worksheet'!$D$2,'PY1 Data(H)'!$A$1:$CZ$1,0))</f>
        <v>#N/A</v>
      </c>
      <c r="F39" s="816">
        <v>0</v>
      </c>
      <c r="G39" s="403">
        <f>IF(H39=0,,"Error: Total revenues less total expenses do not equal total change in net position. Account numbers 339+504+505+341+386-387+389-388-255 = 0  The amount the formula is off is located in the cell to the right")</f>
        <v>0</v>
      </c>
      <c r="H39" s="406">
        <f>F32+F33+F34+F35+F36-F37+F38-F31-F39</f>
        <v>0</v>
      </c>
      <c r="I39" s="72"/>
      <c r="J39" s="72"/>
      <c r="K39"/>
      <c r="L39" s="550"/>
    </row>
    <row r="40" spans="1:123" ht="138" customHeight="1" x14ac:dyDescent="0.3">
      <c r="A40" s="100">
        <v>376</v>
      </c>
      <c r="B40" s="4" t="s">
        <v>55</v>
      </c>
      <c r="C40" s="4" t="s">
        <v>136</v>
      </c>
      <c r="D40" s="385" t="s">
        <v>699</v>
      </c>
      <c r="E40" s="373" t="e">
        <f>INDEX('PY1 Data(H)'!$A$1:$CZ$265,MATCH('Unit Data from Audit Worksheet'!$A40,'PY1 Data(H)'!$A$1:$A$258,0),MATCH('Unit Data from Audit Worksheet'!$D$2,'PY1 Data(H)'!$A$1:$CZ$1,0))</f>
        <v>#N/A</v>
      </c>
      <c r="F40" s="816">
        <v>0</v>
      </c>
      <c r="G40" s="766" t="e">
        <f>IF(H40=0,,"Error: Beginning Balance does not agree with our records.  Account numbers  252+253+254-255-376-(Prior Year 252+253+254)=0  The amount the formula is off is located in the cell to the right")</f>
        <v>#N/A</v>
      </c>
      <c r="H40" s="767" t="e">
        <f>F23+F24+F25-F39-F40-(E23+E24+E25)</f>
        <v>#N/A</v>
      </c>
      <c r="I40" s="795" t="e">
        <f>IF(H40=0," ","If the out of balance is because prior years data is not populated in cells E23,E24,E25, disregard the error message.  Do not include prior year's ending balances in cell F38")</f>
        <v>#N/A</v>
      </c>
      <c r="J40" s="777"/>
      <c r="K40" s="527"/>
      <c r="L40" s="550"/>
    </row>
    <row r="41" spans="1:123" s="18" customFormat="1" ht="141.75" customHeight="1" x14ac:dyDescent="0.3">
      <c r="A41" s="100">
        <v>597</v>
      </c>
      <c r="B41" s="375" t="s">
        <v>326</v>
      </c>
      <c r="C41" s="375" t="s">
        <v>336</v>
      </c>
      <c r="D41" s="459" t="s">
        <v>700</v>
      </c>
      <c r="E41" s="373" t="e">
        <f>INDEX('PY1 Data(H)'!$A$1:$CZ$265,MATCH('Unit Data from Audit Worksheet'!$A41,'PY1 Data(H)'!$A$1:$A$258,0),MATCH('Unit Data from Audit Worksheet'!$D$2,'PY1 Data(H)'!$A$1:$CZ$1,0))</f>
        <v>#N/A</v>
      </c>
      <c r="F41" s="816">
        <v>0</v>
      </c>
      <c r="G41" s="403">
        <f>IF(F41&lt;0,"Note: Number is normally positive.",)</f>
        <v>0</v>
      </c>
      <c r="H41" s="404"/>
      <c r="J41" s="405"/>
      <c r="K41"/>
      <c r="L41" s="550"/>
      <c r="M41"/>
      <c r="O41" s="187"/>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row>
    <row r="42" spans="1:123" ht="25.5" customHeight="1" x14ac:dyDescent="0.3">
      <c r="A42" s="100"/>
      <c r="B42" s="492" t="s">
        <v>325</v>
      </c>
      <c r="C42" s="502"/>
      <c r="D42" s="475"/>
      <c r="E42" s="476"/>
      <c r="F42" s="476"/>
      <c r="G42" s="477"/>
      <c r="H42" s="17"/>
      <c r="I42" s="72"/>
      <c r="J42" s="72"/>
      <c r="K42"/>
      <c r="L42" s="550"/>
    </row>
    <row r="43" spans="1:123" s="18" customFormat="1" ht="86.25" customHeight="1" x14ac:dyDescent="0.3">
      <c r="A43" s="100">
        <v>592</v>
      </c>
      <c r="B43" s="375" t="s">
        <v>58</v>
      </c>
      <c r="C43" s="375" t="s">
        <v>327</v>
      </c>
      <c r="D43" s="385" t="s">
        <v>701</v>
      </c>
      <c r="E43" s="373" t="e">
        <f>INDEX('PY1 Data(H)'!$A$1:$CZ$265,MATCH('Unit Data from Audit Worksheet'!$A43,'PY1 Data(H)'!$A$1:$A$258,0),MATCH('Unit Data from Audit Worksheet'!$D$2,'PY1 Data(H)'!$A$1:$CZ$1,0))</f>
        <v>#N/A</v>
      </c>
      <c r="F43" s="816">
        <v>0</v>
      </c>
      <c r="G43" s="403"/>
      <c r="H43" s="404"/>
      <c r="K43"/>
      <c r="L43" s="550"/>
      <c r="M43"/>
      <c r="O43" s="187"/>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row>
    <row r="44" spans="1:123" s="18" customFormat="1" ht="71.25" customHeight="1" x14ac:dyDescent="0.3">
      <c r="A44" s="100">
        <v>591</v>
      </c>
      <c r="B44" s="375" t="s">
        <v>58</v>
      </c>
      <c r="C44" s="375" t="s">
        <v>327</v>
      </c>
      <c r="D44" s="99" t="s">
        <v>328</v>
      </c>
      <c r="E44" s="373" t="e">
        <f>INDEX('PY1 Data(H)'!$A$1:$CZ$265,MATCH('Unit Data from Audit Worksheet'!$A44,'PY1 Data(H)'!$A$1:$A$258,0),MATCH('Unit Data from Audit Worksheet'!$D$2,'PY1 Data(H)'!$A$1:$CZ$1,0))</f>
        <v>#N/A</v>
      </c>
      <c r="F44" s="816">
        <v>0</v>
      </c>
      <c r="G44" s="403">
        <f>IF(F44&lt;0,"Error: Enter as positive.",)</f>
        <v>0</v>
      </c>
      <c r="H44" s="404"/>
      <c r="K44"/>
      <c r="L44" s="550"/>
      <c r="M44"/>
      <c r="O44" s="187"/>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row>
    <row r="45" spans="1:123" ht="27" customHeight="1" x14ac:dyDescent="0.3">
      <c r="A45" s="100"/>
      <c r="B45" s="492" t="s">
        <v>137</v>
      </c>
      <c r="C45" s="502"/>
      <c r="D45" s="478"/>
      <c r="E45" s="479"/>
      <c r="F45" s="479"/>
      <c r="G45" s="480"/>
      <c r="H45" s="17"/>
      <c r="I45" s="72"/>
      <c r="J45" s="72"/>
      <c r="K45"/>
      <c r="L45" s="550"/>
    </row>
    <row r="46" spans="1:123" s="18" customFormat="1" ht="55.5" customHeight="1" x14ac:dyDescent="0.3">
      <c r="A46" s="100">
        <v>506</v>
      </c>
      <c r="B46" s="977" t="s">
        <v>1959</v>
      </c>
      <c r="C46" s="460" t="s">
        <v>141</v>
      </c>
      <c r="D46" s="99" t="s">
        <v>702</v>
      </c>
      <c r="E46" s="373" t="e">
        <f>INDEX('PY1 Data(H)'!$A$1:$CZ$265,MATCH('Unit Data from Audit Worksheet'!$A46,'PY1 Data(H)'!$A$1:$A$258,0),MATCH('Unit Data from Audit Worksheet'!$D$2,'PY1 Data(H)'!$A$1:$CZ$1,0))</f>
        <v>#N/A</v>
      </c>
      <c r="F46" s="816">
        <v>0</v>
      </c>
      <c r="G46" s="403">
        <f>IF(F46&lt;0,"Note: Number is normally positive.",)</f>
        <v>0</v>
      </c>
      <c r="H46" s="404"/>
      <c r="I46" s="72"/>
      <c r="J46" s="72"/>
      <c r="K46"/>
      <c r="L46" s="550"/>
      <c r="M46"/>
      <c r="O46" s="187"/>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row>
    <row r="47" spans="1:123" s="18" customFormat="1" ht="63.6" customHeight="1" x14ac:dyDescent="0.3">
      <c r="A47" s="100">
        <v>536</v>
      </c>
      <c r="B47" s="977" t="s">
        <v>1959</v>
      </c>
      <c r="C47" s="460" t="s">
        <v>141</v>
      </c>
      <c r="D47" s="99" t="s">
        <v>138</v>
      </c>
      <c r="E47" s="373" t="e">
        <f>INDEX('PY1 Data(H)'!$A$1:$CZ$265,MATCH('Unit Data from Audit Worksheet'!$A47,'PY1 Data(H)'!$A$1:$A$258,0),MATCH('Unit Data from Audit Worksheet'!$D$2,'PY1 Data(H)'!$A$1:$CZ$1,0))</f>
        <v>#N/A</v>
      </c>
      <c r="F47" s="816">
        <v>0</v>
      </c>
      <c r="G47" s="403">
        <f>IF(F47&lt;0,"Note: Number is normally positive.",)</f>
        <v>0</v>
      </c>
      <c r="H47" s="404"/>
      <c r="I47" s="405"/>
      <c r="J47" s="405"/>
      <c r="K47"/>
      <c r="L47" s="550"/>
      <c r="M47"/>
      <c r="O47" s="18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row>
    <row r="48" spans="1:123" s="18" customFormat="1" ht="51.75" customHeight="1" x14ac:dyDescent="0.3">
      <c r="A48" s="100">
        <v>586</v>
      </c>
      <c r="B48" s="460" t="s">
        <v>58</v>
      </c>
      <c r="C48" s="460" t="s">
        <v>141</v>
      </c>
      <c r="D48" s="378" t="s">
        <v>314</v>
      </c>
      <c r="E48" s="373" t="e">
        <f>INDEX('PY1 Data(H)'!$A$1:$CZ$265,MATCH('Unit Data from Audit Worksheet'!$A48,'PY1 Data(H)'!$A$1:$A$258,0),MATCH('Unit Data from Audit Worksheet'!$D$2,'PY1 Data(H)'!$A$1:$CZ$1,0))</f>
        <v>#N/A</v>
      </c>
      <c r="F48" s="816">
        <v>0</v>
      </c>
      <c r="G48" s="403">
        <f>IF(F48&lt;0,"Note: Number is normally positive.",)</f>
        <v>0</v>
      </c>
      <c r="H48" s="404"/>
      <c r="I48" s="405"/>
      <c r="J48" s="405"/>
      <c r="K48"/>
      <c r="L48" s="550"/>
      <c r="M48"/>
      <c r="O48" s="187"/>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row>
    <row r="49" spans="1:123" ht="37.5" customHeight="1" x14ac:dyDescent="0.3">
      <c r="A49" s="100">
        <v>379</v>
      </c>
      <c r="B49" s="460" t="s">
        <v>59</v>
      </c>
      <c r="C49" s="460" t="s">
        <v>141</v>
      </c>
      <c r="D49" s="99" t="s">
        <v>122</v>
      </c>
      <c r="E49" s="373" t="e">
        <f>INDEX('PY1 Data(H)'!$A$1:$CZ$265,MATCH('Unit Data from Audit Worksheet'!$A49,'PY1 Data(H)'!$A$1:$A$258,0),MATCH('Unit Data from Audit Worksheet'!$D$2,'PY1 Data(H)'!$A$1:$CZ$1,0))</f>
        <v>#N/A</v>
      </c>
      <c r="F49" s="816">
        <v>0</v>
      </c>
      <c r="G49" s="403">
        <f>IF((F46+F47)&gt;F49,"Error: Please review account numbers (506+536)&gt;379",)</f>
        <v>0</v>
      </c>
      <c r="H49" s="404"/>
      <c r="I49" s="72"/>
      <c r="J49" s="72"/>
      <c r="K49"/>
      <c r="L49" s="550"/>
    </row>
    <row r="50" spans="1:123" ht="93" customHeight="1" x14ac:dyDescent="0.3">
      <c r="A50" s="100">
        <v>368</v>
      </c>
      <c r="B50" s="460" t="s">
        <v>1524</v>
      </c>
      <c r="C50" s="460" t="s">
        <v>141</v>
      </c>
      <c r="D50" s="385" t="s">
        <v>703</v>
      </c>
      <c r="E50" s="373" t="e">
        <f>INDEX('PY1 Data(H)'!$A$1:$CZ$265,MATCH('Unit Data from Audit Worksheet'!$A50,'PY1 Data(H)'!$A$1:$A$258,0),MATCH('Unit Data from Audit Worksheet'!$D$2,'PY1 Data(H)'!$A$1:$CZ$1,0))</f>
        <v>#N/A</v>
      </c>
      <c r="F50" s="816">
        <v>0</v>
      </c>
      <c r="G50" s="403">
        <f t="shared" ref="G50:G56" si="1">IF(F50&lt;0,"Error: Enter as positive.",)</f>
        <v>0</v>
      </c>
      <c r="H50" s="404"/>
      <c r="I50" s="404"/>
      <c r="J50" s="404"/>
      <c r="K50"/>
      <c r="L50" s="550"/>
    </row>
    <row r="51" spans="1:123" ht="87" customHeight="1" x14ac:dyDescent="0.3">
      <c r="A51" s="100">
        <v>4</v>
      </c>
      <c r="B51" s="977" t="s">
        <v>1959</v>
      </c>
      <c r="C51" s="460" t="s">
        <v>141</v>
      </c>
      <c r="D51" s="190" t="s">
        <v>704</v>
      </c>
      <c r="E51" s="373" t="e">
        <f>INDEX('PY1 Data(H)'!$A$1:$CZ$265,MATCH('Unit Data from Audit Worksheet'!$A51,'PY1 Data(H)'!$A$1:$A$258,0),MATCH('Unit Data from Audit Worksheet'!$D$2,'PY1 Data(H)'!$A$1:$CZ$1,0))</f>
        <v>#N/A</v>
      </c>
      <c r="F51" s="816">
        <v>0</v>
      </c>
      <c r="G51" s="403">
        <f t="shared" si="1"/>
        <v>0</v>
      </c>
      <c r="H51" s="404"/>
      <c r="I51" s="72"/>
      <c r="J51" s="72"/>
      <c r="K51"/>
      <c r="L51" s="550"/>
    </row>
    <row r="52" spans="1:123" ht="132" customHeight="1" x14ac:dyDescent="0.3">
      <c r="A52" s="100">
        <v>5</v>
      </c>
      <c r="B52" s="977" t="s">
        <v>1959</v>
      </c>
      <c r="C52" s="460" t="s">
        <v>141</v>
      </c>
      <c r="D52" s="213" t="s">
        <v>705</v>
      </c>
      <c r="E52" s="373" t="e">
        <f>INDEX('PY1 Data(H)'!$A$1:$CZ$265,MATCH('Unit Data from Audit Worksheet'!$A52,'PY1 Data(H)'!$A$1:$A$258,0),MATCH('Unit Data from Audit Worksheet'!$D$2,'PY1 Data(H)'!$A$1:$CZ$1,0))</f>
        <v>#N/A</v>
      </c>
      <c r="F52" s="816">
        <v>0</v>
      </c>
      <c r="G52" s="403">
        <f t="shared" si="1"/>
        <v>0</v>
      </c>
      <c r="H52" s="404"/>
      <c r="I52" s="72"/>
      <c r="J52" s="72"/>
      <c r="K52"/>
      <c r="L52" s="550"/>
    </row>
    <row r="53" spans="1:123" ht="93.75" customHeight="1" x14ac:dyDescent="0.3">
      <c r="A53" s="100">
        <v>380</v>
      </c>
      <c r="B53" s="460" t="s">
        <v>59</v>
      </c>
      <c r="C53" s="460" t="s">
        <v>141</v>
      </c>
      <c r="D53" s="213" t="s">
        <v>706</v>
      </c>
      <c r="E53" s="373" t="e">
        <f>INDEX('PY1 Data(H)'!$A$1:$CZ$265,MATCH('Unit Data from Audit Worksheet'!$A53,'PY1 Data(H)'!$A$1:$A$258,0),MATCH('Unit Data from Audit Worksheet'!$D$2,'PY1 Data(H)'!$A$1:$CZ$1,0))</f>
        <v>#N/A</v>
      </c>
      <c r="F53" s="816">
        <v>0</v>
      </c>
      <c r="G53" s="403">
        <f t="shared" si="1"/>
        <v>0</v>
      </c>
      <c r="H53" s="404"/>
      <c r="I53" s="72"/>
      <c r="J53" s="72"/>
      <c r="K53"/>
      <c r="L53" s="550"/>
    </row>
    <row r="54" spans="1:123" ht="48.75" customHeight="1" x14ac:dyDescent="0.3">
      <c r="A54" s="100">
        <v>391</v>
      </c>
      <c r="B54" s="460" t="s">
        <v>68</v>
      </c>
      <c r="C54" s="460" t="s">
        <v>141</v>
      </c>
      <c r="D54" s="99" t="s">
        <v>139</v>
      </c>
      <c r="E54" s="373" t="e">
        <f>INDEX('PY1 Data(H)'!$A$1:$CZ$265,MATCH('Unit Data from Audit Worksheet'!$A54,'PY1 Data(H)'!$A$1:$A$258,0),MATCH('Unit Data from Audit Worksheet'!$D$2,'PY1 Data(H)'!$A$1:$CZ$1,0))</f>
        <v>#N/A</v>
      </c>
      <c r="F54" s="816">
        <v>0</v>
      </c>
      <c r="G54" s="403">
        <f t="shared" si="1"/>
        <v>0</v>
      </c>
      <c r="H54" s="404"/>
      <c r="I54" s="72"/>
      <c r="J54" s="72"/>
      <c r="K54"/>
      <c r="L54" s="550"/>
    </row>
    <row r="55" spans="1:123" ht="51.75" customHeight="1" x14ac:dyDescent="0.3">
      <c r="A55" s="100">
        <v>7</v>
      </c>
      <c r="B55" s="460" t="s">
        <v>68</v>
      </c>
      <c r="C55" s="460" t="s">
        <v>141</v>
      </c>
      <c r="D55" s="99" t="s">
        <v>140</v>
      </c>
      <c r="E55" s="373" t="e">
        <f>INDEX('PY1 Data(H)'!$A$1:$CZ$265,MATCH('Unit Data from Audit Worksheet'!$A55,'PY1 Data(H)'!$A$1:$A$258,0),MATCH('Unit Data from Audit Worksheet'!$D$2,'PY1 Data(H)'!$A$1:$CZ$1,0))</f>
        <v>#N/A</v>
      </c>
      <c r="F55" s="816">
        <v>0</v>
      </c>
      <c r="G55" s="403">
        <f t="shared" si="1"/>
        <v>0</v>
      </c>
      <c r="H55" s="404"/>
      <c r="I55" s="72"/>
      <c r="J55" s="72"/>
      <c r="K55"/>
      <c r="L55" s="550"/>
    </row>
    <row r="56" spans="1:123" ht="83.4" customHeight="1" x14ac:dyDescent="0.3">
      <c r="A56" s="100">
        <v>11</v>
      </c>
      <c r="B56" s="977" t="s">
        <v>1960</v>
      </c>
      <c r="C56" s="460" t="s">
        <v>141</v>
      </c>
      <c r="D56" s="385" t="s">
        <v>707</v>
      </c>
      <c r="E56" s="373" t="e">
        <f>INDEX('PY1 Data(H)'!$A$1:$CZ$265,MATCH('Unit Data from Audit Worksheet'!$A56,'PY1 Data(H)'!$A$1:$A$258,0),MATCH('Unit Data from Audit Worksheet'!$D$2,'PY1 Data(H)'!$A$1:$CZ$1,0))</f>
        <v>#N/A</v>
      </c>
      <c r="F56" s="816">
        <v>0</v>
      </c>
      <c r="G56" s="403">
        <f t="shared" si="1"/>
        <v>0</v>
      </c>
      <c r="H56" s="404"/>
      <c r="I56" s="72"/>
      <c r="J56" s="72"/>
      <c r="K56"/>
      <c r="L56" s="550"/>
    </row>
    <row r="57" spans="1:123" ht="78.75" customHeight="1" x14ac:dyDescent="0.3">
      <c r="A57" s="191">
        <v>645</v>
      </c>
      <c r="B57" s="463" t="s">
        <v>360</v>
      </c>
      <c r="C57" s="463" t="s">
        <v>141</v>
      </c>
      <c r="D57" s="645" t="s">
        <v>386</v>
      </c>
      <c r="E57" s="373" t="e">
        <f>INDEX('PY1 Data(H)'!$A$1:$CZ$265,MATCH('Unit Data from Audit Worksheet'!$A57,'PY1 Data(H)'!$A$1:$A$258,0),MATCH('Unit Data from Audit Worksheet'!$D$2,'PY1 Data(H)'!$A$1:$CZ$1,0))</f>
        <v>#N/A</v>
      </c>
      <c r="F57" s="816">
        <v>0</v>
      </c>
      <c r="G57" s="403">
        <f>IF(F57&lt;0,"Note: Number is normally positive.",)</f>
        <v>0</v>
      </c>
      <c r="H57" s="404"/>
      <c r="I57" s="405"/>
      <c r="J57" s="405"/>
      <c r="K57"/>
      <c r="L57" s="550"/>
    </row>
    <row r="58" spans="1:123" ht="78.75" customHeight="1" x14ac:dyDescent="0.3">
      <c r="A58" s="191">
        <v>646</v>
      </c>
      <c r="B58" s="463" t="s">
        <v>360</v>
      </c>
      <c r="C58" s="463" t="s">
        <v>141</v>
      </c>
      <c r="D58" s="190" t="s">
        <v>361</v>
      </c>
      <c r="E58" s="373" t="e">
        <f>INDEX('PY1 Data(H)'!$A$1:$CZ$265,MATCH('Unit Data from Audit Worksheet'!$A58,'PY1 Data(H)'!$A$1:$A$258,0),MATCH('Unit Data from Audit Worksheet'!$D$2,'PY1 Data(H)'!$A$1:$CZ$1,0))</f>
        <v>#N/A</v>
      </c>
      <c r="F58" s="816">
        <v>0</v>
      </c>
      <c r="G58" s="403">
        <f>IF(F58&lt;0,"Note: Number is normally positive.",)</f>
        <v>0</v>
      </c>
      <c r="H58" s="404"/>
      <c r="I58" s="405"/>
      <c r="J58" s="405"/>
      <c r="K58"/>
      <c r="L58" s="550"/>
    </row>
    <row r="59" spans="1:123" ht="138" customHeight="1" x14ac:dyDescent="0.3">
      <c r="A59" s="100">
        <v>9</v>
      </c>
      <c r="B59" s="977" t="s">
        <v>1963</v>
      </c>
      <c r="C59" s="460" t="s">
        <v>141</v>
      </c>
      <c r="D59" s="385" t="s">
        <v>708</v>
      </c>
      <c r="E59" s="373" t="e">
        <f>INDEX('PY1 Data(H)'!$A$1:$CZ$265,MATCH('Unit Data from Audit Worksheet'!$A59,'PY1 Data(H)'!$A$1:$A$258,0),MATCH('Unit Data from Audit Worksheet'!$D$2,'PY1 Data(H)'!$A$1:$CZ$1,0))</f>
        <v>#N/A</v>
      </c>
      <c r="F59" s="816">
        <v>0</v>
      </c>
      <c r="G59" s="403">
        <f>IF(F49-F51-F52-F53-F59=0,,"Error: Total assets less total liabilities do not equal total fund balance. Account numbers 379-4-5-380-9= 0  The amount of the formula is in the cell to the right")</f>
        <v>0</v>
      </c>
      <c r="H59" s="406">
        <f>F49-F51-F52-F53-F59</f>
        <v>0</v>
      </c>
      <c r="I59" s="72"/>
      <c r="J59" s="72"/>
      <c r="K59"/>
      <c r="L59" s="550"/>
    </row>
    <row r="60" spans="1:123" s="18" customFormat="1" ht="63.75" customHeight="1" x14ac:dyDescent="0.3">
      <c r="A60" s="100">
        <v>540</v>
      </c>
      <c r="B60" s="375" t="s">
        <v>58</v>
      </c>
      <c r="C60" s="375" t="s">
        <v>709</v>
      </c>
      <c r="D60" s="99" t="s">
        <v>387</v>
      </c>
      <c r="E60" s="373" t="e">
        <f>INDEX('PY1 Data(H)'!$A$1:$CZ$265,MATCH('Unit Data from Audit Worksheet'!$A60,'PY1 Data(H)'!$A$1:$A$258,0),MATCH('Unit Data from Audit Worksheet'!$D$2,'PY1 Data(H)'!$A$1:$CZ$1,0))</f>
        <v>#N/A</v>
      </c>
      <c r="F60" s="816">
        <v>0</v>
      </c>
      <c r="G60" s="403"/>
      <c r="H60" s="404"/>
      <c r="I60" s="405"/>
      <c r="J60" s="405"/>
      <c r="K60"/>
      <c r="L60" s="550"/>
      <c r="M60"/>
      <c r="O60" s="187"/>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row>
    <row r="61" spans="1:123" s="18" customFormat="1" ht="63.75" customHeight="1" x14ac:dyDescent="0.3">
      <c r="A61" s="100">
        <v>1052</v>
      </c>
      <c r="B61" s="375" t="s">
        <v>58</v>
      </c>
      <c r="C61" s="800" t="s">
        <v>144</v>
      </c>
      <c r="D61" s="794" t="s">
        <v>1561</v>
      </c>
      <c r="E61" s="373" t="e">
        <f>INDEX('PY1 Data(H)'!$A$1:$CZ$265,MATCH('Unit Data from Audit Worksheet'!$A61,'PY1 Data(H)'!$A$1:$A$258,0),MATCH('Unit Data from Audit Worksheet'!$D$2,'PY1 Data(H)'!$A$1:$CZ$1,0))</f>
        <v>#N/A</v>
      </c>
      <c r="F61" s="816">
        <v>0</v>
      </c>
      <c r="G61" s="403"/>
      <c r="H61" s="404"/>
      <c r="I61" s="405"/>
      <c r="J61" s="405"/>
      <c r="K61" s="180"/>
      <c r="L61" s="550"/>
      <c r="M61" s="180"/>
      <c r="O61" s="187"/>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0"/>
      <c r="CP61" s="180"/>
      <c r="CQ61" s="180"/>
      <c r="CR61" s="180"/>
      <c r="CS61" s="180"/>
      <c r="CT61" s="180"/>
      <c r="CU61" s="180"/>
      <c r="CV61" s="180"/>
      <c r="CW61" s="180"/>
      <c r="CX61" s="180"/>
      <c r="CY61" s="180"/>
      <c r="CZ61" s="180"/>
      <c r="DA61" s="180"/>
      <c r="DB61" s="180"/>
      <c r="DC61" s="180"/>
      <c r="DD61" s="180"/>
      <c r="DE61" s="180"/>
      <c r="DF61" s="180"/>
      <c r="DG61" s="180"/>
      <c r="DH61" s="180"/>
      <c r="DI61" s="180"/>
      <c r="DJ61" s="180"/>
      <c r="DK61" s="180"/>
      <c r="DL61" s="180"/>
      <c r="DM61" s="180"/>
      <c r="DN61" s="180"/>
      <c r="DO61" s="180"/>
      <c r="DP61" s="180"/>
      <c r="DQ61" s="180"/>
      <c r="DR61" s="180"/>
      <c r="DS61" s="180"/>
    </row>
    <row r="62" spans="1:123" ht="30" customHeight="1" x14ac:dyDescent="0.3">
      <c r="A62" s="100"/>
      <c r="B62" s="492" t="s">
        <v>143</v>
      </c>
      <c r="C62" s="502"/>
      <c r="D62" s="475"/>
      <c r="E62" s="476"/>
      <c r="F62" s="476"/>
      <c r="G62" s="477"/>
      <c r="H62" s="17"/>
      <c r="I62" s="72"/>
      <c r="J62" s="72"/>
      <c r="K62"/>
      <c r="L62" s="550"/>
    </row>
    <row r="63" spans="1:123" ht="82.5" customHeight="1" x14ac:dyDescent="0.3">
      <c r="A63" s="100">
        <v>984</v>
      </c>
      <c r="B63" s="976" t="s">
        <v>1973</v>
      </c>
      <c r="C63" s="375" t="s">
        <v>709</v>
      </c>
      <c r="D63" s="385" t="s">
        <v>790</v>
      </c>
      <c r="E63" s="373" t="e">
        <f>INDEX('PY1 Data(H)'!$A$1:$CZ$265,MATCH('Unit Data from Audit Worksheet'!$A63,'PY1 Data(H)'!$A$1:$A$258,0),MATCH('Unit Data from Audit Worksheet'!$D$2,'PY1 Data(H)'!$A$1:$CZ$1,0))</f>
        <v>#N/A</v>
      </c>
      <c r="F63" s="816">
        <v>0</v>
      </c>
      <c r="G63" s="403"/>
      <c r="H63" s="17"/>
      <c r="I63" s="72"/>
      <c r="J63" s="72"/>
      <c r="K63"/>
      <c r="L63" s="550"/>
    </row>
    <row r="64" spans="1:123" ht="69" customHeight="1" x14ac:dyDescent="0.3">
      <c r="A64" s="100">
        <v>985</v>
      </c>
      <c r="B64" s="976" t="s">
        <v>1973</v>
      </c>
      <c r="C64" s="375" t="s">
        <v>709</v>
      </c>
      <c r="D64" s="385" t="s">
        <v>791</v>
      </c>
      <c r="E64" s="373" t="e">
        <f>INDEX('PY1 Data(H)'!$A$1:$CZ$265,MATCH('Unit Data from Audit Worksheet'!$A64,'PY1 Data(H)'!$A$1:$A$258,0),MATCH('Unit Data from Audit Worksheet'!$D$2,'PY1 Data(H)'!$A$1:$CZ$1,0))</f>
        <v>#N/A</v>
      </c>
      <c r="F64" s="816">
        <v>0</v>
      </c>
      <c r="G64" s="403"/>
      <c r="H64" s="17"/>
      <c r="I64" s="72"/>
      <c r="J64" s="72"/>
      <c r="K64"/>
      <c r="L64" s="550"/>
    </row>
    <row r="65" spans="1:123" ht="52.5" customHeight="1" x14ac:dyDescent="0.3">
      <c r="A65" s="100">
        <v>369</v>
      </c>
      <c r="B65" s="4" t="s">
        <v>55</v>
      </c>
      <c r="C65" s="4" t="s">
        <v>144</v>
      </c>
      <c r="D65" s="385" t="s">
        <v>710</v>
      </c>
      <c r="E65" s="373" t="e">
        <f>INDEX('PY1 Data(H)'!$A$1:$CZ$265,MATCH('Unit Data from Audit Worksheet'!$A65,'PY1 Data(H)'!$A$1:$A$258,0),MATCH('Unit Data from Audit Worksheet'!$D$2,'PY1 Data(H)'!$A$1:$CZ$1,0))</f>
        <v>#N/A</v>
      </c>
      <c r="F65" s="816">
        <v>0</v>
      </c>
      <c r="G65" s="403"/>
      <c r="H65" s="17"/>
      <c r="I65" s="72"/>
      <c r="J65" s="72"/>
      <c r="K65"/>
      <c r="L65" s="550"/>
    </row>
    <row r="66" spans="1:123" ht="57.75" customHeight="1" x14ac:dyDescent="0.3">
      <c r="A66" s="100">
        <v>16</v>
      </c>
      <c r="B66" s="4" t="s">
        <v>65</v>
      </c>
      <c r="C66" s="4" t="s">
        <v>144</v>
      </c>
      <c r="D66" s="99" t="s">
        <v>142</v>
      </c>
      <c r="E66" s="373" t="e">
        <f>INDEX('PY1 Data(H)'!$A$1:$CZ$265,MATCH('Unit Data from Audit Worksheet'!$A66,'PY1 Data(H)'!$A$1:$A$258,0),MATCH('Unit Data from Audit Worksheet'!$D$2,'PY1 Data(H)'!$A$1:$CZ$1,0))</f>
        <v>#N/A</v>
      </c>
      <c r="F66" s="816">
        <v>0</v>
      </c>
      <c r="G66" s="403"/>
      <c r="H66" s="17"/>
      <c r="I66" s="72"/>
      <c r="J66" s="72"/>
      <c r="K66"/>
      <c r="L66" s="550"/>
    </row>
    <row r="67" spans="1:123" ht="65.25" customHeight="1" x14ac:dyDescent="0.3">
      <c r="A67" s="100">
        <v>370</v>
      </c>
      <c r="B67" s="4" t="s">
        <v>55</v>
      </c>
      <c r="C67" s="4" t="s">
        <v>144</v>
      </c>
      <c r="D67" s="385" t="s">
        <v>711</v>
      </c>
      <c r="E67" s="373" t="e">
        <f>INDEX('PY1 Data(H)'!$A$1:$CZ$265,MATCH('Unit Data from Audit Worksheet'!$A67,'PY1 Data(H)'!$A$1:$A$258,0),MATCH('Unit Data from Audit Worksheet'!$D$2,'PY1 Data(H)'!$A$1:$CZ$1,0))</f>
        <v>#N/A</v>
      </c>
      <c r="F67" s="816">
        <v>0</v>
      </c>
      <c r="G67" s="403">
        <f>IF(F67&lt;0,"Error: Enter as positive.",)</f>
        <v>0</v>
      </c>
      <c r="H67" s="17"/>
      <c r="I67" s="72"/>
      <c r="J67" s="72"/>
      <c r="K67"/>
      <c r="L67" s="550"/>
    </row>
    <row r="68" spans="1:123" ht="69.75" customHeight="1" x14ac:dyDescent="0.3">
      <c r="A68" s="100">
        <v>532</v>
      </c>
      <c r="B68" s="976" t="s">
        <v>1959</v>
      </c>
      <c r="C68" s="4" t="s">
        <v>144</v>
      </c>
      <c r="D68" s="381" t="s">
        <v>712</v>
      </c>
      <c r="E68" s="373" t="e">
        <f>INDEX('PY1 Data(H)'!$A$1:$CZ$265,MATCH('Unit Data from Audit Worksheet'!$A68,'PY1 Data(H)'!$A$1:$A$258,0),MATCH('Unit Data from Audit Worksheet'!$D$2,'PY1 Data(H)'!$A$1:$CZ$1,0))</f>
        <v>#N/A</v>
      </c>
      <c r="F68" s="816">
        <v>0</v>
      </c>
      <c r="G68" s="403">
        <f>IF(F68&lt;0,"Error: Enter as positive.",)</f>
        <v>0</v>
      </c>
      <c r="H68" s="17"/>
      <c r="I68" s="72"/>
      <c r="J68" s="72"/>
      <c r="K68"/>
      <c r="L68" s="550"/>
    </row>
    <row r="69" spans="1:123" ht="69.75" customHeight="1" x14ac:dyDescent="0.3">
      <c r="A69" s="100">
        <v>1050</v>
      </c>
      <c r="B69" s="979" t="s">
        <v>1962</v>
      </c>
      <c r="C69" s="800" t="s">
        <v>144</v>
      </c>
      <c r="D69" s="801" t="s">
        <v>1512</v>
      </c>
      <c r="E69" s="373" t="e">
        <f>INDEX('PY1 Data(H)'!$A$1:$CZ$265,MATCH('Unit Data from Audit Worksheet'!$A69,'PY1 Data(H)'!$A$1:$A$258,0),MATCH('Unit Data from Audit Worksheet'!$D$2,'PY1 Data(H)'!$A$1:$CZ$1,0))</f>
        <v>#N/A</v>
      </c>
      <c r="F69" s="816">
        <v>0</v>
      </c>
      <c r="G69" s="403">
        <f>IF(F69&lt;0,"Error: Enter as positive.",)</f>
        <v>0</v>
      </c>
      <c r="H69" s="17"/>
      <c r="I69" s="72"/>
      <c r="J69" s="72"/>
      <c r="K69" s="180"/>
      <c r="L69" s="550"/>
      <c r="M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0"/>
      <c r="BC69" s="180"/>
      <c r="BD69" s="180"/>
      <c r="BE69" s="180"/>
      <c r="BF69" s="180"/>
      <c r="BG69" s="180"/>
      <c r="BH69" s="180"/>
      <c r="BI69" s="180"/>
      <c r="BJ69" s="180"/>
      <c r="BK69" s="180"/>
      <c r="BL69" s="180"/>
      <c r="BM69" s="180"/>
      <c r="BN69" s="180"/>
      <c r="BO69" s="180"/>
      <c r="BP69" s="180"/>
      <c r="BQ69" s="180"/>
      <c r="BR69" s="180"/>
      <c r="BS69" s="180"/>
      <c r="BT69" s="180"/>
      <c r="BU69" s="180"/>
      <c r="BV69" s="180"/>
      <c r="BW69" s="180"/>
      <c r="BX69" s="180"/>
      <c r="BY69" s="180"/>
      <c r="BZ69" s="180"/>
      <c r="CA69" s="180"/>
      <c r="CB69" s="180"/>
      <c r="CC69" s="180"/>
      <c r="CD69" s="180"/>
      <c r="CE69" s="180"/>
      <c r="CF69" s="180"/>
      <c r="CG69" s="180"/>
      <c r="CH69" s="180"/>
      <c r="CI69" s="180"/>
      <c r="CJ69" s="180"/>
      <c r="CK69" s="180"/>
      <c r="CL69" s="180"/>
      <c r="CM69" s="180"/>
      <c r="CN69" s="180"/>
      <c r="CO69" s="180"/>
      <c r="CP69" s="180"/>
      <c r="CQ69" s="180"/>
      <c r="CR69" s="180"/>
      <c r="CS69" s="180"/>
      <c r="CT69" s="180"/>
      <c r="CU69" s="180"/>
      <c r="CV69" s="180"/>
      <c r="CW69" s="180"/>
      <c r="CX69" s="180"/>
      <c r="CY69" s="180"/>
      <c r="CZ69" s="180"/>
      <c r="DA69" s="180"/>
      <c r="DB69" s="180"/>
      <c r="DC69" s="180"/>
      <c r="DD69" s="180"/>
      <c r="DE69" s="180"/>
      <c r="DF69" s="180"/>
      <c r="DG69" s="180"/>
      <c r="DH69" s="180"/>
      <c r="DI69" s="180"/>
      <c r="DJ69" s="180"/>
      <c r="DK69" s="180"/>
      <c r="DL69" s="180"/>
      <c r="DM69" s="180"/>
      <c r="DN69" s="180"/>
      <c r="DO69" s="180"/>
      <c r="DP69" s="180"/>
      <c r="DQ69" s="180"/>
      <c r="DR69" s="180"/>
      <c r="DS69" s="180"/>
    </row>
    <row r="70" spans="1:123" ht="58.95" customHeight="1" x14ac:dyDescent="0.3">
      <c r="A70" s="100">
        <v>17</v>
      </c>
      <c r="B70" s="4" t="s">
        <v>59</v>
      </c>
      <c r="C70" s="4" t="s">
        <v>144</v>
      </c>
      <c r="D70" s="99" t="s">
        <v>713</v>
      </c>
      <c r="E70" s="373" t="e">
        <f>INDEX('PY1 Data(H)'!$A$1:$CZ$265,MATCH('Unit Data from Audit Worksheet'!$A70,'PY1 Data(H)'!$A$1:$A$258,0),MATCH('Unit Data from Audit Worksheet'!$D$2,'PY1 Data(H)'!$A$1:$CZ$1,0))</f>
        <v>#N/A</v>
      </c>
      <c r="F70" s="816">
        <v>0</v>
      </c>
      <c r="G70" s="403"/>
      <c r="H70" s="17"/>
      <c r="I70" s="72"/>
      <c r="J70" s="72"/>
      <c r="K70"/>
      <c r="L70" s="550"/>
    </row>
    <row r="71" spans="1:123" ht="66" customHeight="1" x14ac:dyDescent="0.3">
      <c r="A71" s="100">
        <v>20</v>
      </c>
      <c r="B71" s="976" t="s">
        <v>1959</v>
      </c>
      <c r="C71" s="4" t="s">
        <v>144</v>
      </c>
      <c r="D71" s="99" t="s">
        <v>714</v>
      </c>
      <c r="E71" s="373" t="e">
        <f>INDEX('PY1 Data(H)'!$A$1:$CZ$265,MATCH('Unit Data from Audit Worksheet'!$A71,'PY1 Data(H)'!$A$1:$A$258,0),MATCH('Unit Data from Audit Worksheet'!$D$2,'PY1 Data(H)'!$A$1:$CZ$1,0))</f>
        <v>#N/A</v>
      </c>
      <c r="F71" s="816">
        <v>0</v>
      </c>
      <c r="G71" s="403">
        <f>IF(F71&lt;0,"Error: Enter as positive.",)</f>
        <v>0</v>
      </c>
      <c r="H71" s="17"/>
      <c r="I71" s="72"/>
      <c r="J71" s="72"/>
      <c r="K71"/>
      <c r="L71" s="550"/>
    </row>
    <row r="72" spans="1:123" ht="62.4" customHeight="1" x14ac:dyDescent="0.3">
      <c r="A72" s="100">
        <v>533</v>
      </c>
      <c r="B72" s="976" t="s">
        <v>1959</v>
      </c>
      <c r="C72" s="4" t="s">
        <v>144</v>
      </c>
      <c r="D72" s="381" t="s">
        <v>715</v>
      </c>
      <c r="E72" s="373" t="e">
        <f>INDEX('PY1 Data(H)'!$A$1:$CZ$265,MATCH('Unit Data from Audit Worksheet'!$A72,'PY1 Data(H)'!$A$1:$A$258,0),MATCH('Unit Data from Audit Worksheet'!$D$2,'PY1 Data(H)'!$A$1:$CZ$1,0))</f>
        <v>#N/A</v>
      </c>
      <c r="F72" s="816">
        <v>0</v>
      </c>
      <c r="G72" s="409"/>
      <c r="H72" s="17"/>
      <c r="I72" s="72"/>
      <c r="J72" s="72"/>
      <c r="K72"/>
      <c r="L72" s="550"/>
    </row>
    <row r="73" spans="1:123" s="18" customFormat="1" ht="72.599999999999994" customHeight="1" x14ac:dyDescent="0.3">
      <c r="A73" s="100">
        <v>508</v>
      </c>
      <c r="B73" s="976" t="s">
        <v>1959</v>
      </c>
      <c r="C73" s="4" t="s">
        <v>144</v>
      </c>
      <c r="D73" s="99" t="s">
        <v>292</v>
      </c>
      <c r="E73" s="373" t="e">
        <f>INDEX('PY1 Data(H)'!$A$1:$CZ$265,MATCH('Unit Data from Audit Worksheet'!$A73,'PY1 Data(H)'!$A$1:$A$258,0),MATCH('Unit Data from Audit Worksheet'!$D$2,'PY1 Data(H)'!$A$1:$CZ$1,0))</f>
        <v>#N/A</v>
      </c>
      <c r="F73" s="816">
        <v>0</v>
      </c>
      <c r="G73" s="403"/>
      <c r="H73" s="404"/>
      <c r="I73" s="405"/>
      <c r="J73" s="405"/>
      <c r="K73"/>
      <c r="L73" s="550"/>
      <c r="M73"/>
      <c r="O73" s="187"/>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row>
    <row r="74" spans="1:123" s="18" customFormat="1" ht="81.75" customHeight="1" x14ac:dyDescent="0.3">
      <c r="A74" s="100">
        <v>509</v>
      </c>
      <c r="B74" s="976" t="s">
        <v>1959</v>
      </c>
      <c r="C74" s="4" t="s">
        <v>144</v>
      </c>
      <c r="D74" s="99" t="s">
        <v>290</v>
      </c>
      <c r="E74" s="373" t="e">
        <f>INDEX('PY1 Data(H)'!$A$1:$CZ$265,MATCH('Unit Data from Audit Worksheet'!$A74,'PY1 Data(H)'!$A$1:$A$258,0),MATCH('Unit Data from Audit Worksheet'!$D$2,'PY1 Data(H)'!$A$1:$CZ$1,0))</f>
        <v>#N/A</v>
      </c>
      <c r="F74" s="816">
        <v>0</v>
      </c>
      <c r="G74" s="403">
        <f>IF(F74&lt;0,"Error: Enter as positive.",)</f>
        <v>0</v>
      </c>
      <c r="H74" s="404"/>
      <c r="I74" s="405"/>
      <c r="J74" s="405"/>
      <c r="K74"/>
      <c r="L74" s="550"/>
      <c r="M74"/>
      <c r="O74" s="187"/>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row>
    <row r="75" spans="1:123" ht="69" customHeight="1" x14ac:dyDescent="0.3">
      <c r="A75" s="100">
        <v>22</v>
      </c>
      <c r="B75" s="4" t="s">
        <v>59</v>
      </c>
      <c r="C75" s="4" t="s">
        <v>144</v>
      </c>
      <c r="D75" s="99" t="s">
        <v>291</v>
      </c>
      <c r="E75" s="373" t="e">
        <f>INDEX('PY1 Data(H)'!$A$1:$CZ$265,MATCH('Unit Data from Audit Worksheet'!$A75,'PY1 Data(H)'!$A$1:$A$258,0),MATCH('Unit Data from Audit Worksheet'!$D$2,'PY1 Data(H)'!$A$1:$CZ$1,0))</f>
        <v>#N/A</v>
      </c>
      <c r="F75" s="816">
        <v>0</v>
      </c>
      <c r="G75" s="409"/>
      <c r="H75" s="17"/>
      <c r="I75" s="72"/>
      <c r="J75" s="72"/>
      <c r="K75"/>
      <c r="L75" s="550"/>
    </row>
    <row r="76" spans="1:123" ht="138" customHeight="1" x14ac:dyDescent="0.3">
      <c r="A76" s="100">
        <v>23</v>
      </c>
      <c r="B76" s="4" t="s">
        <v>59</v>
      </c>
      <c r="C76" s="4" t="s">
        <v>144</v>
      </c>
      <c r="D76" s="385" t="s">
        <v>716</v>
      </c>
      <c r="E76" s="373" t="e">
        <f>INDEX('PY1 Data(H)'!$A$1:$CZ$265,MATCH('Unit Data from Audit Worksheet'!$A76,'PY1 Data(H)'!$A$1:$A$258,0),MATCH('Unit Data from Audit Worksheet'!$D$2,'PY1 Data(H)'!$A$1:$CZ$1,0))</f>
        <v>#N/A</v>
      </c>
      <c r="F76" s="816"/>
      <c r="G76" s="403">
        <f>IF(H76=0,,"Error: Total revenues less total expenditures do not equal total change in fund balance.  Account numbers 16-532+17-20+533+22+508-509-23=0  The amount of the formula is located in the cell to the right")</f>
        <v>0</v>
      </c>
      <c r="H76" s="406">
        <f>+F66-F68+F70-F71+F72+F75+F73-F74-F76</f>
        <v>0</v>
      </c>
      <c r="I76" s="72"/>
      <c r="J76" s="72"/>
      <c r="K76"/>
      <c r="L76" s="550"/>
    </row>
    <row r="77" spans="1:123" ht="194.25" customHeight="1" x14ac:dyDescent="0.3">
      <c r="A77" s="100">
        <v>590</v>
      </c>
      <c r="B77" s="976" t="s">
        <v>2735</v>
      </c>
      <c r="C77" s="4"/>
      <c r="D77" s="797" t="s">
        <v>1653</v>
      </c>
      <c r="E77" s="525"/>
      <c r="F77" s="817"/>
      <c r="G77" s="662"/>
      <c r="H77" s="1050" t="str">
        <f>IF(F77&lt;&gt;""," ","Please do not leave cell F77 blank.")</f>
        <v>Please do not leave cell F77 blank.</v>
      </c>
      <c r="I77" s="405"/>
      <c r="J77" s="405"/>
      <c r="K77"/>
      <c r="L77" s="550"/>
    </row>
    <row r="78" spans="1:123" ht="138" customHeight="1" x14ac:dyDescent="0.3">
      <c r="A78" s="100">
        <v>507</v>
      </c>
      <c r="B78" s="375" t="s">
        <v>59</v>
      </c>
      <c r="C78" s="375" t="s">
        <v>144</v>
      </c>
      <c r="D78" s="385" t="s">
        <v>717</v>
      </c>
      <c r="E78" s="373" t="e">
        <f>INDEX('PY1 Data(H)'!$A$1:$CZ$265,MATCH('Unit Data from Audit Worksheet'!$A78,'PY1 Data(H)'!$A$1:$A$258,0),MATCH('Unit Data from Audit Worksheet'!$D$2,'PY1 Data(H)'!$A$1:$CZ$1,0))</f>
        <v>#N/A</v>
      </c>
      <c r="F78" s="816">
        <v>0</v>
      </c>
      <c r="G78" s="768" t="e">
        <f>IF(F59-F76-F78=E59,,"Error: Beginning Balance does not agree with our records.  (Acct# 9-23-507)= Prior Years Acct # 9 The amount of the formula is in the cell to the right")</f>
        <v>#N/A</v>
      </c>
      <c r="H78" s="769" t="e">
        <f>+F59-F76-F78-E59</f>
        <v>#N/A</v>
      </c>
      <c r="I78" s="795" t="e">
        <f>IF(H78=0," ","If the out of balance is because prior years data is not populated in cell E59, disregard the error message. Do not include prior year's ending balance in cell F76.")</f>
        <v>#N/A</v>
      </c>
      <c r="J78" s="777"/>
      <c r="K78"/>
      <c r="L78" s="550"/>
    </row>
    <row r="79" spans="1:123" ht="82.5" customHeight="1" x14ac:dyDescent="0.3">
      <c r="A79" s="191">
        <v>647</v>
      </c>
      <c r="B79" s="978" t="s">
        <v>1961</v>
      </c>
      <c r="C79" s="462" t="s">
        <v>362</v>
      </c>
      <c r="D79" s="190" t="s">
        <v>1609</v>
      </c>
      <c r="E79" s="373" t="e">
        <f>INDEX('PY1 Data(H)'!$A$1:$CZ$265,MATCH('Unit Data from Audit Worksheet'!$A79,'PY1 Data(H)'!$A$1:$A$258,0),MATCH('Unit Data from Audit Worksheet'!$D$2,'PY1 Data(H)'!$A$1:$CZ$1,0))</f>
        <v>#N/A</v>
      </c>
      <c r="F79" s="816">
        <v>0</v>
      </c>
      <c r="G79" s="403">
        <f>IF(F79&lt;0,"Error: Enter as positive.",)</f>
        <v>0</v>
      </c>
      <c r="H79" s="410"/>
      <c r="I79" s="72"/>
      <c r="J79" s="72"/>
      <c r="K79"/>
      <c r="L79" s="550"/>
    </row>
    <row r="80" spans="1:123" ht="25.5" customHeight="1" x14ac:dyDescent="0.3">
      <c r="A80" s="100"/>
      <c r="B80" s="492" t="s">
        <v>11</v>
      </c>
      <c r="C80" s="502"/>
      <c r="D80" s="472"/>
      <c r="E80" s="473"/>
      <c r="F80" s="473"/>
      <c r="G80" s="474"/>
      <c r="H80" s="17"/>
      <c r="I80" s="72"/>
      <c r="J80" s="72"/>
      <c r="K80"/>
      <c r="L80" s="550"/>
    </row>
    <row r="81" spans="1:12" ht="78" customHeight="1" x14ac:dyDescent="0.3">
      <c r="A81" s="100">
        <v>171</v>
      </c>
      <c r="B81" s="4" t="s">
        <v>295</v>
      </c>
      <c r="C81" s="4" t="s">
        <v>294</v>
      </c>
      <c r="D81" s="374" t="s">
        <v>718</v>
      </c>
      <c r="E81" s="373" t="e">
        <f>INDEX('PY1 Data(H)'!$A$1:$CZ$265,MATCH('Unit Data from Audit Worksheet'!$A81,'PY1 Data(H)'!$A$1:$A$258,0),MATCH('Unit Data from Audit Worksheet'!$D$2,'PY1 Data(H)'!$A$1:$CZ$1,0))</f>
        <v>#N/A</v>
      </c>
      <c r="F81" s="826">
        <v>0</v>
      </c>
      <c r="G81" s="403">
        <f>IF(F81&lt;0,"Error: Enter as positive.",)</f>
        <v>0</v>
      </c>
      <c r="H81" s="17"/>
      <c r="I81" s="72"/>
      <c r="J81" s="72"/>
      <c r="K81"/>
      <c r="L81" s="550"/>
    </row>
    <row r="82" spans="1:12" ht="18" customHeight="1" x14ac:dyDescent="0.3">
      <c r="A82" s="100"/>
      <c r="B82" s="493" t="s">
        <v>719</v>
      </c>
      <c r="C82" s="502"/>
      <c r="D82" s="470"/>
      <c r="E82" s="489"/>
      <c r="F82" s="488"/>
      <c r="G82" s="489"/>
      <c r="H82" s="17"/>
      <c r="I82" s="72"/>
      <c r="J82" s="72"/>
      <c r="K82"/>
      <c r="L82" s="550"/>
    </row>
    <row r="83" spans="1:12" ht="14.4" customHeight="1" x14ac:dyDescent="0.3">
      <c r="A83" s="100"/>
      <c r="B83" s="493" t="s">
        <v>24</v>
      </c>
      <c r="C83" s="502"/>
      <c r="D83" s="484"/>
      <c r="E83" s="491"/>
      <c r="F83" s="490"/>
      <c r="G83" s="491"/>
      <c r="H83" s="17"/>
      <c r="I83" s="72"/>
      <c r="J83" s="72"/>
      <c r="K83"/>
      <c r="L83" s="550"/>
    </row>
    <row r="84" spans="1:12" ht="14.4" customHeight="1" x14ac:dyDescent="0.3">
      <c r="A84" s="100"/>
      <c r="B84" s="493" t="s">
        <v>22</v>
      </c>
      <c r="C84" s="502"/>
      <c r="D84" s="484"/>
      <c r="E84" s="491"/>
      <c r="F84" s="490"/>
      <c r="G84" s="491"/>
      <c r="H84" s="411"/>
      <c r="I84" s="72"/>
      <c r="J84" s="72"/>
      <c r="K84"/>
      <c r="L84" s="550"/>
    </row>
    <row r="85" spans="1:12" ht="88.95" customHeight="1" x14ac:dyDescent="0.3">
      <c r="A85" s="100">
        <v>596</v>
      </c>
      <c r="B85" s="375" t="s">
        <v>56</v>
      </c>
      <c r="C85" s="279"/>
      <c r="D85" s="752" t="s">
        <v>1622</v>
      </c>
      <c r="E85" s="373" t="e">
        <f>INDEX('PY1 Data(H)'!$A$1:$CZ$265,MATCH('Unit Data from Audit Worksheet'!$A85,'PY1 Data(H)'!$A$1:$A$258,0),MATCH('Unit Data from Audit Worksheet'!$D$2,'PY1 Data(H)'!$A$1:$CZ$1,0))</f>
        <v>#N/A</v>
      </c>
      <c r="F85" s="181"/>
      <c r="G85" s="952" t="s">
        <v>2722</v>
      </c>
      <c r="H85" s="411"/>
      <c r="I85" s="72"/>
      <c r="J85" s="72"/>
      <c r="K85"/>
      <c r="L85" s="550"/>
    </row>
    <row r="86" spans="1:12" ht="85.95" customHeight="1" x14ac:dyDescent="0.3">
      <c r="A86" s="100">
        <v>80</v>
      </c>
      <c r="B86" s="976" t="s">
        <v>1964</v>
      </c>
      <c r="C86" s="4" t="s">
        <v>720</v>
      </c>
      <c r="D86" s="21" t="s">
        <v>721</v>
      </c>
      <c r="E86" s="373" t="e">
        <f>INDEX('PY1 Data(H)'!$A$1:$CZ$265,MATCH('Unit Data from Audit Worksheet'!$A86,'PY1 Data(H)'!$A$1:$A$258,0),MATCH('Unit Data from Audit Worksheet'!$D$2,'PY1 Data(H)'!$A$1:$CZ$1,0))</f>
        <v>#N/A</v>
      </c>
      <c r="F86" s="826">
        <v>0</v>
      </c>
      <c r="G86" s="802" t="e">
        <f>INDEX('PY1 Data(H)'!$A$1:$CZ$282,MATCH('PY1 Data(H)'!$A261,'PY1 Data(H)'!$A$1:$A$282,0),MATCH('Unit Data from Audit Worksheet'!$D$2,'PY1 Data(H)'!$A$1:$CZ$1,0))</f>
        <v>#N/A</v>
      </c>
      <c r="H86" s="412"/>
      <c r="I86" s="72"/>
      <c r="J86" s="72"/>
      <c r="K86"/>
      <c r="L86" s="550"/>
    </row>
    <row r="87" spans="1:12" ht="69" customHeight="1" x14ac:dyDescent="0.3">
      <c r="A87" s="100">
        <v>81</v>
      </c>
      <c r="B87" s="4" t="s">
        <v>61</v>
      </c>
      <c r="C87" s="4" t="s">
        <v>720</v>
      </c>
      <c r="D87" s="21" t="s">
        <v>722</v>
      </c>
      <c r="E87" s="373" t="e">
        <f>INDEX('PY1 Data(H)'!$A$1:$CZ$265,MATCH('Unit Data from Audit Worksheet'!$A87,'PY1 Data(H)'!$A$1:$A$258,0),MATCH('Unit Data from Audit Worksheet'!$D$2,'PY1 Data(H)'!$A$1:$CZ$1,0))</f>
        <v>#N/A</v>
      </c>
      <c r="F87" s="816">
        <v>0</v>
      </c>
      <c r="G87" s="409"/>
      <c r="H87" s="17"/>
      <c r="I87" s="72"/>
      <c r="J87" s="72"/>
      <c r="K87"/>
      <c r="L87" s="550"/>
    </row>
    <row r="88" spans="1:12" ht="84" customHeight="1" x14ac:dyDescent="0.3">
      <c r="A88" s="100">
        <v>579</v>
      </c>
      <c r="B88" s="977" t="s">
        <v>1976</v>
      </c>
      <c r="C88" s="375" t="s">
        <v>720</v>
      </c>
      <c r="D88" s="461" t="s">
        <v>723</v>
      </c>
      <c r="E88" s="373" t="e">
        <f>INDEX('PY1 Data(H)'!$A$1:$CZ$265,MATCH('Unit Data from Audit Worksheet'!$A88,'PY1 Data(H)'!$A$1:$A$258,0),MATCH('Unit Data from Audit Worksheet'!$D$2,'PY1 Data(H)'!$A$1:$CZ$1,0))</f>
        <v>#N/A</v>
      </c>
      <c r="F88" s="816">
        <v>0</v>
      </c>
      <c r="G88" s="403"/>
      <c r="H88" s="17"/>
      <c r="I88" s="404"/>
      <c r="J88" s="404"/>
      <c r="K88"/>
      <c r="L88" s="550"/>
    </row>
    <row r="89" spans="1:12" ht="78.599999999999994" customHeight="1" x14ac:dyDescent="0.3">
      <c r="A89" s="100">
        <v>510</v>
      </c>
      <c r="B89" s="976" t="s">
        <v>1964</v>
      </c>
      <c r="C89" s="4" t="s">
        <v>720</v>
      </c>
      <c r="D89" s="26" t="s">
        <v>289</v>
      </c>
      <c r="E89" s="373" t="e">
        <f>INDEX('PY1 Data(H)'!$A$1:$CZ$265,MATCH('Unit Data from Audit Worksheet'!$A89,'PY1 Data(H)'!$A$1:$A$258,0),MATCH('Unit Data from Audit Worksheet'!$D$2,'PY1 Data(H)'!$A$1:$CZ$1,0))</f>
        <v>#N/A</v>
      </c>
      <c r="F89" s="816">
        <v>0</v>
      </c>
      <c r="G89" s="409"/>
      <c r="H89" s="17"/>
      <c r="I89"/>
      <c r="J89" s="72"/>
      <c r="K89"/>
      <c r="L89" s="550"/>
    </row>
    <row r="90" spans="1:12" ht="68.25" customHeight="1" x14ac:dyDescent="0.3">
      <c r="A90" s="191">
        <v>654</v>
      </c>
      <c r="B90" s="980" t="s">
        <v>1975</v>
      </c>
      <c r="C90" s="462" t="s">
        <v>720</v>
      </c>
      <c r="D90" s="216" t="s">
        <v>724</v>
      </c>
      <c r="E90" s="373" t="e">
        <f>INDEX('PY1 Data(H)'!$A$1:$CZ$265,MATCH('Unit Data from Audit Worksheet'!$A90,'PY1 Data(H)'!$A$1:$A$258,0),MATCH('Unit Data from Audit Worksheet'!$D$2,'PY1 Data(H)'!$A$1:$CZ$1,0))</f>
        <v>#N/A</v>
      </c>
      <c r="F90" s="816">
        <v>0</v>
      </c>
      <c r="G90" s="403">
        <f>IF((F86+F87+F89)&gt;F90,"Error: Please review components of current assets above.  Account numbers (80+81+510)&gt;654",)</f>
        <v>0</v>
      </c>
      <c r="H90" s="17"/>
      <c r="I90" s="72"/>
      <c r="J90" s="72"/>
      <c r="K90"/>
      <c r="L90" s="550"/>
    </row>
    <row r="91" spans="1:12" ht="75.75" customHeight="1" x14ac:dyDescent="0.3">
      <c r="A91" s="191">
        <v>655</v>
      </c>
      <c r="B91" s="980" t="s">
        <v>1975</v>
      </c>
      <c r="C91" s="462" t="s">
        <v>720</v>
      </c>
      <c r="D91" s="193" t="s">
        <v>446</v>
      </c>
      <c r="E91" s="373" t="e">
        <f>INDEX('PY1 Data(H)'!$A$1:$CZ$265,MATCH('Unit Data from Audit Worksheet'!$A91,'PY1 Data(H)'!$A$1:$A$258,0),MATCH('Unit Data from Audit Worksheet'!$D$2,'PY1 Data(H)'!$A$1:$CZ$1,0))</f>
        <v>#N/A</v>
      </c>
      <c r="F91" s="816">
        <v>0</v>
      </c>
      <c r="G91" s="409"/>
      <c r="H91" s="17"/>
      <c r="I91" s="72"/>
      <c r="J91" s="72"/>
      <c r="K91"/>
      <c r="L91" s="550"/>
    </row>
    <row r="92" spans="1:12" ht="72.599999999999994" customHeight="1" x14ac:dyDescent="0.3">
      <c r="A92" s="100">
        <v>381</v>
      </c>
      <c r="B92" s="4" t="s">
        <v>36</v>
      </c>
      <c r="C92" s="4" t="s">
        <v>720</v>
      </c>
      <c r="D92" s="98" t="s">
        <v>122</v>
      </c>
      <c r="E92" s="373" t="e">
        <f>INDEX('PY1 Data(H)'!$A$1:$CZ$265,MATCH('Unit Data from Audit Worksheet'!$A92,'PY1 Data(H)'!$A$1:$A$258,0),MATCH('Unit Data from Audit Worksheet'!$D$2,'PY1 Data(H)'!$A$1:$CZ$1,0))</f>
        <v>#N/A</v>
      </c>
      <c r="F92" s="816">
        <v>0</v>
      </c>
      <c r="G92" s="403">
        <f>IF(F90&gt;F92,"Error: Please review components of current assets above. Account numbers 654&gt;381",)</f>
        <v>0</v>
      </c>
      <c r="H92" s="17"/>
      <c r="I92" s="72"/>
      <c r="J92" s="72"/>
      <c r="K92"/>
      <c r="L92" s="550"/>
    </row>
    <row r="93" spans="1:12" ht="63" customHeight="1" x14ac:dyDescent="0.3">
      <c r="A93" s="100">
        <v>578</v>
      </c>
      <c r="B93" s="976" t="s">
        <v>1976</v>
      </c>
      <c r="C93" s="375" t="s">
        <v>720</v>
      </c>
      <c r="D93" s="461" t="s">
        <v>725</v>
      </c>
      <c r="E93" s="373" t="e">
        <f>INDEX('PY1 Data(H)'!$A$1:$CZ$265,MATCH('Unit Data from Audit Worksheet'!$A93,'PY1 Data(H)'!$A$1:$A$258,0),MATCH('Unit Data from Audit Worksheet'!$D$2,'PY1 Data(H)'!$A$1:$CZ$1,0))</f>
        <v>#N/A</v>
      </c>
      <c r="F93" s="816">
        <v>0</v>
      </c>
      <c r="G93" s="403"/>
      <c r="H93" s="404"/>
      <c r="I93" s="405"/>
      <c r="J93" s="405"/>
      <c r="K93"/>
      <c r="L93" s="550"/>
    </row>
    <row r="94" spans="1:12" ht="113.4" customHeight="1" x14ac:dyDescent="0.3">
      <c r="A94" s="192">
        <v>633</v>
      </c>
      <c r="B94" s="980" t="s">
        <v>1967</v>
      </c>
      <c r="C94" s="462" t="s">
        <v>363</v>
      </c>
      <c r="D94" s="216" t="s">
        <v>792</v>
      </c>
      <c r="E94" s="373" t="e">
        <f>INDEX('PY1 Data(H)'!$A$1:$CZ$265,MATCH('Unit Data from Audit Worksheet'!$A94,'PY1 Data(H)'!$A$1:$A$258,0),MATCH('Unit Data from Audit Worksheet'!$D$2,'PY1 Data(H)'!$A$1:$CZ$1,0))</f>
        <v>#N/A</v>
      </c>
      <c r="F94" s="816">
        <v>0</v>
      </c>
      <c r="G94" s="738" t="str">
        <f>IF(F94&gt;=(F95+F96+F97+F98+F99+F100),"","Account 633 is less than the total sum of accounts 634 through 638 + 383")</f>
        <v/>
      </c>
      <c r="H94" s="414"/>
      <c r="I94" s="408"/>
      <c r="J94" s="775"/>
      <c r="K94"/>
      <c r="L94" s="550"/>
    </row>
    <row r="95" spans="1:12" ht="101.4" customHeight="1" x14ac:dyDescent="0.3">
      <c r="A95" s="191">
        <v>634</v>
      </c>
      <c r="B95" s="978" t="s">
        <v>1968</v>
      </c>
      <c r="C95" s="462" t="s">
        <v>363</v>
      </c>
      <c r="D95" s="216" t="s">
        <v>794</v>
      </c>
      <c r="E95" s="373" t="e">
        <f>INDEX('PY1 Data(H)'!$A$1:$CZ$265,MATCH('Unit Data from Audit Worksheet'!$A95,'PY1 Data(H)'!$A$1:$A$258,0),MATCH('Unit Data from Audit Worksheet'!$D$2,'PY1 Data(H)'!$A$1:$CZ$1,0))</f>
        <v>#N/A</v>
      </c>
      <c r="F95" s="816">
        <v>0</v>
      </c>
      <c r="G95" s="739">
        <f>IF(F95&gt;F94,"Please review account numbers 634&gt;633",)</f>
        <v>0</v>
      </c>
      <c r="H95" s="408"/>
      <c r="I95" s="408"/>
      <c r="J95" s="775"/>
      <c r="K95"/>
      <c r="L95" s="550"/>
    </row>
    <row r="96" spans="1:12" ht="107.4" customHeight="1" x14ac:dyDescent="0.3">
      <c r="A96" s="191">
        <v>635</v>
      </c>
      <c r="B96" s="978" t="s">
        <v>1968</v>
      </c>
      <c r="C96" s="462" t="s">
        <v>363</v>
      </c>
      <c r="D96" s="216" t="s">
        <v>793</v>
      </c>
      <c r="E96" s="373" t="e">
        <f>INDEX('PY1 Data(H)'!$A$1:$CZ$265,MATCH('Unit Data from Audit Worksheet'!$A96,'PY1 Data(H)'!$A$1:$A$258,0),MATCH('Unit Data from Audit Worksheet'!$D$2,'PY1 Data(H)'!$A$1:$CZ$1,0))</f>
        <v>#N/A</v>
      </c>
      <c r="F96" s="816">
        <v>0</v>
      </c>
      <c r="G96" s="739">
        <f>IF(F96&gt;F94,"Please review account numbers 635&gt;633",)</f>
        <v>0</v>
      </c>
      <c r="H96" s="408"/>
      <c r="I96" s="408"/>
      <c r="J96" s="775"/>
      <c r="K96"/>
      <c r="L96" s="550"/>
    </row>
    <row r="97" spans="1:12" ht="106.5" customHeight="1" x14ac:dyDescent="0.3">
      <c r="A97" s="191">
        <v>636</v>
      </c>
      <c r="B97" s="978" t="s">
        <v>1968</v>
      </c>
      <c r="C97" s="462" t="s">
        <v>363</v>
      </c>
      <c r="D97" s="216" t="s">
        <v>798</v>
      </c>
      <c r="E97" s="373" t="e">
        <f>INDEX('PY1 Data(H)'!$A$1:$CZ$265,MATCH('Unit Data from Audit Worksheet'!$A97,'PY1 Data(H)'!$A$1:$A$258,0),MATCH('Unit Data from Audit Worksheet'!$D$2,'PY1 Data(H)'!$A$1:$CZ$1,0))</f>
        <v>#N/A</v>
      </c>
      <c r="F97" s="816">
        <v>0</v>
      </c>
      <c r="G97" s="739">
        <f>IF(F97&gt;F94,"Please review account numbers 636&gt;633",)</f>
        <v>0</v>
      </c>
      <c r="H97" s="408"/>
      <c r="I97" s="408"/>
      <c r="J97" s="775"/>
      <c r="K97"/>
      <c r="L97" s="550"/>
    </row>
    <row r="98" spans="1:12" ht="80.25" customHeight="1" x14ac:dyDescent="0.3">
      <c r="A98" s="191">
        <v>637</v>
      </c>
      <c r="B98" s="978" t="s">
        <v>1968</v>
      </c>
      <c r="C98" s="462" t="s">
        <v>363</v>
      </c>
      <c r="D98" s="216" t="s">
        <v>797</v>
      </c>
      <c r="E98" s="373" t="e">
        <f>INDEX('PY1 Data(H)'!$A$1:$CZ$265,MATCH('Unit Data from Audit Worksheet'!$A98,'PY1 Data(H)'!$A$1:$A$258,0),MATCH('Unit Data from Audit Worksheet'!$D$2,'PY1 Data(H)'!$A$1:$CZ$1,0))</f>
        <v>#N/A</v>
      </c>
      <c r="F98" s="816">
        <v>0</v>
      </c>
      <c r="G98" s="739">
        <f>IF(F98&gt;F94,"Please review account numbers 637&gt;633",)</f>
        <v>0</v>
      </c>
      <c r="H98" s="408"/>
      <c r="I98" s="408"/>
      <c r="J98" s="775"/>
      <c r="K98"/>
      <c r="L98" s="550"/>
    </row>
    <row r="99" spans="1:12" ht="106.2" customHeight="1" x14ac:dyDescent="0.3">
      <c r="A99" s="191">
        <v>638</v>
      </c>
      <c r="B99" s="978" t="s">
        <v>1968</v>
      </c>
      <c r="C99" s="462" t="s">
        <v>363</v>
      </c>
      <c r="D99" s="216" t="s">
        <v>796</v>
      </c>
      <c r="E99" s="373" t="e">
        <f>INDEX('PY1 Data(H)'!$A$1:$CZ$265,MATCH('Unit Data from Audit Worksheet'!$A99,'PY1 Data(H)'!$A$1:$A$258,0),MATCH('Unit Data from Audit Worksheet'!$D$2,'PY1 Data(H)'!$A$1:$CZ$1,0))</f>
        <v>#N/A</v>
      </c>
      <c r="F99" s="816">
        <v>0</v>
      </c>
      <c r="G99" s="739">
        <f>IF(F99&gt;F94,"Please review account numbers 638&gt;633",)</f>
        <v>0</v>
      </c>
      <c r="H99" s="408"/>
      <c r="I99" s="408"/>
      <c r="J99" s="775"/>
      <c r="K99"/>
      <c r="L99" s="550"/>
    </row>
    <row r="100" spans="1:12" ht="93.75" customHeight="1" x14ac:dyDescent="0.3">
      <c r="A100" s="100">
        <v>383</v>
      </c>
      <c r="B100" s="4" t="s">
        <v>61</v>
      </c>
      <c r="C100" s="4" t="s">
        <v>720</v>
      </c>
      <c r="D100" s="26" t="s">
        <v>795</v>
      </c>
      <c r="E100" s="373" t="e">
        <f>INDEX('PY1 Data(H)'!$A$1:$CZ$265,MATCH('Unit Data from Audit Worksheet'!$A100,'PY1 Data(H)'!$A$1:$A$258,0),MATCH('Unit Data from Audit Worksheet'!$D$2,'PY1 Data(H)'!$A$1:$CZ$1,0))</f>
        <v>#N/A</v>
      </c>
      <c r="F100" s="816">
        <v>0</v>
      </c>
      <c r="G100" s="740">
        <f>IF(F100&gt;F94,"Error: Please review account numbers 383&gt;633",)</f>
        <v>0</v>
      </c>
      <c r="H100" s="413"/>
      <c r="I100" s="72"/>
      <c r="J100" s="72"/>
      <c r="K100"/>
      <c r="L100" s="550"/>
    </row>
    <row r="101" spans="1:12" ht="61.5" customHeight="1" x14ac:dyDescent="0.3">
      <c r="A101" s="100">
        <v>349</v>
      </c>
      <c r="B101" s="4" t="s">
        <v>61</v>
      </c>
      <c r="C101" s="4" t="s">
        <v>720</v>
      </c>
      <c r="D101" s="99" t="s">
        <v>145</v>
      </c>
      <c r="E101" s="373" t="e">
        <f>INDEX('PY1 Data(H)'!$A$1:$CZ$265,MATCH('Unit Data from Audit Worksheet'!$A101,'PY1 Data(H)'!$A$1:$A$258,0),MATCH('Unit Data from Audit Worksheet'!$D$2,'PY1 Data(H)'!$A$1:$CZ$1,0))</f>
        <v>#N/A</v>
      </c>
      <c r="F101" s="816">
        <v>0</v>
      </c>
      <c r="G101" s="403" t="str">
        <f>IF(F94&gt;F101,"Error: Please review accts 633&gt;349","")</f>
        <v/>
      </c>
      <c r="H101" s="17"/>
      <c r="I101" s="72"/>
      <c r="J101" s="72"/>
      <c r="K101"/>
      <c r="L101" s="550"/>
    </row>
    <row r="102" spans="1:12" ht="72" customHeight="1" x14ac:dyDescent="0.3">
      <c r="A102" s="100">
        <v>375</v>
      </c>
      <c r="B102" s="4" t="s">
        <v>61</v>
      </c>
      <c r="C102" s="4" t="s">
        <v>720</v>
      </c>
      <c r="D102" s="385" t="s">
        <v>726</v>
      </c>
      <c r="E102" s="373" t="e">
        <f>INDEX('PY1 Data(H)'!$A$1:$CZ$265,MATCH('Unit Data from Audit Worksheet'!$A102,'PY1 Data(H)'!$A$1:$A$258,0),MATCH('Unit Data from Audit Worksheet'!$D$2,'PY1 Data(H)'!$A$1:$CZ$1,0))</f>
        <v>#N/A</v>
      </c>
      <c r="F102" s="816">
        <v>0</v>
      </c>
      <c r="G102" s="409"/>
      <c r="H102" s="17"/>
      <c r="I102" s="72"/>
      <c r="J102" s="72"/>
      <c r="K102"/>
      <c r="L102" s="550"/>
    </row>
    <row r="103" spans="1:12" ht="138" customHeight="1" x14ac:dyDescent="0.3">
      <c r="A103" s="100">
        <v>83</v>
      </c>
      <c r="B103" s="4" t="s">
        <v>60</v>
      </c>
      <c r="C103" s="4" t="s">
        <v>720</v>
      </c>
      <c r="D103" s="99" t="s">
        <v>146</v>
      </c>
      <c r="E103" s="373" t="e">
        <f>INDEX('PY1 Data(H)'!$A$1:$CZ$265,MATCH('Unit Data from Audit Worksheet'!$A103,'PY1 Data(H)'!$A$1:$A$258,0),MATCH('Unit Data from Audit Worksheet'!$D$2,'PY1 Data(H)'!$A$1:$CZ$1,0))</f>
        <v>#N/A</v>
      </c>
      <c r="F103" s="816">
        <v>0</v>
      </c>
      <c r="G103" s="403">
        <f>IF(F92-F101-F103=0,,"Error: Total assets less total liabilities do not equal total net assets.  Account numbers 381-349-83=0  The amount of the formula is in the cell to the right")</f>
        <v>0</v>
      </c>
      <c r="H103" s="406">
        <f>F92-F101-F103</f>
        <v>0</v>
      </c>
      <c r="I103" s="72"/>
      <c r="J103" s="72"/>
      <c r="K103"/>
      <c r="L103" s="550"/>
    </row>
    <row r="104" spans="1:12" ht="40.5" customHeight="1" x14ac:dyDescent="0.3">
      <c r="A104" s="100"/>
      <c r="B104" s="492" t="s">
        <v>147</v>
      </c>
      <c r="C104" s="502"/>
      <c r="D104" s="470"/>
      <c r="E104" s="488"/>
      <c r="F104" s="488"/>
      <c r="G104" s="489"/>
      <c r="H104" s="411"/>
      <c r="I104" s="72"/>
      <c r="J104" s="72"/>
      <c r="K104"/>
      <c r="L104" s="550"/>
    </row>
    <row r="105" spans="1:12" ht="59.25" customHeight="1" x14ac:dyDescent="0.3">
      <c r="A105" s="100">
        <v>90</v>
      </c>
      <c r="B105" s="976" t="s">
        <v>1971</v>
      </c>
      <c r="C105" s="4" t="s">
        <v>727</v>
      </c>
      <c r="D105" s="21" t="s">
        <v>728</v>
      </c>
      <c r="E105" s="373" t="e">
        <f>INDEX('PY1 Data(H)'!$A$1:$CZ$265,MATCH('Unit Data from Audit Worksheet'!$A105,'PY1 Data(H)'!$A$1:$A$258,0),MATCH('Unit Data from Audit Worksheet'!$D$2,'PY1 Data(H)'!$A$1:$CZ$1,0))</f>
        <v>#N/A</v>
      </c>
      <c r="F105" s="816">
        <v>0</v>
      </c>
      <c r="G105" s="403">
        <f>IF(F105&lt;0,"Note: Number is normally positive.",)</f>
        <v>0</v>
      </c>
      <c r="H105" s="406"/>
      <c r="I105" s="72"/>
      <c r="J105" s="72"/>
      <c r="K105"/>
      <c r="L105" s="550"/>
    </row>
    <row r="106" spans="1:12" ht="75" customHeight="1" x14ac:dyDescent="0.3">
      <c r="A106" s="100">
        <v>91</v>
      </c>
      <c r="B106" s="4" t="s">
        <v>57</v>
      </c>
      <c r="C106" s="4" t="s">
        <v>727</v>
      </c>
      <c r="D106" s="21" t="s">
        <v>729</v>
      </c>
      <c r="E106" s="373" t="e">
        <f>INDEX('PY1 Data(H)'!$A$1:$CZ$265,MATCH('Unit Data from Audit Worksheet'!$A106,'PY1 Data(H)'!$A$1:$A$258,0),MATCH('Unit Data from Audit Worksheet'!$D$2,'PY1 Data(H)'!$A$1:$CZ$1,0))</f>
        <v>#N/A</v>
      </c>
      <c r="F106" s="816">
        <v>0</v>
      </c>
      <c r="G106" s="403">
        <f>IF(F106&lt;0,"Note: Number is normally positive.",)</f>
        <v>0</v>
      </c>
      <c r="H106" s="404"/>
      <c r="I106" s="72"/>
      <c r="J106" s="72"/>
      <c r="K106"/>
      <c r="L106" s="550"/>
    </row>
    <row r="107" spans="1:12" ht="66.75" customHeight="1" x14ac:dyDescent="0.3">
      <c r="A107" s="100">
        <v>581</v>
      </c>
      <c r="B107" s="976" t="s">
        <v>1966</v>
      </c>
      <c r="C107" s="375" t="s">
        <v>727</v>
      </c>
      <c r="D107" s="461" t="s">
        <v>730</v>
      </c>
      <c r="E107" s="373" t="e">
        <f>INDEX('PY1 Data(H)'!$A$1:$CZ$265,MATCH('Unit Data from Audit Worksheet'!$A107,'PY1 Data(H)'!$A$1:$A$258,0),MATCH('Unit Data from Audit Worksheet'!$D$2,'PY1 Data(H)'!$A$1:$CZ$1,0))</f>
        <v>#N/A</v>
      </c>
      <c r="F107" s="816">
        <v>0</v>
      </c>
      <c r="G107" s="403"/>
      <c r="H107" s="404"/>
      <c r="I107" s="72"/>
      <c r="J107" s="72"/>
      <c r="K107"/>
      <c r="L107" s="550"/>
    </row>
    <row r="108" spans="1:12" ht="67.5" customHeight="1" x14ac:dyDescent="0.3">
      <c r="A108" s="100">
        <v>511</v>
      </c>
      <c r="B108" s="976" t="s">
        <v>1966</v>
      </c>
      <c r="C108" s="4" t="s">
        <v>727</v>
      </c>
      <c r="D108" s="22" t="s">
        <v>148</v>
      </c>
      <c r="E108" s="373" t="e">
        <f>INDEX('PY1 Data(H)'!$A$1:$CZ$265,MATCH('Unit Data from Audit Worksheet'!$A108,'PY1 Data(H)'!$A$1:$A$258,0),MATCH('Unit Data from Audit Worksheet'!$D$2,'PY1 Data(H)'!$A$1:$CZ$1,0))</f>
        <v>#N/A</v>
      </c>
      <c r="F108" s="816">
        <v>0</v>
      </c>
      <c r="G108" s="403">
        <f>IF(F108&lt;0,"Note: Number is normally positive.",)</f>
        <v>0</v>
      </c>
      <c r="H108" s="404"/>
      <c r="I108" s="72"/>
      <c r="J108" s="72"/>
      <c r="K108"/>
      <c r="L108" s="550"/>
    </row>
    <row r="109" spans="1:12" ht="72" customHeight="1" x14ac:dyDescent="0.3">
      <c r="A109" s="191">
        <v>657</v>
      </c>
      <c r="B109" s="976" t="s">
        <v>1966</v>
      </c>
      <c r="C109" s="462" t="s">
        <v>727</v>
      </c>
      <c r="D109" s="216" t="s">
        <v>731</v>
      </c>
      <c r="E109" s="373" t="e">
        <f>INDEX('PY1 Data(H)'!$A$1:$CZ$265,MATCH('Unit Data from Audit Worksheet'!$A109,'PY1 Data(H)'!$A$1:$A$258,0),MATCH('Unit Data from Audit Worksheet'!$D$2,'PY1 Data(H)'!$A$1:$CZ$1,0))</f>
        <v>#N/A</v>
      </c>
      <c r="F109" s="816">
        <v>0</v>
      </c>
      <c r="G109" s="740">
        <f>IF((F105+F106+F108)&gt;F109,"Error: Please review components of current assets above.  Account numbers (90+91+511)&gt;657",)</f>
        <v>0</v>
      </c>
      <c r="H109" s="404"/>
      <c r="I109" s="72"/>
      <c r="J109" s="72"/>
      <c r="K109"/>
      <c r="L109" s="550"/>
    </row>
    <row r="110" spans="1:12" ht="70.5" customHeight="1" x14ac:dyDescent="0.3">
      <c r="A110" s="191">
        <v>658</v>
      </c>
      <c r="B110" s="976" t="s">
        <v>1966</v>
      </c>
      <c r="C110" s="462" t="s">
        <v>727</v>
      </c>
      <c r="D110" s="193" t="s">
        <v>447</v>
      </c>
      <c r="E110" s="373" t="e">
        <f>INDEX('PY1 Data(H)'!$A$1:$CZ$265,MATCH('Unit Data from Audit Worksheet'!$A110,'PY1 Data(H)'!$A$1:$A$258,0),MATCH('Unit Data from Audit Worksheet'!$D$2,'PY1 Data(H)'!$A$1:$CZ$1,0))</f>
        <v>#N/A</v>
      </c>
      <c r="F110" s="816">
        <v>0</v>
      </c>
      <c r="G110" s="403"/>
      <c r="H110" s="404"/>
      <c r="I110" s="72"/>
      <c r="J110" s="72"/>
      <c r="K110"/>
      <c r="L110" s="550"/>
    </row>
    <row r="111" spans="1:12" ht="79.2" customHeight="1" x14ac:dyDescent="0.3">
      <c r="A111" s="100">
        <v>382</v>
      </c>
      <c r="B111" s="4" t="s">
        <v>59</v>
      </c>
      <c r="C111" s="4" t="s">
        <v>727</v>
      </c>
      <c r="D111" s="98" t="s">
        <v>122</v>
      </c>
      <c r="E111" s="373" t="e">
        <f>INDEX('PY1 Data(H)'!$A$1:$CZ$265,MATCH('Unit Data from Audit Worksheet'!$A111,'PY1 Data(H)'!$A$1:$A$258,0),MATCH('Unit Data from Audit Worksheet'!$D$2,'PY1 Data(H)'!$A$1:$CZ$1,0))</f>
        <v>#N/A</v>
      </c>
      <c r="F111" s="816">
        <v>0</v>
      </c>
      <c r="G111" s="740">
        <f>IF(F109&gt;F111,"Error: Please review components of current assets above. Account numbers 657&gt;382",)</f>
        <v>0</v>
      </c>
      <c r="H111" s="404"/>
      <c r="I111" s="72"/>
      <c r="J111" s="72"/>
      <c r="K111"/>
      <c r="L111" s="550"/>
    </row>
    <row r="112" spans="1:12" ht="57.75" customHeight="1" x14ac:dyDescent="0.3">
      <c r="A112" s="100">
        <v>360</v>
      </c>
      <c r="B112" s="4" t="s">
        <v>55</v>
      </c>
      <c r="C112" s="4" t="s">
        <v>727</v>
      </c>
      <c r="D112" s="99" t="s">
        <v>149</v>
      </c>
      <c r="E112" s="373" t="e">
        <f>INDEX('PY1 Data(H)'!$A$1:$CZ$265,MATCH('Unit Data from Audit Worksheet'!$A112,'PY1 Data(H)'!$A$1:$A$258,0),MATCH('Unit Data from Audit Worksheet'!$D$2,'PY1 Data(H)'!$A$1:$CZ$1,0))</f>
        <v>#N/A</v>
      </c>
      <c r="F112" s="816">
        <v>0</v>
      </c>
      <c r="G112" s="738"/>
      <c r="H112" s="404"/>
      <c r="I112" s="72"/>
      <c r="J112" s="72"/>
      <c r="K112"/>
      <c r="L112" s="550"/>
    </row>
    <row r="113" spans="1:123" ht="62.25" customHeight="1" x14ac:dyDescent="0.3">
      <c r="A113" s="100">
        <v>580</v>
      </c>
      <c r="B113" s="976" t="s">
        <v>1966</v>
      </c>
      <c r="C113" s="375" t="s">
        <v>727</v>
      </c>
      <c r="D113" s="461" t="s">
        <v>732</v>
      </c>
      <c r="E113" s="373" t="e">
        <f>INDEX('PY1 Data(H)'!$A$1:$CZ$265,MATCH('Unit Data from Audit Worksheet'!$A113,'PY1 Data(H)'!$A$1:$A$258,0),MATCH('Unit Data from Audit Worksheet'!$D$2,'PY1 Data(H)'!$A$1:$CZ$1,0))</f>
        <v>#N/A</v>
      </c>
      <c r="F113" s="816">
        <v>0</v>
      </c>
      <c r="G113" s="738"/>
      <c r="H113" s="404"/>
      <c r="I113" s="72"/>
      <c r="J113" s="72"/>
      <c r="K113"/>
      <c r="L113" s="550"/>
    </row>
    <row r="114" spans="1:123" ht="114" customHeight="1" x14ac:dyDescent="0.3">
      <c r="A114" s="192">
        <v>639</v>
      </c>
      <c r="B114" s="980" t="s">
        <v>1967</v>
      </c>
      <c r="C114" s="462" t="s">
        <v>727</v>
      </c>
      <c r="D114" s="216" t="s">
        <v>799</v>
      </c>
      <c r="E114" s="373" t="e">
        <f>INDEX('PY1 Data(H)'!$A$1:$CZ$265,MATCH('Unit Data from Audit Worksheet'!$A114,'PY1 Data(H)'!$A$1:$A$258,0),MATCH('Unit Data from Audit Worksheet'!$D$2,'PY1 Data(H)'!$A$1:$CZ$1,0))</f>
        <v>#N/A</v>
      </c>
      <c r="F114" s="816">
        <v>0</v>
      </c>
      <c r="G114" s="738" t="str">
        <f>IF(F114&gt;=(F115+F116+F117+F118+F119+F120),"","Account 639 is less than the total sum of accounts 640 through 644 + 384")</f>
        <v/>
      </c>
      <c r="H114" s="414"/>
      <c r="I114" s="408"/>
      <c r="J114" s="775"/>
      <c r="K114"/>
      <c r="L114" s="550"/>
    </row>
    <row r="115" spans="1:123" ht="111.6" customHeight="1" x14ac:dyDescent="0.3">
      <c r="A115" s="191">
        <v>640</v>
      </c>
      <c r="B115" s="978" t="s">
        <v>1968</v>
      </c>
      <c r="C115" s="462" t="s">
        <v>727</v>
      </c>
      <c r="D115" s="216" t="s">
        <v>800</v>
      </c>
      <c r="E115" s="373" t="e">
        <f>INDEX('PY1 Data(H)'!$A$1:$CZ$265,MATCH('Unit Data from Audit Worksheet'!$A115,'PY1 Data(H)'!$A$1:$A$258,0),MATCH('Unit Data from Audit Worksheet'!$D$2,'PY1 Data(H)'!$A$1:$CZ$1,0))</f>
        <v>#N/A</v>
      </c>
      <c r="F115" s="816">
        <v>0</v>
      </c>
      <c r="G115" s="740">
        <f>IF(F115&gt;F114,"Error: Please review components of current liabilities above. Account numbers 640&gt;639",)</f>
        <v>0</v>
      </c>
      <c r="H115" s="408"/>
      <c r="I115" s="414"/>
      <c r="J115" s="776"/>
      <c r="K115"/>
      <c r="L115" s="550"/>
    </row>
    <row r="116" spans="1:123" ht="121.2" customHeight="1" x14ac:dyDescent="0.3">
      <c r="A116" s="191">
        <v>641</v>
      </c>
      <c r="B116" s="978" t="s">
        <v>1968</v>
      </c>
      <c r="C116" s="462" t="s">
        <v>727</v>
      </c>
      <c r="D116" s="216" t="s">
        <v>801</v>
      </c>
      <c r="E116" s="373" t="e">
        <f>INDEX('PY1 Data(H)'!$A$1:$CZ$265,MATCH('Unit Data from Audit Worksheet'!$A116,'PY1 Data(H)'!$A$1:$A$258,0),MATCH('Unit Data from Audit Worksheet'!$D$2,'PY1 Data(H)'!$A$1:$CZ$1,0))</f>
        <v>#N/A</v>
      </c>
      <c r="F116" s="816">
        <v>0</v>
      </c>
      <c r="G116" s="740">
        <f>IF(F116&gt;F114,"Error: Please review components of current liabilities above. Account numbers 641&gt;639",)</f>
        <v>0</v>
      </c>
      <c r="H116" s="408"/>
      <c r="I116" s="408"/>
      <c r="J116" s="775"/>
      <c r="K116"/>
      <c r="L116" s="550"/>
    </row>
    <row r="117" spans="1:123" ht="110.4" customHeight="1" x14ac:dyDescent="0.3">
      <c r="A117" s="191">
        <v>642</v>
      </c>
      <c r="B117" s="978" t="s">
        <v>1968</v>
      </c>
      <c r="C117" s="462" t="s">
        <v>727</v>
      </c>
      <c r="D117" s="216" t="s">
        <v>802</v>
      </c>
      <c r="E117" s="373" t="e">
        <f>INDEX('PY1 Data(H)'!$A$1:$CZ$265,MATCH('Unit Data from Audit Worksheet'!$A117,'PY1 Data(H)'!$A$1:$A$258,0),MATCH('Unit Data from Audit Worksheet'!$D$2,'PY1 Data(H)'!$A$1:$CZ$1,0))</f>
        <v>#N/A</v>
      </c>
      <c r="F117" s="816">
        <v>0</v>
      </c>
      <c r="G117" s="740">
        <f>IF(F117&gt;F114,"Error: Please review components of current liabilities above. Account numbers  642&gt;639",)</f>
        <v>0</v>
      </c>
      <c r="H117" s="408"/>
      <c r="I117" s="408"/>
      <c r="J117" s="775"/>
      <c r="K117"/>
      <c r="L117" s="550"/>
    </row>
    <row r="118" spans="1:123" ht="79.95" customHeight="1" x14ac:dyDescent="0.3">
      <c r="A118" s="191">
        <v>643</v>
      </c>
      <c r="B118" s="978" t="s">
        <v>1968</v>
      </c>
      <c r="C118" s="462" t="s">
        <v>727</v>
      </c>
      <c r="D118" s="216" t="s">
        <v>803</v>
      </c>
      <c r="E118" s="373" t="e">
        <f>INDEX('PY1 Data(H)'!$A$1:$CZ$265,MATCH('Unit Data from Audit Worksheet'!$A118,'PY1 Data(H)'!$A$1:$A$258,0),MATCH('Unit Data from Audit Worksheet'!$D$2,'PY1 Data(H)'!$A$1:$CZ$1,0))</f>
        <v>#N/A</v>
      </c>
      <c r="F118" s="816">
        <v>0</v>
      </c>
      <c r="G118" s="740">
        <f>IF(F118&gt;F114,"Error: Please review components of current liabilities above. Account numbers 643&gt;639",)</f>
        <v>0</v>
      </c>
      <c r="H118" s="408"/>
      <c r="I118" s="408"/>
      <c r="J118" s="775"/>
      <c r="K118"/>
      <c r="L118" s="550"/>
    </row>
    <row r="119" spans="1:123" ht="105" customHeight="1" x14ac:dyDescent="0.3">
      <c r="A119" s="191">
        <v>644</v>
      </c>
      <c r="B119" s="978" t="s">
        <v>1968</v>
      </c>
      <c r="C119" s="462" t="s">
        <v>727</v>
      </c>
      <c r="D119" s="216" t="s">
        <v>804</v>
      </c>
      <c r="E119" s="373" t="e">
        <f>INDEX('PY1 Data(H)'!$A$1:$CZ$265,MATCH('Unit Data from Audit Worksheet'!$A119,'PY1 Data(H)'!$A$1:$A$258,0),MATCH('Unit Data from Audit Worksheet'!$D$2,'PY1 Data(H)'!$A$1:$CZ$1,0))</f>
        <v>#N/A</v>
      </c>
      <c r="F119" s="816">
        <v>0</v>
      </c>
      <c r="G119" s="740">
        <f>IF(F119&gt;F114,"Error: Please review components of current liabilities above. Account number 644&gt;639",)</f>
        <v>0</v>
      </c>
      <c r="H119" s="408"/>
      <c r="I119" s="408"/>
      <c r="J119" s="775"/>
      <c r="K119"/>
      <c r="L119" s="550"/>
    </row>
    <row r="120" spans="1:123" ht="88.95" customHeight="1" x14ac:dyDescent="0.3">
      <c r="A120" s="100">
        <v>384</v>
      </c>
      <c r="B120" s="4" t="s">
        <v>62</v>
      </c>
      <c r="C120" s="4" t="s">
        <v>727</v>
      </c>
      <c r="D120" s="26" t="s">
        <v>805</v>
      </c>
      <c r="E120" s="373" t="e">
        <f>INDEX('PY1 Data(H)'!$A$1:$CZ$265,MATCH('Unit Data from Audit Worksheet'!$A120,'PY1 Data(H)'!$A$1:$A$258,0),MATCH('Unit Data from Audit Worksheet'!$D$2,'PY1 Data(H)'!$A$1:$CZ$1,0))</f>
        <v>#N/A</v>
      </c>
      <c r="F120" s="816">
        <v>0</v>
      </c>
      <c r="G120" s="740">
        <f>IF(F120&gt;F114,"Error: Please review components of current liabilities above. Account number 384&gt;639",)</f>
        <v>0</v>
      </c>
      <c r="H120" s="344"/>
      <c r="I120" s="72"/>
      <c r="J120" s="72"/>
      <c r="K120"/>
      <c r="L120" s="550"/>
    </row>
    <row r="121" spans="1:123" ht="92.4" customHeight="1" x14ac:dyDescent="0.3">
      <c r="A121" s="100">
        <v>361</v>
      </c>
      <c r="B121" s="4" t="s">
        <v>55</v>
      </c>
      <c r="C121" s="4" t="s">
        <v>727</v>
      </c>
      <c r="D121" s="385" t="s">
        <v>733</v>
      </c>
      <c r="E121" s="373" t="e">
        <f>INDEX('PY1 Data(H)'!$A$1:$CZ$265,MATCH('Unit Data from Audit Worksheet'!$A121,'PY1 Data(H)'!$A$1:$A$258,0),MATCH('Unit Data from Audit Worksheet'!$D$2,'PY1 Data(H)'!$A$1:$CZ$1,0))</f>
        <v>#N/A</v>
      </c>
      <c r="F121" s="816">
        <v>0</v>
      </c>
      <c r="G121" s="409"/>
      <c r="H121" s="404"/>
      <c r="I121" s="72"/>
      <c r="J121" s="72"/>
      <c r="K121"/>
      <c r="L121" s="550"/>
    </row>
    <row r="122" spans="1:123" ht="54" customHeight="1" x14ac:dyDescent="0.3">
      <c r="A122" s="100">
        <v>362</v>
      </c>
      <c r="B122" s="4" t="s">
        <v>55</v>
      </c>
      <c r="C122" s="4" t="s">
        <v>727</v>
      </c>
      <c r="D122" s="99" t="s">
        <v>150</v>
      </c>
      <c r="E122" s="373" t="e">
        <f>INDEX('PY1 Data(H)'!$A$1:$CZ$265,MATCH('Unit Data from Audit Worksheet'!$A122,'PY1 Data(H)'!$A$1:$A$258,0),MATCH('Unit Data from Audit Worksheet'!$D$2,'PY1 Data(H)'!$A$1:$CZ$1,0))</f>
        <v>#N/A</v>
      </c>
      <c r="F122" s="816">
        <v>0</v>
      </c>
      <c r="G122" s="403">
        <f>IF(H122=0,,"Error: Total assets less total liabilities do not equal total net position. Account numbers 382-360-362=0  The amount of the formula is in the cell to the right")</f>
        <v>0</v>
      </c>
      <c r="H122" s="406">
        <f>F111-F112-F122</f>
        <v>0</v>
      </c>
      <c r="I122" s="72"/>
      <c r="J122" s="72"/>
      <c r="K122"/>
      <c r="L122" s="550"/>
    </row>
    <row r="123" spans="1:123" ht="26.25" customHeight="1" x14ac:dyDescent="0.3">
      <c r="A123" s="100"/>
      <c r="B123" s="481" t="s">
        <v>174</v>
      </c>
      <c r="C123" s="482"/>
      <c r="D123" s="494"/>
      <c r="E123" s="480"/>
      <c r="F123" s="480"/>
      <c r="G123" s="480"/>
      <c r="H123" s="17"/>
      <c r="I123" s="72"/>
      <c r="J123" s="72"/>
      <c r="K123"/>
      <c r="L123" s="550"/>
    </row>
    <row r="124" spans="1:123" s="18" customFormat="1" ht="84.6" customHeight="1" x14ac:dyDescent="0.3">
      <c r="A124" s="100"/>
      <c r="B124" s="1070" t="s">
        <v>813</v>
      </c>
      <c r="C124" s="1070"/>
      <c r="D124" s="1070"/>
      <c r="E124" s="489"/>
      <c r="F124" s="489"/>
      <c r="G124" s="489"/>
      <c r="H124" s="17"/>
      <c r="I124" s="72"/>
      <c r="J124" s="72"/>
      <c r="K124"/>
      <c r="L124" s="550"/>
      <c r="M124"/>
      <c r="O124" s="187"/>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row>
    <row r="125" spans="1:123" ht="87" customHeight="1" x14ac:dyDescent="0.3">
      <c r="A125" s="100">
        <v>88</v>
      </c>
      <c r="B125" s="4" t="s">
        <v>60</v>
      </c>
      <c r="C125" s="4" t="s">
        <v>734</v>
      </c>
      <c r="D125" s="21" t="s">
        <v>735</v>
      </c>
      <c r="E125" s="373" t="e">
        <f>INDEX('PY1 Data(H)'!$A$1:$CZ$265,MATCH('Unit Data from Audit Worksheet'!$A125,'PY1 Data(H)'!$A$1:$A$258,0),MATCH('Unit Data from Audit Worksheet'!$D$2,'PY1 Data(H)'!$A$1:$CZ$1,0))</f>
        <v>#N/A</v>
      </c>
      <c r="F125" s="816">
        <v>0</v>
      </c>
      <c r="G125" s="409"/>
      <c r="H125" s="17"/>
      <c r="I125" s="72"/>
      <c r="J125" s="72"/>
      <c r="K125"/>
      <c r="L125" s="550"/>
    </row>
    <row r="126" spans="1:123" ht="81" customHeight="1" x14ac:dyDescent="0.3">
      <c r="A126" s="100">
        <v>84</v>
      </c>
      <c r="B126" s="976" t="s">
        <v>1964</v>
      </c>
      <c r="C126" s="4" t="s">
        <v>734</v>
      </c>
      <c r="D126" s="26" t="s">
        <v>151</v>
      </c>
      <c r="E126" s="373" t="e">
        <f>INDEX('PY1 Data(H)'!$A$1:$CZ$265,MATCH('Unit Data from Audit Worksheet'!$A126,'PY1 Data(H)'!$A$1:$A$258,0),MATCH('Unit Data from Audit Worksheet'!$D$2,'PY1 Data(H)'!$A$1:$CZ$1,0))</f>
        <v>#N/A</v>
      </c>
      <c r="F126" s="816">
        <v>0</v>
      </c>
      <c r="G126" s="403">
        <f>IF(F126&gt;=F125,,"Error: Charges for services exceed total operating revenues. Account numbers 88&gt;84")</f>
        <v>0</v>
      </c>
      <c r="H126" s="17"/>
      <c r="I126" s="72"/>
      <c r="J126" s="72"/>
      <c r="K126"/>
      <c r="L126" s="550"/>
    </row>
    <row r="127" spans="1:123" ht="78" customHeight="1" x14ac:dyDescent="0.3">
      <c r="A127" s="100">
        <v>49</v>
      </c>
      <c r="B127" s="976" t="s">
        <v>1964</v>
      </c>
      <c r="C127" s="4" t="s">
        <v>734</v>
      </c>
      <c r="D127" s="26" t="s">
        <v>152</v>
      </c>
      <c r="E127" s="373" t="e">
        <f>INDEX('PY1 Data(H)'!$A$1:$CZ$265,MATCH('Unit Data from Audit Worksheet'!$A127,'PY1 Data(H)'!$A$1:$A$258,0),MATCH('Unit Data from Audit Worksheet'!$D$2,'PY1 Data(H)'!$A$1:$CZ$1,0))</f>
        <v>#N/A</v>
      </c>
      <c r="F127" s="816">
        <v>0</v>
      </c>
      <c r="G127" s="403">
        <f>IF(F127&lt;0,"Error: Enter as positive.",)</f>
        <v>0</v>
      </c>
      <c r="H127" s="17"/>
      <c r="I127" s="72"/>
      <c r="J127" s="72"/>
      <c r="K127"/>
      <c r="L127" s="550"/>
    </row>
    <row r="128" spans="1:123" ht="87.6" customHeight="1" x14ac:dyDescent="0.3">
      <c r="A128" s="100">
        <v>85</v>
      </c>
      <c r="B128" s="976" t="s">
        <v>1964</v>
      </c>
      <c r="C128" s="4" t="s">
        <v>734</v>
      </c>
      <c r="D128" s="26" t="s">
        <v>153</v>
      </c>
      <c r="E128" s="373" t="e">
        <f>INDEX('PY1 Data(H)'!$A$1:$CZ$265,MATCH('Unit Data from Audit Worksheet'!$A128,'PY1 Data(H)'!$A$1:$A$258,0),MATCH('Unit Data from Audit Worksheet'!$D$2,'PY1 Data(H)'!$A$1:$CZ$1,0))</f>
        <v>#N/A</v>
      </c>
      <c r="F128" s="816">
        <v>0</v>
      </c>
      <c r="G128" s="403">
        <f>IF(F128&lt;0,"Error: Enter as positive.",)</f>
        <v>0</v>
      </c>
      <c r="H128" s="17"/>
      <c r="I128" s="72"/>
      <c r="J128" s="72"/>
      <c r="K128"/>
      <c r="L128" s="550"/>
    </row>
    <row r="129" spans="1:123" ht="75.599999999999994" customHeight="1" x14ac:dyDescent="0.3">
      <c r="A129" s="100">
        <v>89</v>
      </c>
      <c r="B129" s="976" t="s">
        <v>1964</v>
      </c>
      <c r="C129" s="4" t="s">
        <v>734</v>
      </c>
      <c r="D129" s="26" t="s">
        <v>154</v>
      </c>
      <c r="E129" s="373" t="e">
        <f>INDEX('PY1 Data(H)'!$A$1:$CZ$265,MATCH('Unit Data from Audit Worksheet'!$A129,'PY1 Data(H)'!$A$1:$A$258,0),MATCH('Unit Data from Audit Worksheet'!$D$2,'PY1 Data(H)'!$A$1:$CZ$1,0))</f>
        <v>#N/A</v>
      </c>
      <c r="F129" s="816">
        <v>0</v>
      </c>
      <c r="G129" s="403">
        <f>IF(F129&lt;0,"Error: Enter as positive.",)</f>
        <v>0</v>
      </c>
      <c r="H129" s="404"/>
      <c r="I129" s="72"/>
      <c r="J129" s="72"/>
      <c r="K129"/>
      <c r="L129" s="550"/>
    </row>
    <row r="130" spans="1:123" ht="79.2" customHeight="1" x14ac:dyDescent="0.3">
      <c r="A130" s="100">
        <v>350</v>
      </c>
      <c r="B130" s="4" t="s">
        <v>55</v>
      </c>
      <c r="C130" s="4" t="s">
        <v>734</v>
      </c>
      <c r="D130" s="21" t="s">
        <v>736</v>
      </c>
      <c r="E130" s="373" t="e">
        <f>INDEX('PY1 Data(H)'!$A$1:$CZ$265,MATCH('Unit Data from Audit Worksheet'!$A130,'PY1 Data(H)'!$A$1:$A$258,0),MATCH('Unit Data from Audit Worksheet'!$D$2,'PY1 Data(H)'!$A$1:$CZ$1,0))</f>
        <v>#N/A</v>
      </c>
      <c r="F130" s="816">
        <v>0</v>
      </c>
      <c r="G130" s="409"/>
      <c r="H130" s="404"/>
      <c r="I130" s="72"/>
      <c r="J130" s="72"/>
      <c r="K130"/>
      <c r="L130" s="550"/>
    </row>
    <row r="131" spans="1:123" ht="66" customHeight="1" x14ac:dyDescent="0.3">
      <c r="A131" s="100">
        <v>351</v>
      </c>
      <c r="B131" s="976" t="s">
        <v>1964</v>
      </c>
      <c r="C131" s="4" t="s">
        <v>734</v>
      </c>
      <c r="D131" s="21" t="s">
        <v>737</v>
      </c>
      <c r="E131" s="373" t="e">
        <f>INDEX('PY1 Data(H)'!$A$1:$CZ$265,MATCH('Unit Data from Audit Worksheet'!$A131,'PY1 Data(H)'!$A$1:$A$258,0),MATCH('Unit Data from Audit Worksheet'!$D$2,'PY1 Data(H)'!$A$1:$CZ$1,0))</f>
        <v>#N/A</v>
      </c>
      <c r="F131" s="816">
        <v>0</v>
      </c>
      <c r="G131" s="403">
        <f t="shared" ref="G131:G136" si="2">IF(F131&lt;0,"Error: Enter as positive.",)</f>
        <v>0</v>
      </c>
      <c r="H131" s="404"/>
      <c r="I131" s="72"/>
      <c r="J131" s="72"/>
      <c r="K131"/>
      <c r="L131" s="550"/>
    </row>
    <row r="132" spans="1:123" ht="93.75" customHeight="1" x14ac:dyDescent="0.3">
      <c r="A132" s="100">
        <v>191</v>
      </c>
      <c r="B132" s="4" t="s">
        <v>56</v>
      </c>
      <c r="C132" s="4" t="s">
        <v>734</v>
      </c>
      <c r="D132" s="21" t="s">
        <v>738</v>
      </c>
      <c r="E132" s="373" t="e">
        <f>INDEX('PY1 Data(H)'!$A$1:$CZ$265,MATCH('Unit Data from Audit Worksheet'!$A132,'PY1 Data(H)'!$A$1:$A$258,0),MATCH('Unit Data from Audit Worksheet'!$D$2,'PY1 Data(H)'!$A$1:$CZ$1,0))</f>
        <v>#N/A</v>
      </c>
      <c r="F132" s="816">
        <v>0</v>
      </c>
      <c r="G132" s="403">
        <f t="shared" si="2"/>
        <v>0</v>
      </c>
      <c r="H132" s="404"/>
      <c r="I132" s="72"/>
      <c r="J132" s="72"/>
      <c r="K132"/>
      <c r="L132" s="550"/>
    </row>
    <row r="133" spans="1:123" ht="81.599999999999994" customHeight="1" x14ac:dyDescent="0.3">
      <c r="A133" s="100">
        <v>1053</v>
      </c>
      <c r="B133" s="800" t="s">
        <v>587</v>
      </c>
      <c r="C133" s="800" t="s">
        <v>1515</v>
      </c>
      <c r="D133" s="801" t="s">
        <v>1553</v>
      </c>
      <c r="E133" s="373" t="e">
        <f>INDEX('PY1 Data(H)'!$A$1:$CZ$265,MATCH('Unit Data from Audit Worksheet'!$A133,'PY1 Data(H)'!$A$1:$A$258,0),MATCH('Unit Data from Audit Worksheet'!$D$2,'PY1 Data(H)'!$A$1:$CZ$1,0))</f>
        <v>#N/A</v>
      </c>
      <c r="F133" s="816">
        <v>0</v>
      </c>
      <c r="G133" s="403"/>
      <c r="H133" s="404"/>
      <c r="I133" s="72"/>
      <c r="J133" s="72"/>
      <c r="K133" s="180"/>
      <c r="L133" s="550"/>
      <c r="M133" s="180"/>
      <c r="Z133" s="180"/>
      <c r="AA133" s="180"/>
      <c r="AB133" s="180"/>
      <c r="AC133" s="180"/>
      <c r="AD133" s="180"/>
      <c r="AE133" s="180"/>
      <c r="AF133" s="180"/>
      <c r="AG133" s="180"/>
      <c r="AH133" s="180"/>
      <c r="AI133" s="180"/>
      <c r="AJ133" s="180"/>
      <c r="AK133" s="180"/>
      <c r="AL133" s="180"/>
      <c r="AM133" s="180"/>
      <c r="AN133" s="180"/>
      <c r="AO133" s="180"/>
      <c r="AP133" s="180"/>
      <c r="AQ133" s="180"/>
      <c r="AR133" s="180"/>
      <c r="AS133" s="180"/>
      <c r="AT133" s="180"/>
      <c r="AU133" s="180"/>
      <c r="AV133" s="180"/>
      <c r="AW133" s="180"/>
      <c r="AX133" s="180"/>
      <c r="AY133" s="180"/>
      <c r="AZ133" s="180"/>
      <c r="BA133" s="180"/>
      <c r="BB133" s="180"/>
      <c r="BC133" s="180"/>
      <c r="BD133" s="180"/>
      <c r="BE133" s="180"/>
      <c r="BF133" s="180"/>
      <c r="BG133" s="180"/>
      <c r="BH133" s="180"/>
      <c r="BI133" s="180"/>
      <c r="BJ133" s="180"/>
      <c r="BK133" s="180"/>
      <c r="BL133" s="180"/>
      <c r="BM133" s="180"/>
      <c r="BN133" s="180"/>
      <c r="BO133" s="180"/>
      <c r="BP133" s="180"/>
      <c r="BQ133" s="180"/>
      <c r="BR133" s="180"/>
      <c r="BS133" s="180"/>
      <c r="BT133" s="180"/>
      <c r="BU133" s="180"/>
      <c r="BV133" s="180"/>
      <c r="BW133" s="180"/>
      <c r="BX133" s="180"/>
      <c r="BY133" s="180"/>
      <c r="BZ133" s="180"/>
      <c r="CA133" s="180"/>
      <c r="CB133" s="180"/>
      <c r="CC133" s="180"/>
      <c r="CD133" s="180"/>
      <c r="CE133" s="180"/>
      <c r="CF133" s="180"/>
      <c r="CG133" s="180"/>
      <c r="CH133" s="180"/>
      <c r="CI133" s="180"/>
      <c r="CJ133" s="180"/>
      <c r="CK133" s="180"/>
      <c r="CL133" s="180"/>
      <c r="CM133" s="180"/>
      <c r="CN133" s="180"/>
      <c r="CO133" s="180"/>
      <c r="CP133" s="180"/>
      <c r="CQ133" s="180"/>
      <c r="CR133" s="180"/>
      <c r="CS133" s="180"/>
      <c r="CT133" s="180"/>
      <c r="CU133" s="180"/>
      <c r="CV133" s="180"/>
      <c r="CW133" s="180"/>
      <c r="CX133" s="180"/>
      <c r="CY133" s="180"/>
      <c r="CZ133" s="180"/>
      <c r="DA133" s="180"/>
      <c r="DB133" s="180"/>
      <c r="DC133" s="180"/>
      <c r="DD133" s="180"/>
      <c r="DE133" s="180"/>
      <c r="DF133" s="180"/>
      <c r="DG133" s="180"/>
      <c r="DH133" s="180"/>
      <c r="DI133" s="180"/>
      <c r="DJ133" s="180"/>
      <c r="DK133" s="180"/>
      <c r="DL133" s="180"/>
      <c r="DM133" s="180"/>
      <c r="DN133" s="180"/>
      <c r="DO133" s="180"/>
      <c r="DP133" s="180"/>
      <c r="DQ133" s="180"/>
      <c r="DR133" s="180"/>
      <c r="DS133" s="180"/>
    </row>
    <row r="134" spans="1:123" ht="78.599999999999994" customHeight="1" x14ac:dyDescent="0.3">
      <c r="A134" s="100">
        <v>352</v>
      </c>
      <c r="B134" s="4" t="s">
        <v>67</v>
      </c>
      <c r="C134" s="4" t="s">
        <v>734</v>
      </c>
      <c r="D134" s="26" t="s">
        <v>660</v>
      </c>
      <c r="E134" s="373" t="e">
        <f>INDEX('PY1 Data(H)'!$A$1:$CZ$265,MATCH('Unit Data from Audit Worksheet'!$A134,'PY1 Data(H)'!$A$1:$A$258,0),MATCH('Unit Data from Audit Worksheet'!$D$2,'PY1 Data(H)'!$A$1:$CZ$1,0))</f>
        <v>#N/A</v>
      </c>
      <c r="F134" s="816">
        <v>0</v>
      </c>
      <c r="G134" s="403">
        <f t="shared" si="2"/>
        <v>0</v>
      </c>
      <c r="H134" s="18"/>
      <c r="I134" s="17"/>
      <c r="J134" s="17"/>
      <c r="K134"/>
      <c r="L134" s="550"/>
    </row>
    <row r="135" spans="1:123" ht="79.95" customHeight="1" x14ac:dyDescent="0.3">
      <c r="A135" s="100">
        <v>986</v>
      </c>
      <c r="B135" s="976" t="s">
        <v>1965</v>
      </c>
      <c r="C135" s="375" t="s">
        <v>734</v>
      </c>
      <c r="D135" s="26" t="s">
        <v>594</v>
      </c>
      <c r="E135" s="373" t="e">
        <f>INDEX('PY1 Data(H)'!$A$1:$CZ$265,MATCH('Unit Data from Audit Worksheet'!$A135,'PY1 Data(H)'!$A$1:$A$258,0),MATCH('Unit Data from Audit Worksheet'!$D$2,'PY1 Data(H)'!$A$1:$CZ$1,0))</f>
        <v>#N/A</v>
      </c>
      <c r="F135" s="816">
        <v>0</v>
      </c>
      <c r="G135" s="403">
        <f t="shared" si="2"/>
        <v>0</v>
      </c>
      <c r="H135" s="404"/>
      <c r="I135" s="72"/>
      <c r="J135" s="72"/>
      <c r="K135"/>
      <c r="L135" s="550"/>
    </row>
    <row r="136" spans="1:123" ht="79.2" customHeight="1" x14ac:dyDescent="0.3">
      <c r="A136" s="100">
        <v>353</v>
      </c>
      <c r="B136" s="4" t="s">
        <v>67</v>
      </c>
      <c r="C136" s="4" t="s">
        <v>734</v>
      </c>
      <c r="D136" s="26" t="s">
        <v>135</v>
      </c>
      <c r="E136" s="373" t="e">
        <f>INDEX('PY1 Data(H)'!$A$1:$CZ$265,MATCH('Unit Data from Audit Worksheet'!$A136,'PY1 Data(H)'!$A$1:$A$258,0),MATCH('Unit Data from Audit Worksheet'!$D$2,'PY1 Data(H)'!$A$1:$CZ$1,0))</f>
        <v>#N/A</v>
      </c>
      <c r="F136" s="816">
        <v>0</v>
      </c>
      <c r="G136" s="403">
        <f t="shared" si="2"/>
        <v>0</v>
      </c>
      <c r="H136" s="404"/>
      <c r="I136" s="72"/>
      <c r="J136" s="72"/>
      <c r="K136"/>
      <c r="L136" s="550"/>
    </row>
    <row r="137" spans="1:123" ht="138" customHeight="1" x14ac:dyDescent="0.3">
      <c r="A137" s="100">
        <v>50</v>
      </c>
      <c r="B137" s="4" t="s">
        <v>63</v>
      </c>
      <c r="C137" s="4" t="s">
        <v>734</v>
      </c>
      <c r="D137" s="385" t="s">
        <v>739</v>
      </c>
      <c r="E137" s="373" t="e">
        <f>INDEX('PY1 Data(H)'!$A$1:$CZ$265,MATCH('Unit Data from Audit Worksheet'!$A137,'PY1 Data(H)'!$A$1:$A$258,0),MATCH('Unit Data from Audit Worksheet'!$D$2,'PY1 Data(H)'!$A$1:$CZ$1,0))</f>
        <v>#N/A</v>
      </c>
      <c r="F137" s="816">
        <v>0</v>
      </c>
      <c r="G137" s="403">
        <f>IF(H137=0,,"Error: Total revenues less total expenses do not equal total change in net position. Account number 84-85+350-351+191+352-353-50=0  The amount of the formula is in the cell to the right")</f>
        <v>0</v>
      </c>
      <c r="H137" s="406">
        <f>F126-F128+F130-F131+F132+F134-F136-F137</f>
        <v>0</v>
      </c>
      <c r="I137" s="72"/>
      <c r="J137" s="72"/>
      <c r="K137"/>
      <c r="L137" s="550"/>
    </row>
    <row r="138" spans="1:123" ht="138" customHeight="1" x14ac:dyDescent="0.3">
      <c r="A138" s="100">
        <v>377</v>
      </c>
      <c r="B138" s="4" t="s">
        <v>67</v>
      </c>
      <c r="C138" s="4" t="s">
        <v>734</v>
      </c>
      <c r="D138" s="385" t="s">
        <v>740</v>
      </c>
      <c r="E138" s="373" t="e">
        <f>INDEX('PY1 Data(H)'!$A$1:$CZ$265,MATCH('Unit Data from Audit Worksheet'!$A138,'PY1 Data(H)'!$A$1:$A$258,0),MATCH('Unit Data from Audit Worksheet'!$D$2,'PY1 Data(H)'!$A$1:$CZ$1,0))</f>
        <v>#N/A</v>
      </c>
      <c r="F138" s="816">
        <v>0</v>
      </c>
      <c r="G138" s="768" t="e">
        <f>IF(F103-F137-F138=E103,,"Error: Beginning Balance does not agree with our records.  Acct #s (83-50-377)=prior year 83 The amount of the formula is in the cell to the right")</f>
        <v>#N/A</v>
      </c>
      <c r="H138" s="769" t="e">
        <f>+F103-F137-F138-E103</f>
        <v>#N/A</v>
      </c>
      <c r="I138" s="796" t="e">
        <f>IF(H138=0," ","If the out of balance is because prior years data is not populated in cell E103, disregard the error message. Do not include prior year's ending balance in cell F136.")</f>
        <v>#N/A</v>
      </c>
      <c r="J138" s="777"/>
      <c r="K138"/>
      <c r="L138" s="550"/>
    </row>
    <row r="139" spans="1:123" ht="78.599999999999994" customHeight="1" x14ac:dyDescent="0.3">
      <c r="A139" s="100">
        <v>537</v>
      </c>
      <c r="B139" s="375" t="s">
        <v>58</v>
      </c>
      <c r="C139" s="375" t="s">
        <v>734</v>
      </c>
      <c r="D139" s="372" t="s">
        <v>1533</v>
      </c>
      <c r="E139" s="815" t="e">
        <f>INDEX('PY1 Data(H)'!$A$1:$CZ$265,MATCH('Unit Data from Audit Worksheet'!$A139,'PY1 Data(H)'!$A$1:$A$258,0),MATCH('Unit Data from Audit Worksheet'!$D$2,'PY1 Data(H)'!$A$1:$CZ$1,0))</f>
        <v>#N/A</v>
      </c>
      <c r="F139" s="185"/>
      <c r="G139" s="403"/>
      <c r="H139" s="404"/>
      <c r="I139" s="405"/>
      <c r="J139" s="405"/>
      <c r="K139"/>
      <c r="L139" s="550"/>
    </row>
    <row r="140" spans="1:123" ht="96.75" customHeight="1" x14ac:dyDescent="0.3">
      <c r="A140" s="100">
        <v>538</v>
      </c>
      <c r="B140" s="375" t="s">
        <v>58</v>
      </c>
      <c r="C140" s="375" t="s">
        <v>734</v>
      </c>
      <c r="D140" s="372" t="s">
        <v>1534</v>
      </c>
      <c r="E140" s="815" t="e">
        <f>INDEX('PY1 Data(H)'!$A$1:$CZ$265,MATCH('Unit Data from Audit Worksheet'!$A140,'PY1 Data(H)'!$A$1:$A$258,0),MATCH('Unit Data from Audit Worksheet'!$D$2,'PY1 Data(H)'!$A$1:$CZ$1,0))</f>
        <v>#N/A</v>
      </c>
      <c r="F140" s="185"/>
      <c r="G140" s="403"/>
      <c r="H140" s="404"/>
      <c r="I140" s="405"/>
      <c r="J140" s="405"/>
      <c r="K140"/>
      <c r="L140" s="550"/>
    </row>
    <row r="141" spans="1:123" ht="26.25" customHeight="1" x14ac:dyDescent="0.3">
      <c r="A141" s="100"/>
      <c r="B141" s="716" t="s">
        <v>6</v>
      </c>
      <c r="C141" s="502"/>
      <c r="D141" s="470"/>
      <c r="E141" s="488"/>
      <c r="F141" s="488"/>
      <c r="G141" s="489"/>
      <c r="H141" s="17"/>
      <c r="I141" s="72"/>
      <c r="J141" s="72"/>
      <c r="K141"/>
      <c r="L141" s="550"/>
    </row>
    <row r="142" spans="1:123" ht="91.95" customHeight="1" x14ac:dyDescent="0.3">
      <c r="A142" s="100">
        <v>97</v>
      </c>
      <c r="B142" s="4" t="s">
        <v>67</v>
      </c>
      <c r="C142" s="4" t="s">
        <v>741</v>
      </c>
      <c r="D142" s="26" t="s">
        <v>155</v>
      </c>
      <c r="E142" s="373" t="e">
        <f>INDEX('PY1 Data(H)'!$A$1:$CZ$265,MATCH('Unit Data from Audit Worksheet'!$A142,'PY1 Data(H)'!$A$1:$A$258,0),MATCH('Unit Data from Audit Worksheet'!$D$2,'PY1 Data(H)'!$A$1:$CZ$1,0))</f>
        <v>#N/A</v>
      </c>
      <c r="F142" s="816">
        <v>0</v>
      </c>
      <c r="G142" s="409"/>
      <c r="H142" s="17"/>
      <c r="I142" s="72"/>
      <c r="J142" s="72"/>
      <c r="K142"/>
      <c r="L142" s="550"/>
    </row>
    <row r="143" spans="1:123" ht="72.599999999999994" customHeight="1" x14ac:dyDescent="0.3">
      <c r="A143" s="100">
        <v>93</v>
      </c>
      <c r="B143" s="976" t="s">
        <v>1969</v>
      </c>
      <c r="C143" s="4" t="s">
        <v>741</v>
      </c>
      <c r="D143" s="26" t="s">
        <v>151</v>
      </c>
      <c r="E143" s="373" t="e">
        <f>INDEX('PY1 Data(H)'!$A$1:$CZ$265,MATCH('Unit Data from Audit Worksheet'!$A143,'PY1 Data(H)'!$A$1:$A$258,0),MATCH('Unit Data from Audit Worksheet'!$D$2,'PY1 Data(H)'!$A$1:$CZ$1,0))</f>
        <v>#N/A</v>
      </c>
      <c r="F143" s="816">
        <v>0</v>
      </c>
      <c r="G143" s="403">
        <f>IF(F142&gt;F143,"Error: Charges for services exceed total operating revenues. Account number 97&gt;93",)</f>
        <v>0</v>
      </c>
      <c r="H143" s="404"/>
      <c r="I143" s="72"/>
      <c r="J143" s="72"/>
      <c r="K143"/>
      <c r="L143" s="550"/>
    </row>
    <row r="144" spans="1:123" ht="76.2" customHeight="1" x14ac:dyDescent="0.3">
      <c r="A144" s="100">
        <v>99</v>
      </c>
      <c r="B144" s="4" t="s">
        <v>57</v>
      </c>
      <c r="C144" s="4" t="s">
        <v>741</v>
      </c>
      <c r="D144" s="26" t="s">
        <v>156</v>
      </c>
      <c r="E144" s="373" t="e">
        <f>INDEX('PY1 Data(H)'!$A$1:$CZ$265,MATCH('Unit Data from Audit Worksheet'!$A144,'PY1 Data(H)'!$A$1:$A$258,0),MATCH('Unit Data from Audit Worksheet'!$D$2,'PY1 Data(H)'!$A$1:$CZ$1,0))</f>
        <v>#N/A</v>
      </c>
      <c r="F144" s="816">
        <v>0</v>
      </c>
      <c r="G144" s="403">
        <f t="shared" ref="G144:G153" si="3">IF(F144&lt;0,"Error: Enter as positive.",)</f>
        <v>0</v>
      </c>
      <c r="H144" s="404"/>
      <c r="I144" s="72"/>
      <c r="J144" s="72"/>
      <c r="K144"/>
      <c r="L144" s="550"/>
    </row>
    <row r="145" spans="1:123" ht="73.2" customHeight="1" x14ac:dyDescent="0.3">
      <c r="A145" s="100">
        <v>52</v>
      </c>
      <c r="B145" s="976" t="s">
        <v>1970</v>
      </c>
      <c r="C145" s="4" t="s">
        <v>741</v>
      </c>
      <c r="D145" s="26" t="s">
        <v>152</v>
      </c>
      <c r="E145" s="373" t="e">
        <f>INDEX('PY1 Data(H)'!$A$1:$CZ$265,MATCH('Unit Data from Audit Worksheet'!$A145,'PY1 Data(H)'!$A$1:$A$258,0),MATCH('Unit Data from Audit Worksheet'!$D$2,'PY1 Data(H)'!$A$1:$CZ$1,0))</f>
        <v>#N/A</v>
      </c>
      <c r="F145" s="816">
        <v>0</v>
      </c>
      <c r="G145" s="403">
        <f t="shared" si="3"/>
        <v>0</v>
      </c>
      <c r="H145" s="404"/>
      <c r="I145" s="72"/>
      <c r="J145" s="72"/>
      <c r="K145"/>
      <c r="L145" s="550"/>
    </row>
    <row r="146" spans="1:123" ht="81" customHeight="1" x14ac:dyDescent="0.3">
      <c r="A146" s="100">
        <v>94</v>
      </c>
      <c r="B146" s="976" t="s">
        <v>1969</v>
      </c>
      <c r="C146" s="4" t="s">
        <v>741</v>
      </c>
      <c r="D146" s="26" t="s">
        <v>153</v>
      </c>
      <c r="E146" s="373" t="e">
        <f>INDEX('PY1 Data(H)'!$A$1:$CZ$265,MATCH('Unit Data from Audit Worksheet'!$A146,'PY1 Data(H)'!$A$1:$A$258,0),MATCH('Unit Data from Audit Worksheet'!$D$2,'PY1 Data(H)'!$A$1:$CZ$1,0))</f>
        <v>#N/A</v>
      </c>
      <c r="F146" s="816">
        <v>0</v>
      </c>
      <c r="G146" s="403">
        <f t="shared" si="3"/>
        <v>0</v>
      </c>
      <c r="H146" s="404"/>
      <c r="I146" s="72"/>
      <c r="J146" s="72"/>
      <c r="K146"/>
      <c r="L146" s="550"/>
    </row>
    <row r="147" spans="1:123" ht="85.95" customHeight="1" x14ac:dyDescent="0.3">
      <c r="A147" s="100">
        <v>98</v>
      </c>
      <c r="B147" s="976" t="s">
        <v>1969</v>
      </c>
      <c r="C147" s="4" t="s">
        <v>741</v>
      </c>
      <c r="D147" s="26" t="s">
        <v>154</v>
      </c>
      <c r="E147" s="373" t="e">
        <f>INDEX('PY1 Data(H)'!$A$1:$CZ$265,MATCH('Unit Data from Audit Worksheet'!$A147,'PY1 Data(H)'!$A$1:$A$258,0),MATCH('Unit Data from Audit Worksheet'!$D$2,'PY1 Data(H)'!$A$1:$CZ$1,0))</f>
        <v>#N/A</v>
      </c>
      <c r="F147" s="816">
        <v>0</v>
      </c>
      <c r="G147" s="403">
        <f t="shared" si="3"/>
        <v>0</v>
      </c>
      <c r="H147" s="404"/>
      <c r="I147" s="72"/>
      <c r="J147" s="72"/>
      <c r="K147"/>
      <c r="L147" s="550"/>
    </row>
    <row r="148" spans="1:123" ht="84" customHeight="1" x14ac:dyDescent="0.3">
      <c r="A148" s="100">
        <v>363</v>
      </c>
      <c r="B148" s="4" t="s">
        <v>55</v>
      </c>
      <c r="C148" s="4" t="s">
        <v>741</v>
      </c>
      <c r="D148" s="21" t="s">
        <v>742</v>
      </c>
      <c r="E148" s="373" t="e">
        <f>INDEX('PY1 Data(H)'!$A$1:$CZ$265,MATCH('Unit Data from Audit Worksheet'!$A148,'PY1 Data(H)'!$A$1:$A$258,0),MATCH('Unit Data from Audit Worksheet'!$D$2,'PY1 Data(H)'!$A$1:$CZ$1,0))</f>
        <v>#N/A</v>
      </c>
      <c r="F148" s="816">
        <v>0</v>
      </c>
      <c r="G148" s="403">
        <f t="shared" si="3"/>
        <v>0</v>
      </c>
      <c r="H148" s="404"/>
      <c r="I148" s="72"/>
      <c r="J148" s="72"/>
      <c r="K148"/>
      <c r="L148" s="550"/>
    </row>
    <row r="149" spans="1:123" ht="76.95" customHeight="1" x14ac:dyDescent="0.3">
      <c r="A149" s="100">
        <v>364</v>
      </c>
      <c r="B149" s="976" t="s">
        <v>1972</v>
      </c>
      <c r="C149" s="4" t="s">
        <v>741</v>
      </c>
      <c r="D149" s="21" t="s">
        <v>743</v>
      </c>
      <c r="E149" s="373" t="e">
        <f>INDEX('PY1 Data(H)'!$A$1:$CZ$265,MATCH('Unit Data from Audit Worksheet'!$A149,'PY1 Data(H)'!$A$1:$A$258,0),MATCH('Unit Data from Audit Worksheet'!$D$2,'PY1 Data(H)'!$A$1:$CZ$1,0))</f>
        <v>#N/A</v>
      </c>
      <c r="F149" s="816">
        <v>0</v>
      </c>
      <c r="G149" s="403">
        <f t="shared" si="3"/>
        <v>0</v>
      </c>
      <c r="H149" s="404"/>
      <c r="I149" s="72"/>
      <c r="J149" s="72"/>
      <c r="K149"/>
      <c r="L149" s="550"/>
    </row>
    <row r="150" spans="1:123" ht="86.4" customHeight="1" x14ac:dyDescent="0.3">
      <c r="A150" s="100">
        <v>192</v>
      </c>
      <c r="B150" s="4" t="s">
        <v>57</v>
      </c>
      <c r="C150" s="4" t="s">
        <v>741</v>
      </c>
      <c r="D150" s="21" t="s">
        <v>744</v>
      </c>
      <c r="E150" s="373" t="e">
        <f>INDEX('PY1 Data(H)'!$A$1:$CZ$265,MATCH('Unit Data from Audit Worksheet'!$A150,'PY1 Data(H)'!$A$1:$A$258,0),MATCH('Unit Data from Audit Worksheet'!$D$2,'PY1 Data(H)'!$A$1:$CZ$1,0))</f>
        <v>#N/A</v>
      </c>
      <c r="F150" s="816">
        <v>0</v>
      </c>
      <c r="G150" s="403">
        <f t="shared" si="3"/>
        <v>0</v>
      </c>
      <c r="H150" s="404"/>
      <c r="I150" s="72"/>
      <c r="J150" s="72"/>
      <c r="K150"/>
      <c r="L150" s="550"/>
    </row>
    <row r="151" spans="1:123" ht="80.400000000000006" customHeight="1" x14ac:dyDescent="0.3">
      <c r="A151" s="100">
        <v>1054</v>
      </c>
      <c r="B151" s="375" t="s">
        <v>587</v>
      </c>
      <c r="C151" s="375" t="s">
        <v>1513</v>
      </c>
      <c r="D151" s="801" t="s">
        <v>1554</v>
      </c>
      <c r="E151" s="373" t="e">
        <f>INDEX('PY1 Data(H)'!$A$1:$CZ$265,MATCH('Unit Data from Audit Worksheet'!$A151,'PY1 Data(H)'!$A$1:$A$258,0),MATCH('Unit Data from Audit Worksheet'!$D$2,'PY1 Data(H)'!$A$1:$CZ$1,0))</f>
        <v>#N/A</v>
      </c>
      <c r="F151" s="816">
        <v>0</v>
      </c>
      <c r="G151" s="403"/>
      <c r="H151" s="404"/>
      <c r="I151" s="72"/>
      <c r="J151" s="72"/>
      <c r="K151" s="180"/>
      <c r="L151" s="550"/>
      <c r="M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80"/>
      <c r="BP151" s="180"/>
      <c r="BQ151" s="180"/>
      <c r="BR151" s="180"/>
      <c r="BS151" s="180"/>
      <c r="BT151" s="180"/>
      <c r="BU151" s="180"/>
      <c r="BV151" s="180"/>
      <c r="BW151" s="180"/>
      <c r="BX151" s="180"/>
      <c r="BY151" s="180"/>
      <c r="BZ151" s="180"/>
      <c r="CA151" s="180"/>
      <c r="CB151" s="180"/>
      <c r="CC151" s="180"/>
      <c r="CD151" s="180"/>
      <c r="CE151" s="180"/>
      <c r="CF151" s="180"/>
      <c r="CG151" s="180"/>
      <c r="CH151" s="180"/>
      <c r="CI151" s="180"/>
      <c r="CJ151" s="180"/>
      <c r="CK151" s="180"/>
      <c r="CL151" s="180"/>
      <c r="CM151" s="180"/>
      <c r="CN151" s="180"/>
      <c r="CO151" s="180"/>
      <c r="CP151" s="180"/>
      <c r="CQ151" s="180"/>
      <c r="CR151" s="180"/>
      <c r="CS151" s="180"/>
      <c r="CT151" s="180"/>
      <c r="CU151" s="180"/>
      <c r="CV151" s="180"/>
      <c r="CW151" s="180"/>
      <c r="CX151" s="180"/>
      <c r="CY151" s="180"/>
      <c r="CZ151" s="180"/>
      <c r="DA151" s="180"/>
      <c r="DB151" s="180"/>
      <c r="DC151" s="180"/>
      <c r="DD151" s="180"/>
      <c r="DE151" s="180"/>
      <c r="DF151" s="180"/>
      <c r="DG151" s="180"/>
      <c r="DH151" s="180"/>
      <c r="DI151" s="180"/>
      <c r="DJ151" s="180"/>
      <c r="DK151" s="180"/>
      <c r="DL151" s="180"/>
      <c r="DM151" s="180"/>
      <c r="DN151" s="180"/>
      <c r="DO151" s="180"/>
      <c r="DP151" s="180"/>
      <c r="DQ151" s="180"/>
      <c r="DR151" s="180"/>
      <c r="DS151" s="180"/>
    </row>
    <row r="152" spans="1:123" ht="94.2" customHeight="1" x14ac:dyDescent="0.3">
      <c r="A152" s="100">
        <v>365</v>
      </c>
      <c r="B152" s="4" t="s">
        <v>65</v>
      </c>
      <c r="C152" s="4" t="s">
        <v>741</v>
      </c>
      <c r="D152" s="21" t="s">
        <v>745</v>
      </c>
      <c r="E152" s="373" t="e">
        <f>INDEX('PY1 Data(H)'!$A$1:$CZ$265,MATCH('Unit Data from Audit Worksheet'!$A152,'PY1 Data(H)'!$A$1:$A$258,0),MATCH('Unit Data from Audit Worksheet'!$D$2,'PY1 Data(H)'!$A$1:$CZ$1,0))</f>
        <v>#N/A</v>
      </c>
      <c r="F152" s="816">
        <v>0</v>
      </c>
      <c r="G152" s="403">
        <f t="shared" si="3"/>
        <v>0</v>
      </c>
      <c r="H152" s="404"/>
      <c r="I152" s="72"/>
      <c r="J152" s="72"/>
      <c r="K152"/>
      <c r="L152" s="550"/>
    </row>
    <row r="153" spans="1:123" ht="84.75" customHeight="1" x14ac:dyDescent="0.3">
      <c r="A153" s="100">
        <v>366</v>
      </c>
      <c r="B153" s="976" t="s">
        <v>1969</v>
      </c>
      <c r="C153" s="4" t="s">
        <v>741</v>
      </c>
      <c r="D153" s="21" t="s">
        <v>746</v>
      </c>
      <c r="E153" s="373" t="e">
        <f>INDEX('PY1 Data(H)'!$A$1:$CZ$265,MATCH('Unit Data from Audit Worksheet'!$A153,'PY1 Data(H)'!$A$1:$A$258,0),MATCH('Unit Data from Audit Worksheet'!$D$2,'PY1 Data(H)'!$A$1:$CZ$1,0))</f>
        <v>#N/A</v>
      </c>
      <c r="F153" s="816">
        <v>0</v>
      </c>
      <c r="G153" s="403">
        <f t="shared" si="3"/>
        <v>0</v>
      </c>
      <c r="H153" s="404"/>
      <c r="I153" s="72"/>
      <c r="J153" s="72"/>
      <c r="K153"/>
      <c r="L153" s="550"/>
    </row>
    <row r="154" spans="1:123" s="18" customFormat="1" ht="138" customHeight="1" x14ac:dyDescent="0.3">
      <c r="A154" s="100">
        <v>53</v>
      </c>
      <c r="B154" s="375" t="s">
        <v>65</v>
      </c>
      <c r="C154" s="375" t="s">
        <v>741</v>
      </c>
      <c r="D154" s="385" t="s">
        <v>747</v>
      </c>
      <c r="E154" s="373" t="e">
        <f>INDEX('PY1 Data(H)'!$A$1:$CZ$265,MATCH('Unit Data from Audit Worksheet'!$A154,'PY1 Data(H)'!$A$1:$A$258,0),MATCH('Unit Data from Audit Worksheet'!$D$2,'PY1 Data(H)'!$A$1:$CZ$1,0))</f>
        <v>#N/A</v>
      </c>
      <c r="F154" s="816">
        <v>0</v>
      </c>
      <c r="G154" s="403">
        <f>IF(H154=0,,"Error: Total revenues less total expenses do not equal total change in net position. Account number 93-94+363-364+192+365-366-53=0  The amount of the formula is in the cell to the right")</f>
        <v>0</v>
      </c>
      <c r="H154" s="406">
        <f>+F143-F146+F148-F149+F150+F152-F153-F154</f>
        <v>0</v>
      </c>
      <c r="I154" s="72"/>
      <c r="J154" s="72"/>
      <c r="K154"/>
      <c r="L154" s="550"/>
      <c r="M154"/>
      <c r="O154" s="187"/>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row>
    <row r="155" spans="1:123" s="18" customFormat="1" ht="138" customHeight="1" x14ac:dyDescent="0.3">
      <c r="A155" s="100">
        <v>378</v>
      </c>
      <c r="B155" s="279" t="s">
        <v>55</v>
      </c>
      <c r="C155" s="375" t="s">
        <v>741</v>
      </c>
      <c r="D155" s="385" t="s">
        <v>748</v>
      </c>
      <c r="E155" s="373" t="e">
        <f>INDEX('PY1 Data(H)'!$A$1:$CZ$265,MATCH('Unit Data from Audit Worksheet'!$A155,'PY1 Data(H)'!$A$1:$A$258,0),MATCH('Unit Data from Audit Worksheet'!$D$2,'PY1 Data(H)'!$A$1:$CZ$1,0))</f>
        <v>#N/A</v>
      </c>
      <c r="F155" s="816">
        <v>0</v>
      </c>
      <c r="G155" s="766" t="e">
        <f>IF(F122-F154-F155=E122,,"Error: Beginning Balance does not agree with our records.  Acct #s (362-53-378)=prior year 362  The amount of the formula is in the cell to the right")</f>
        <v>#N/A</v>
      </c>
      <c r="H155" s="769" t="e">
        <f>+F122-F154-F155-E122</f>
        <v>#N/A</v>
      </c>
      <c r="I155" s="828" t="e">
        <f>IF(H155=0," ","If the out of balance is because prior years data is not populated in cell E122, disregard the error message. Do not include prior year's ending balance in cell F153.")</f>
        <v>#N/A</v>
      </c>
      <c r="J155" s="777"/>
      <c r="K155"/>
      <c r="L155" s="550"/>
      <c r="M155"/>
      <c r="O155" s="187"/>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row>
    <row r="156" spans="1:123" ht="30.75" customHeight="1" x14ac:dyDescent="0.3">
      <c r="A156" s="100"/>
      <c r="B156" s="492" t="s">
        <v>427</v>
      </c>
      <c r="C156" s="716"/>
      <c r="D156" s="495"/>
      <c r="E156" s="496"/>
      <c r="F156" s="496"/>
      <c r="G156" s="477"/>
      <c r="H156" s="17"/>
      <c r="I156" s="72"/>
      <c r="J156" s="72"/>
      <c r="K156"/>
      <c r="L156" s="550"/>
    </row>
    <row r="157" spans="1:123" ht="13.5" customHeight="1" x14ac:dyDescent="0.3">
      <c r="A157" s="100"/>
      <c r="B157" s="749" t="s">
        <v>749</v>
      </c>
      <c r="C157" s="502"/>
      <c r="D157" s="470"/>
      <c r="E157" s="497"/>
      <c r="F157" s="497"/>
      <c r="G157" s="489"/>
      <c r="H157" s="17"/>
      <c r="I157" s="72"/>
      <c r="J157" s="72"/>
      <c r="K157"/>
      <c r="L157" s="550"/>
    </row>
    <row r="158" spans="1:123" ht="17.25" customHeight="1" x14ac:dyDescent="0.3">
      <c r="A158" s="100"/>
      <c r="B158" s="493" t="s">
        <v>750</v>
      </c>
      <c r="C158" s="502"/>
      <c r="D158" s="484"/>
      <c r="E158" s="498"/>
      <c r="F158" s="498"/>
      <c r="G158" s="491"/>
      <c r="H158" s="17"/>
      <c r="I158" s="72"/>
      <c r="J158" s="72"/>
      <c r="K158"/>
      <c r="L158" s="550"/>
    </row>
    <row r="159" spans="1:123" ht="13.5" customHeight="1" x14ac:dyDescent="0.3">
      <c r="A159" s="100"/>
      <c r="B159" s="493" t="s">
        <v>23</v>
      </c>
      <c r="C159" s="502"/>
      <c r="D159" s="484"/>
      <c r="E159" s="498"/>
      <c r="F159" s="498"/>
      <c r="G159" s="491"/>
      <c r="H159" s="17"/>
      <c r="I159" s="72"/>
      <c r="J159" s="72"/>
      <c r="K159"/>
      <c r="L159" s="550"/>
    </row>
    <row r="160" spans="1:123" ht="59.25" customHeight="1" x14ac:dyDescent="0.3">
      <c r="A160" s="100">
        <v>51</v>
      </c>
      <c r="B160" s="4" t="s">
        <v>285</v>
      </c>
      <c r="C160" s="465" t="s">
        <v>751</v>
      </c>
      <c r="D160" s="21" t="s">
        <v>752</v>
      </c>
      <c r="E160" s="373" t="e">
        <f>INDEX('PY1 Data(H)'!$A$1:$CZ$265,MATCH('Unit Data from Audit Worksheet'!$A160,'PY1 Data(H)'!$A$1:$A$258,0),MATCH('Unit Data from Audit Worksheet'!$D$2,'PY1 Data(H)'!$A$1:$CZ$1,0))</f>
        <v>#N/A</v>
      </c>
      <c r="F160" s="816">
        <v>0</v>
      </c>
      <c r="G160" s="409"/>
      <c r="H160" s="17"/>
      <c r="I160" s="72"/>
      <c r="J160" s="72"/>
      <c r="K160"/>
      <c r="L160" s="550"/>
    </row>
    <row r="161" spans="1:123" ht="45" customHeight="1" x14ac:dyDescent="0.3">
      <c r="A161" s="100">
        <v>332</v>
      </c>
      <c r="B161" s="4" t="s">
        <v>36</v>
      </c>
      <c r="C161" s="465" t="s">
        <v>751</v>
      </c>
      <c r="D161" s="21" t="s">
        <v>753</v>
      </c>
      <c r="E161" s="373" t="e">
        <f>INDEX('PY1 Data(H)'!$A$1:$CZ$265,MATCH('Unit Data from Audit Worksheet'!$A161,'PY1 Data(H)'!$A$1:$A$258,0),MATCH('Unit Data from Audit Worksheet'!$D$2,'PY1 Data(H)'!$A$1:$CZ$1,0))</f>
        <v>#N/A</v>
      </c>
      <c r="F161" s="816">
        <v>0</v>
      </c>
      <c r="G161" s="403">
        <f>IF(F161&lt;0,"Error: Enter as positive.",)</f>
        <v>0</v>
      </c>
      <c r="H161" s="17"/>
      <c r="I161" s="72"/>
      <c r="J161" s="72"/>
      <c r="K161"/>
      <c r="L161" s="550"/>
    </row>
    <row r="162" spans="1:123" ht="75" customHeight="1" x14ac:dyDescent="0.3">
      <c r="A162" s="100">
        <v>331</v>
      </c>
      <c r="B162" s="976" t="s">
        <v>1964</v>
      </c>
      <c r="C162" s="465" t="s">
        <v>751</v>
      </c>
      <c r="D162" s="21" t="s">
        <v>754</v>
      </c>
      <c r="E162" s="373" t="e">
        <f>INDEX('PY1 Data(H)'!$A$1:$CZ$265,MATCH('Unit Data from Audit Worksheet'!$A162,'PY1 Data(H)'!$A$1:$A$258,0),MATCH('Unit Data from Audit Worksheet'!$D$2,'PY1 Data(H)'!$A$1:$CZ$1,0))</f>
        <v>#N/A</v>
      </c>
      <c r="F162" s="816">
        <v>0</v>
      </c>
      <c r="G162" s="403">
        <f>IF(F162&lt;0,"Error: Enter as positive.",)</f>
        <v>0</v>
      </c>
      <c r="H162" s="17"/>
      <c r="I162" s="72"/>
      <c r="J162" s="72"/>
      <c r="K162"/>
      <c r="L162" s="550"/>
    </row>
    <row r="163" spans="1:123" ht="17.399999999999999" customHeight="1" x14ac:dyDescent="0.3">
      <c r="A163" s="100"/>
      <c r="B163" s="716" t="s">
        <v>6</v>
      </c>
      <c r="C163" s="502"/>
      <c r="D163" s="493"/>
      <c r="E163" s="497"/>
      <c r="F163" s="497"/>
      <c r="G163" s="499"/>
      <c r="H163" s="17"/>
      <c r="I163" s="72"/>
      <c r="J163" s="72"/>
      <c r="K163"/>
      <c r="L163" s="550"/>
    </row>
    <row r="164" spans="1:123" ht="48" customHeight="1" x14ac:dyDescent="0.3">
      <c r="A164" s="100">
        <v>55</v>
      </c>
      <c r="B164" s="4" t="s">
        <v>58</v>
      </c>
      <c r="C164" s="465" t="s">
        <v>755</v>
      </c>
      <c r="D164" s="21" t="s">
        <v>756</v>
      </c>
      <c r="E164" s="373" t="e">
        <f>INDEX('PY1 Data(H)'!$A$1:$CZ$265,MATCH('Unit Data from Audit Worksheet'!$A164,'PY1 Data(H)'!$A$1:$A$258,0),MATCH('Unit Data from Audit Worksheet'!$D$2,'PY1 Data(H)'!$A$1:$CZ$1,0))</f>
        <v>#N/A</v>
      </c>
      <c r="F164" s="816">
        <v>0</v>
      </c>
      <c r="G164" s="409"/>
      <c r="H164" s="17"/>
      <c r="I164" s="72"/>
      <c r="J164" s="72"/>
      <c r="K164"/>
      <c r="L164" s="550"/>
    </row>
    <row r="165" spans="1:123" ht="60" customHeight="1" x14ac:dyDescent="0.3">
      <c r="A165" s="100">
        <v>101</v>
      </c>
      <c r="B165" s="4" t="s">
        <v>64</v>
      </c>
      <c r="C165" s="465" t="s">
        <v>755</v>
      </c>
      <c r="D165" s="21" t="s">
        <v>757</v>
      </c>
      <c r="E165" s="373" t="e">
        <f>INDEX('PY1 Data(H)'!$A$1:$CZ$265,MATCH('Unit Data from Audit Worksheet'!$A165,'PY1 Data(H)'!$A$1:$A$258,0),MATCH('Unit Data from Audit Worksheet'!$D$2,'PY1 Data(H)'!$A$1:$CZ$1,0))</f>
        <v>#N/A</v>
      </c>
      <c r="F165" s="816">
        <v>0</v>
      </c>
      <c r="G165" s="403">
        <f>IF(F165&lt;0,"Error: Enter as positive.",)</f>
        <v>0</v>
      </c>
      <c r="H165" s="17"/>
      <c r="I165" s="72"/>
      <c r="J165" s="72"/>
      <c r="K165"/>
      <c r="L165" s="550"/>
    </row>
    <row r="166" spans="1:123" ht="71.25" customHeight="1" x14ac:dyDescent="0.3">
      <c r="A166" s="100">
        <v>100</v>
      </c>
      <c r="B166" s="976" t="s">
        <v>1969</v>
      </c>
      <c r="C166" s="465" t="s">
        <v>755</v>
      </c>
      <c r="D166" s="21" t="s">
        <v>754</v>
      </c>
      <c r="E166" s="373" t="e">
        <f>INDEX('PY1 Data(H)'!$A$1:$CZ$265,MATCH('Unit Data from Audit Worksheet'!$A166,'PY1 Data(H)'!$A$1:$A$258,0),MATCH('Unit Data from Audit Worksheet'!$D$2,'PY1 Data(H)'!$A$1:$CZ$1,0))</f>
        <v>#N/A</v>
      </c>
      <c r="F166" s="816">
        <v>0</v>
      </c>
      <c r="G166" s="403">
        <f>IF(F166&lt;0,"Error: Enter as positive.",)</f>
        <v>0</v>
      </c>
      <c r="H166" s="17"/>
      <c r="I166" s="72"/>
      <c r="J166" s="72"/>
      <c r="K166"/>
      <c r="L166" s="550"/>
    </row>
    <row r="167" spans="1:123" ht="31.2" customHeight="1" x14ac:dyDescent="0.3">
      <c r="A167" s="100"/>
      <c r="B167" s="492" t="s">
        <v>1651</v>
      </c>
      <c r="C167" s="716"/>
      <c r="D167" s="492"/>
      <c r="E167" s="492"/>
      <c r="F167" s="492"/>
      <c r="G167" s="492"/>
      <c r="H167" s="17"/>
      <c r="I167" s="72"/>
      <c r="J167" s="72"/>
      <c r="K167" s="180"/>
      <c r="L167" s="550"/>
      <c r="M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K167" s="180"/>
      <c r="BL167" s="180"/>
      <c r="BM167" s="180"/>
      <c r="BN167" s="180"/>
      <c r="BO167" s="180"/>
      <c r="BP167" s="180"/>
      <c r="BQ167" s="180"/>
      <c r="BR167" s="180"/>
      <c r="BS167" s="180"/>
      <c r="BT167" s="180"/>
      <c r="BU167" s="180"/>
      <c r="BV167" s="180"/>
      <c r="BW167" s="180"/>
      <c r="BX167" s="180"/>
      <c r="BY167" s="180"/>
      <c r="BZ167" s="180"/>
      <c r="CA167" s="180"/>
      <c r="CB167" s="180"/>
      <c r="CC167" s="180"/>
      <c r="CD167" s="180"/>
      <c r="CE167" s="180"/>
      <c r="CF167" s="180"/>
      <c r="CG167" s="180"/>
      <c r="CH167" s="180"/>
      <c r="CI167" s="180"/>
      <c r="CJ167" s="180"/>
      <c r="CK167" s="180"/>
      <c r="CL167" s="180"/>
      <c r="CM167" s="180"/>
      <c r="CN167" s="180"/>
      <c r="CO167" s="180"/>
      <c r="CP167" s="180"/>
      <c r="CQ167" s="180"/>
      <c r="CR167" s="180"/>
      <c r="CS167" s="180"/>
      <c r="CT167" s="180"/>
      <c r="CU167" s="180"/>
      <c r="CV167" s="180"/>
      <c r="CW167" s="180"/>
      <c r="CX167" s="180"/>
      <c r="CY167" s="180"/>
      <c r="CZ167" s="180"/>
      <c r="DA167" s="180"/>
      <c r="DB167" s="180"/>
      <c r="DC167" s="180"/>
      <c r="DD167" s="180"/>
      <c r="DE167" s="180"/>
      <c r="DF167" s="180"/>
      <c r="DG167" s="180"/>
      <c r="DH167" s="180"/>
      <c r="DI167" s="180"/>
      <c r="DJ167" s="180"/>
      <c r="DK167" s="180"/>
      <c r="DL167" s="180"/>
      <c r="DM167" s="180"/>
      <c r="DN167" s="180"/>
      <c r="DO167" s="180"/>
      <c r="DP167" s="180"/>
      <c r="DQ167" s="180"/>
      <c r="DR167" s="180"/>
      <c r="DS167" s="180"/>
    </row>
    <row r="168" spans="1:123" ht="71.25" customHeight="1" x14ac:dyDescent="0.3">
      <c r="A168" s="793">
        <v>1060</v>
      </c>
      <c r="B168" s="375" t="s">
        <v>1524</v>
      </c>
      <c r="C168" s="411"/>
      <c r="D168" s="794" t="s">
        <v>1545</v>
      </c>
      <c r="E168" s="373" t="e">
        <f>INDEX('PY1 Data(H)'!$A$1:$CZ$265,MATCH('Unit Data from Audit Worksheet'!$A168,'PY1 Data(H)'!$A$1:$A$258,0),MATCH('Unit Data from Audit Worksheet'!$D$2,'PY1 Data(H)'!$A$1:$CZ$1,0))</f>
        <v>#N/A</v>
      </c>
      <c r="F168" s="816">
        <v>0</v>
      </c>
      <c r="G168" s="403"/>
      <c r="H168" s="17"/>
      <c r="I168" s="72"/>
      <c r="J168" s="72"/>
      <c r="K168" s="180"/>
      <c r="L168" s="550"/>
      <c r="M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80"/>
      <c r="BA168" s="180"/>
      <c r="BB168" s="180"/>
      <c r="BC168" s="180"/>
      <c r="BD168" s="180"/>
      <c r="BE168" s="180"/>
      <c r="BF168" s="180"/>
      <c r="BG168" s="180"/>
      <c r="BH168" s="180"/>
      <c r="BI168" s="180"/>
      <c r="BJ168" s="180"/>
      <c r="BK168" s="180"/>
      <c r="BL168" s="180"/>
      <c r="BM168" s="180"/>
      <c r="BN168" s="180"/>
      <c r="BO168" s="180"/>
      <c r="BP168" s="180"/>
      <c r="BQ168" s="180"/>
      <c r="BR168" s="180"/>
      <c r="BS168" s="180"/>
      <c r="BT168" s="180"/>
      <c r="BU168" s="180"/>
      <c r="BV168" s="180"/>
      <c r="BW168" s="180"/>
      <c r="BX168" s="180"/>
      <c r="BY168" s="180"/>
      <c r="BZ168" s="180"/>
      <c r="CA168" s="180"/>
      <c r="CB168" s="180"/>
      <c r="CC168" s="180"/>
      <c r="CD168" s="180"/>
      <c r="CE168" s="180"/>
      <c r="CF168" s="180"/>
      <c r="CG168" s="180"/>
      <c r="CH168" s="180"/>
      <c r="CI168" s="180"/>
      <c r="CJ168" s="180"/>
      <c r="CK168" s="180"/>
      <c r="CL168" s="180"/>
      <c r="CM168" s="180"/>
      <c r="CN168" s="180"/>
      <c r="CO168" s="180"/>
      <c r="CP168" s="180"/>
      <c r="CQ168" s="180"/>
      <c r="CR168" s="180"/>
      <c r="CS168" s="180"/>
      <c r="CT168" s="180"/>
      <c r="CU168" s="180"/>
      <c r="CV168" s="180"/>
      <c r="CW168" s="180"/>
      <c r="CX168" s="180"/>
      <c r="CY168" s="180"/>
      <c r="CZ168" s="180"/>
      <c r="DA168" s="180"/>
      <c r="DB168" s="180"/>
      <c r="DC168" s="180"/>
      <c r="DD168" s="180"/>
      <c r="DE168" s="180"/>
      <c r="DF168" s="180"/>
      <c r="DG168" s="180"/>
      <c r="DH168" s="180"/>
      <c r="DI168" s="180"/>
      <c r="DJ168" s="180"/>
      <c r="DK168" s="180"/>
      <c r="DL168" s="180"/>
      <c r="DM168" s="180"/>
      <c r="DN168" s="180"/>
      <c r="DO168" s="180"/>
      <c r="DP168" s="180"/>
      <c r="DQ168" s="180"/>
      <c r="DR168" s="180"/>
      <c r="DS168" s="180"/>
    </row>
    <row r="169" spans="1:123" ht="71.25" customHeight="1" x14ac:dyDescent="0.3">
      <c r="A169" s="793">
        <v>1061</v>
      </c>
      <c r="B169" s="375" t="s">
        <v>1524</v>
      </c>
      <c r="C169" s="411"/>
      <c r="D169" s="794" t="s">
        <v>1546</v>
      </c>
      <c r="E169" s="373" t="e">
        <f>INDEX('PY1 Data(H)'!$A$1:$CZ$265,MATCH('Unit Data from Audit Worksheet'!$A169,'PY1 Data(H)'!$A$1:$A$258,0),MATCH('Unit Data from Audit Worksheet'!$D$2,'PY1 Data(H)'!$A$1:$CZ$1,0))</f>
        <v>#N/A</v>
      </c>
      <c r="F169" s="816">
        <v>0</v>
      </c>
      <c r="G169" s="403"/>
      <c r="H169" s="17"/>
      <c r="I169" s="72"/>
      <c r="J169" s="72"/>
      <c r="K169" s="180"/>
      <c r="L169" s="550"/>
      <c r="M169" s="180"/>
      <c r="Z169" s="180"/>
      <c r="AA169" s="180"/>
      <c r="AB169" s="180"/>
      <c r="AC169" s="180"/>
      <c r="AD169" s="180"/>
      <c r="AE169" s="180"/>
      <c r="AF169" s="180"/>
      <c r="AG169" s="180"/>
      <c r="AH169" s="180"/>
      <c r="AI169" s="180"/>
      <c r="AJ169" s="180"/>
      <c r="AK169" s="180"/>
      <c r="AL169" s="180"/>
      <c r="AM169" s="180"/>
      <c r="AN169" s="180"/>
      <c r="AO169" s="180"/>
      <c r="AP169" s="180"/>
      <c r="AQ169" s="180"/>
      <c r="AR169" s="180"/>
      <c r="AS169" s="180"/>
      <c r="AT169" s="180"/>
      <c r="AU169" s="180"/>
      <c r="AV169" s="180"/>
      <c r="AW169" s="180"/>
      <c r="AX169" s="180"/>
      <c r="AY169" s="180"/>
      <c r="AZ169" s="180"/>
      <c r="BA169" s="180"/>
      <c r="BB169" s="180"/>
      <c r="BC169" s="180"/>
      <c r="BD169" s="180"/>
      <c r="BE169" s="180"/>
      <c r="BF169" s="180"/>
      <c r="BG169" s="180"/>
      <c r="BH169" s="180"/>
      <c r="BI169" s="180"/>
      <c r="BJ169" s="180"/>
      <c r="BK169" s="180"/>
      <c r="BL169" s="180"/>
      <c r="BM169" s="180"/>
      <c r="BN169" s="180"/>
      <c r="BO169" s="180"/>
      <c r="BP169" s="180"/>
      <c r="BQ169" s="180"/>
      <c r="BR169" s="180"/>
      <c r="BS169" s="180"/>
      <c r="BT169" s="180"/>
      <c r="BU169" s="180"/>
      <c r="BV169" s="180"/>
      <c r="BW169" s="180"/>
      <c r="BX169" s="180"/>
      <c r="BY169" s="180"/>
      <c r="BZ169" s="180"/>
      <c r="CA169" s="180"/>
      <c r="CB169" s="180"/>
      <c r="CC169" s="180"/>
      <c r="CD169" s="180"/>
      <c r="CE169" s="180"/>
      <c r="CF169" s="180"/>
      <c r="CG169" s="180"/>
      <c r="CH169" s="180"/>
      <c r="CI169" s="180"/>
      <c r="CJ169" s="180"/>
      <c r="CK169" s="180"/>
      <c r="CL169" s="180"/>
      <c r="CM169" s="180"/>
      <c r="CN169" s="180"/>
      <c r="CO169" s="180"/>
      <c r="CP169" s="180"/>
      <c r="CQ169" s="180"/>
      <c r="CR169" s="180"/>
      <c r="CS169" s="180"/>
      <c r="CT169" s="180"/>
      <c r="CU169" s="180"/>
      <c r="CV169" s="180"/>
      <c r="CW169" s="180"/>
      <c r="CX169" s="180"/>
      <c r="CY169" s="180"/>
      <c r="CZ169" s="180"/>
      <c r="DA169" s="180"/>
      <c r="DB169" s="180"/>
      <c r="DC169" s="180"/>
      <c r="DD169" s="180"/>
      <c r="DE169" s="180"/>
      <c r="DF169" s="180"/>
      <c r="DG169" s="180"/>
      <c r="DH169" s="180"/>
      <c r="DI169" s="180"/>
      <c r="DJ169" s="180"/>
      <c r="DK169" s="180"/>
      <c r="DL169" s="180"/>
      <c r="DM169" s="180"/>
      <c r="DN169" s="180"/>
      <c r="DO169" s="180"/>
      <c r="DP169" s="180"/>
      <c r="DQ169" s="180"/>
      <c r="DR169" s="180"/>
      <c r="DS169" s="180"/>
    </row>
    <row r="170" spans="1:123" ht="98.4" customHeight="1" x14ac:dyDescent="0.3">
      <c r="A170" s="793">
        <v>1062</v>
      </c>
      <c r="B170" s="375" t="s">
        <v>1524</v>
      </c>
      <c r="C170" s="411"/>
      <c r="D170" s="794" t="s">
        <v>1952</v>
      </c>
      <c r="E170" s="373" t="e">
        <f>INDEX('PY1 Data(H)'!$A$1:$CZ$265,MATCH('Unit Data from Audit Worksheet'!$A170,'PY1 Data(H)'!$A$1:$A$258,0),MATCH('Unit Data from Audit Worksheet'!$D$2,'PY1 Data(H)'!$A$1:$CZ$1,0))</f>
        <v>#N/A</v>
      </c>
      <c r="F170" s="185"/>
      <c r="G170" s="403"/>
      <c r="H170" s="17"/>
      <c r="I170" s="72"/>
      <c r="J170" s="72"/>
      <c r="K170" s="180"/>
      <c r="L170" s="550"/>
      <c r="M170" s="180"/>
      <c r="Z170" s="180"/>
      <c r="AA170" s="180"/>
      <c r="AB170" s="180"/>
      <c r="AC170" s="180"/>
      <c r="AD170" s="180"/>
      <c r="AE170" s="180"/>
      <c r="AF170" s="180"/>
      <c r="AG170" s="180"/>
      <c r="AH170" s="180"/>
      <c r="AI170" s="180"/>
      <c r="AJ170" s="180"/>
      <c r="AK170" s="180"/>
      <c r="AL170" s="180"/>
      <c r="AM170" s="180"/>
      <c r="AN170" s="180"/>
      <c r="AO170" s="180"/>
      <c r="AP170" s="180"/>
      <c r="AQ170" s="180"/>
      <c r="AR170" s="180"/>
      <c r="AS170" s="180"/>
      <c r="AT170" s="180"/>
      <c r="AU170" s="180"/>
      <c r="AV170" s="180"/>
      <c r="AW170" s="180"/>
      <c r="AX170" s="180"/>
      <c r="AY170" s="180"/>
      <c r="AZ170" s="180"/>
      <c r="BA170" s="180"/>
      <c r="BB170" s="180"/>
      <c r="BC170" s="180"/>
      <c r="BD170" s="180"/>
      <c r="BE170" s="180"/>
      <c r="BF170" s="180"/>
      <c r="BG170" s="180"/>
      <c r="BH170" s="180"/>
      <c r="BI170" s="180"/>
      <c r="BJ170" s="180"/>
      <c r="BK170" s="180"/>
      <c r="BL170" s="180"/>
      <c r="BM170" s="180"/>
      <c r="BN170" s="180"/>
      <c r="BO170" s="180"/>
      <c r="BP170" s="180"/>
      <c r="BQ170" s="180"/>
      <c r="BR170" s="180"/>
      <c r="BS170" s="180"/>
      <c r="BT170" s="180"/>
      <c r="BU170" s="180"/>
      <c r="BV170" s="180"/>
      <c r="BW170" s="180"/>
      <c r="BX170" s="180"/>
      <c r="BY170" s="180"/>
      <c r="BZ170" s="180"/>
      <c r="CA170" s="180"/>
      <c r="CB170" s="180"/>
      <c r="CC170" s="180"/>
      <c r="CD170" s="180"/>
      <c r="CE170" s="180"/>
      <c r="CF170" s="180"/>
      <c r="CG170" s="180"/>
      <c r="CH170" s="180"/>
      <c r="CI170" s="180"/>
      <c r="CJ170" s="180"/>
      <c r="CK170" s="180"/>
      <c r="CL170" s="180"/>
      <c r="CM170" s="180"/>
      <c r="CN170" s="180"/>
      <c r="CO170" s="180"/>
      <c r="CP170" s="180"/>
      <c r="CQ170" s="180"/>
      <c r="CR170" s="180"/>
      <c r="CS170" s="180"/>
      <c r="CT170" s="180"/>
      <c r="CU170" s="180"/>
      <c r="CV170" s="180"/>
      <c r="CW170" s="180"/>
      <c r="CX170" s="180"/>
      <c r="CY170" s="180"/>
      <c r="CZ170" s="180"/>
      <c r="DA170" s="180"/>
      <c r="DB170" s="180"/>
      <c r="DC170" s="180"/>
      <c r="DD170" s="180"/>
      <c r="DE170" s="180"/>
      <c r="DF170" s="180"/>
      <c r="DG170" s="180"/>
      <c r="DH170" s="180"/>
      <c r="DI170" s="180"/>
      <c r="DJ170" s="180"/>
      <c r="DK170" s="180"/>
      <c r="DL170" s="180"/>
      <c r="DM170" s="180"/>
      <c r="DN170" s="180"/>
      <c r="DO170" s="180"/>
      <c r="DP170" s="180"/>
      <c r="DQ170" s="180"/>
      <c r="DR170" s="180"/>
      <c r="DS170" s="180"/>
    </row>
    <row r="171" spans="1:123" ht="71.25" customHeight="1" x14ac:dyDescent="0.3">
      <c r="A171" s="793">
        <v>1063</v>
      </c>
      <c r="B171" s="375" t="s">
        <v>1524</v>
      </c>
      <c r="C171" s="411"/>
      <c r="D171" s="794" t="s">
        <v>1953</v>
      </c>
      <c r="E171" s="373" t="e">
        <f>INDEX('PY1 Data(H)'!$A$1:$CZ$265,MATCH('Unit Data from Audit Worksheet'!$A171,'PY1 Data(H)'!$A$1:$A$258,0),MATCH('Unit Data from Audit Worksheet'!$D$2,'PY1 Data(H)'!$A$1:$CZ$1,0))</f>
        <v>#N/A</v>
      </c>
      <c r="F171" s="185"/>
      <c r="G171" s="403"/>
      <c r="H171" s="17"/>
      <c r="I171" s="72"/>
      <c r="J171" s="72"/>
      <c r="K171" s="180"/>
      <c r="L171" s="550"/>
      <c r="M171" s="180"/>
      <c r="Z171" s="180"/>
      <c r="AA171" s="180"/>
      <c r="AB171" s="180"/>
      <c r="AC171" s="180"/>
      <c r="AD171" s="180"/>
      <c r="AE171" s="180"/>
      <c r="AF171" s="180"/>
      <c r="AG171" s="180"/>
      <c r="AH171" s="180"/>
      <c r="AI171" s="180"/>
      <c r="AJ171" s="180"/>
      <c r="AK171" s="180"/>
      <c r="AL171" s="180"/>
      <c r="AM171" s="180"/>
      <c r="AN171" s="180"/>
      <c r="AO171" s="180"/>
      <c r="AP171" s="180"/>
      <c r="AQ171" s="180"/>
      <c r="AR171" s="180"/>
      <c r="AS171" s="180"/>
      <c r="AT171" s="180"/>
      <c r="AU171" s="180"/>
      <c r="AV171" s="180"/>
      <c r="AW171" s="180"/>
      <c r="AX171" s="180"/>
      <c r="AY171" s="180"/>
      <c r="AZ171" s="180"/>
      <c r="BA171" s="180"/>
      <c r="BB171" s="180"/>
      <c r="BC171" s="180"/>
      <c r="BD171" s="180"/>
      <c r="BE171" s="180"/>
      <c r="BF171" s="180"/>
      <c r="BG171" s="180"/>
      <c r="BH171" s="180"/>
      <c r="BI171" s="180"/>
      <c r="BJ171" s="180"/>
      <c r="BK171" s="180"/>
      <c r="BL171" s="180"/>
      <c r="BM171" s="180"/>
      <c r="BN171" s="180"/>
      <c r="BO171" s="180"/>
      <c r="BP171" s="180"/>
      <c r="BQ171" s="180"/>
      <c r="BR171" s="180"/>
      <c r="BS171" s="180"/>
      <c r="BT171" s="180"/>
      <c r="BU171" s="180"/>
      <c r="BV171" s="180"/>
      <c r="BW171" s="180"/>
      <c r="BX171" s="180"/>
      <c r="BY171" s="180"/>
      <c r="BZ171" s="180"/>
      <c r="CA171" s="180"/>
      <c r="CB171" s="180"/>
      <c r="CC171" s="180"/>
      <c r="CD171" s="180"/>
      <c r="CE171" s="180"/>
      <c r="CF171" s="180"/>
      <c r="CG171" s="180"/>
      <c r="CH171" s="180"/>
      <c r="CI171" s="180"/>
      <c r="CJ171" s="180"/>
      <c r="CK171" s="180"/>
      <c r="CL171" s="180"/>
      <c r="CM171" s="180"/>
      <c r="CN171" s="180"/>
      <c r="CO171" s="180"/>
      <c r="CP171" s="180"/>
      <c r="CQ171" s="180"/>
      <c r="CR171" s="180"/>
      <c r="CS171" s="180"/>
      <c r="CT171" s="180"/>
      <c r="CU171" s="180"/>
      <c r="CV171" s="180"/>
      <c r="CW171" s="180"/>
      <c r="CX171" s="180"/>
      <c r="CY171" s="180"/>
      <c r="CZ171" s="180"/>
      <c r="DA171" s="180"/>
      <c r="DB171" s="180"/>
      <c r="DC171" s="180"/>
      <c r="DD171" s="180"/>
      <c r="DE171" s="180"/>
      <c r="DF171" s="180"/>
      <c r="DG171" s="180"/>
      <c r="DH171" s="180"/>
      <c r="DI171" s="180"/>
      <c r="DJ171" s="180"/>
      <c r="DK171" s="180"/>
      <c r="DL171" s="180"/>
      <c r="DM171" s="180"/>
      <c r="DN171" s="180"/>
      <c r="DO171" s="180"/>
      <c r="DP171" s="180"/>
      <c r="DQ171" s="180"/>
      <c r="DR171" s="180"/>
      <c r="DS171" s="180"/>
    </row>
    <row r="172" spans="1:123" x14ac:dyDescent="0.3">
      <c r="A172" s="100"/>
      <c r="B172" s="716" t="s">
        <v>70</v>
      </c>
      <c r="C172" s="502"/>
      <c r="D172" s="470"/>
      <c r="E172" s="500"/>
      <c r="F172" s="500"/>
      <c r="G172" s="487"/>
      <c r="H172" s="17"/>
      <c r="I172" s="72"/>
      <c r="J172" s="72"/>
      <c r="K172"/>
      <c r="L172" s="550"/>
    </row>
    <row r="173" spans="1:123" ht="90.6" customHeight="1" x14ac:dyDescent="0.3">
      <c r="A173" s="100">
        <v>512</v>
      </c>
      <c r="B173" s="279"/>
      <c r="C173" s="465" t="s">
        <v>157</v>
      </c>
      <c r="D173" s="21" t="s">
        <v>758</v>
      </c>
      <c r="E173" s="373" t="e">
        <f>INDEX('PY1 Data(H)'!$A$1:$CZ$265,MATCH('Unit Data from Audit Worksheet'!$A173,'PY1 Data(H)'!$A$1:$A$258,0),MATCH('Unit Data from Audit Worksheet'!$D$2,'PY1 Data(H)'!$A$1:$CZ$1,0))</f>
        <v>#N/A</v>
      </c>
      <c r="F173" s="816">
        <v>0</v>
      </c>
      <c r="G173" s="403">
        <f>IF(F173&lt;0,"Error: Enter as positive.",)</f>
        <v>0</v>
      </c>
      <c r="H173" s="17"/>
      <c r="I173" s="72"/>
      <c r="J173" s="72"/>
      <c r="K173"/>
      <c r="L173" s="550"/>
    </row>
    <row r="174" spans="1:123" x14ac:dyDescent="0.3">
      <c r="A174" s="100"/>
      <c r="B174" s="492" t="s">
        <v>417</v>
      </c>
      <c r="C174" s="502"/>
      <c r="D174" s="495"/>
      <c r="E174" s="500"/>
      <c r="F174" s="500"/>
      <c r="G174" s="487"/>
      <c r="H174" s="404"/>
      <c r="I174" s="405"/>
      <c r="J174" s="405"/>
      <c r="K174"/>
      <c r="L174" s="550"/>
    </row>
    <row r="175" spans="1:123" ht="59.25" customHeight="1" x14ac:dyDescent="0.3">
      <c r="A175" s="191">
        <v>656</v>
      </c>
      <c r="B175" s="191"/>
      <c r="C175" s="191"/>
      <c r="D175" s="753" t="s">
        <v>1623</v>
      </c>
      <c r="E175" s="373" t="e">
        <f>INDEX('PY1 Data(H)'!$A$1:$CZ$265,MATCH('Unit Data from Audit Worksheet'!$A175,'PY1 Data(H)'!$A$1:$A$258,0),MATCH('Unit Data from Audit Worksheet'!$D$2,'PY1 Data(H)'!$A$1:$CZ$1,0))</f>
        <v>#N/A</v>
      </c>
      <c r="F175" s="816"/>
      <c r="G175" s="403"/>
      <c r="H175" s="17"/>
      <c r="I175" s="72"/>
      <c r="J175" s="72"/>
      <c r="K175"/>
      <c r="L175" s="550"/>
    </row>
    <row r="176" spans="1:123" x14ac:dyDescent="0.3">
      <c r="A176" s="100"/>
      <c r="B176" s="492" t="s">
        <v>288</v>
      </c>
      <c r="C176" s="502"/>
      <c r="D176" s="495"/>
      <c r="E176" s="500"/>
      <c r="F176" s="500"/>
      <c r="G176" s="487"/>
      <c r="H176" s="404"/>
      <c r="I176" s="405"/>
      <c r="J176" s="405"/>
      <c r="K176"/>
      <c r="L176" s="550"/>
    </row>
    <row r="177" spans="1:12" ht="106.95" customHeight="1" x14ac:dyDescent="0.3">
      <c r="A177" s="100">
        <v>535</v>
      </c>
      <c r="B177" s="375" t="s">
        <v>54</v>
      </c>
      <c r="C177" s="375" t="s">
        <v>158</v>
      </c>
      <c r="D177" s="21" t="s">
        <v>759</v>
      </c>
      <c r="E177" s="373" t="e">
        <f>INDEX('PY1 Data(H)'!$A$1:$CZ$265,MATCH('Unit Data from Audit Worksheet'!$A177,'PY1 Data(H)'!$A$1:$A$258,0),MATCH('Unit Data from Audit Worksheet'!$D$2,'PY1 Data(H)'!$A$1:$CZ$1,0))</f>
        <v>#N/A</v>
      </c>
      <c r="F177" s="816">
        <v>0</v>
      </c>
      <c r="G177" s="766" t="str">
        <f>IF(F177&lt;1,"Reminder: Please make sure you have entered all cash and investments from bond/Debt proceeds, if applicable.",)</f>
        <v>Reminder: Please make sure you have entered all cash and investments from bond/Debt proceeds, if applicable.</v>
      </c>
      <c r="H177" s="404"/>
      <c r="I177" s="405"/>
      <c r="J177" s="405"/>
      <c r="K177"/>
      <c r="L177" s="550"/>
    </row>
    <row r="178" spans="1:12" x14ac:dyDescent="0.3">
      <c r="A178" s="100"/>
      <c r="B178" s="492" t="s">
        <v>29</v>
      </c>
      <c r="C178" s="502"/>
      <c r="D178" s="471"/>
      <c r="E178" s="497"/>
      <c r="F178" s="497"/>
      <c r="G178" s="489"/>
      <c r="H178" s="17"/>
      <c r="I178" s="72"/>
      <c r="J178" s="72"/>
      <c r="K178"/>
      <c r="L178" s="550"/>
    </row>
    <row r="179" spans="1:12" x14ac:dyDescent="0.3">
      <c r="A179" s="100"/>
      <c r="B179" s="279"/>
      <c r="C179" s="279"/>
      <c r="D179" s="417" t="s">
        <v>2</v>
      </c>
      <c r="E179" s="373"/>
      <c r="F179" s="154"/>
      <c r="G179" s="409"/>
      <c r="H179" s="17"/>
      <c r="I179" s="72"/>
      <c r="J179" s="72"/>
      <c r="K179"/>
      <c r="L179" s="550"/>
    </row>
    <row r="180" spans="1:12" ht="36" customHeight="1" x14ac:dyDescent="0.3">
      <c r="A180" s="100"/>
      <c r="B180" s="279"/>
      <c r="C180" s="279"/>
      <c r="D180" s="374" t="s">
        <v>760</v>
      </c>
      <c r="E180" s="373"/>
      <c r="F180" s="154"/>
      <c r="G180" s="409"/>
      <c r="H180" s="17"/>
      <c r="I180" s="72"/>
      <c r="J180" s="72"/>
      <c r="K180"/>
      <c r="L180" s="550"/>
    </row>
    <row r="181" spans="1:12" ht="51" customHeight="1" x14ac:dyDescent="0.3">
      <c r="A181" s="100">
        <v>334</v>
      </c>
      <c r="B181" s="4" t="s">
        <v>55</v>
      </c>
      <c r="C181" s="4" t="s">
        <v>165</v>
      </c>
      <c r="D181" s="21" t="s">
        <v>761</v>
      </c>
      <c r="E181" s="373" t="e">
        <f>INDEX('PY1 Data(H)'!$A$1:$CZ$265,MATCH('Unit Data from Audit Worksheet'!$A181,'PY1 Data(H)'!$A$1:$A$258,0),MATCH('Unit Data from Audit Worksheet'!$D$2,'PY1 Data(H)'!$A$1:$CZ$1,0))</f>
        <v>#N/A</v>
      </c>
      <c r="F181" s="816">
        <v>0</v>
      </c>
      <c r="G181" s="409"/>
      <c r="H181" s="17"/>
      <c r="I181" s="72"/>
      <c r="J181" s="72"/>
      <c r="K181"/>
      <c r="L181" s="550"/>
    </row>
    <row r="182" spans="1:12" ht="45.6" customHeight="1" x14ac:dyDescent="0.3">
      <c r="A182" s="100">
        <v>373</v>
      </c>
      <c r="B182" s="4" t="s">
        <v>55</v>
      </c>
      <c r="C182" s="4" t="s">
        <v>165</v>
      </c>
      <c r="D182" s="26" t="s">
        <v>164</v>
      </c>
      <c r="E182" s="373" t="e">
        <f>INDEX('PY1 Data(H)'!$A$1:$CZ$265,MATCH('Unit Data from Audit Worksheet'!$A182,'PY1 Data(H)'!$A$1:$A$258,0),MATCH('Unit Data from Audit Worksheet'!$D$2,'PY1 Data(H)'!$A$1:$CZ$1,0))</f>
        <v>#N/A</v>
      </c>
      <c r="F182" s="816">
        <v>0</v>
      </c>
      <c r="G182" s="403">
        <f>IF(F182&lt;0,"Error: Enter as positive.",)</f>
        <v>0</v>
      </c>
      <c r="H182" s="17"/>
      <c r="I182" s="72"/>
      <c r="J182" s="72"/>
      <c r="K182"/>
      <c r="L182" s="550"/>
    </row>
    <row r="183" spans="1:12" ht="92.25" customHeight="1" x14ac:dyDescent="0.3">
      <c r="A183" s="100">
        <v>987</v>
      </c>
      <c r="B183" s="375" t="s">
        <v>587</v>
      </c>
      <c r="C183" s="375"/>
      <c r="D183" s="21" t="s">
        <v>648</v>
      </c>
      <c r="E183" s="373" t="e">
        <f>INDEX('PY1 Data(H)'!$A$1:$CZ$265,MATCH('Unit Data from Audit Worksheet'!$A183,'PY1 Data(H)'!$A$1:$A$258,0),MATCH('Unit Data from Audit Worksheet'!$D$2,'PY1 Data(H)'!$A$1:$CZ$1,0))</f>
        <v>#N/A</v>
      </c>
      <c r="F183" s="816">
        <v>0</v>
      </c>
      <c r="G183" s="418" t="str">
        <f>IF(F183="","If this question is not applicable please place a zero in the cell to the left","")</f>
        <v/>
      </c>
      <c r="H183" s="386"/>
      <c r="I183" s="72"/>
      <c r="J183" s="72"/>
      <c r="K183"/>
      <c r="L183" s="550"/>
    </row>
    <row r="184" spans="1:12" ht="66.75" customHeight="1" x14ac:dyDescent="0.3">
      <c r="A184" s="100">
        <v>988</v>
      </c>
      <c r="B184" s="375" t="s">
        <v>587</v>
      </c>
      <c r="C184" s="375"/>
      <c r="D184" s="21" t="s">
        <v>647</v>
      </c>
      <c r="E184" s="373" t="e">
        <f>INDEX('PY1 Data(H)'!$A$1:$CZ$265,MATCH('Unit Data from Audit Worksheet'!$A184,'PY1 Data(H)'!$A$1:$A$258,0),MATCH('Unit Data from Audit Worksheet'!$D$2,'PY1 Data(H)'!$A$1:$CZ$1,0))</f>
        <v>#N/A</v>
      </c>
      <c r="F184" s="186"/>
      <c r="G184" s="403"/>
      <c r="H184" s="17"/>
      <c r="I184" s="72"/>
      <c r="J184" s="72"/>
      <c r="K184"/>
      <c r="L184" s="550"/>
    </row>
    <row r="185" spans="1:12" ht="90" customHeight="1" x14ac:dyDescent="0.3">
      <c r="A185" s="100">
        <v>989</v>
      </c>
      <c r="B185" s="375" t="s">
        <v>587</v>
      </c>
      <c r="C185" s="375"/>
      <c r="D185" s="21" t="s">
        <v>806</v>
      </c>
      <c r="E185" s="373" t="e">
        <f>INDEX('PY1 Data(H)'!$A$1:$CZ$265,MATCH('Unit Data from Audit Worksheet'!$A185,'PY1 Data(H)'!$A$1:$A$258,0),MATCH('Unit Data from Audit Worksheet'!$D$2,'PY1 Data(H)'!$A$1:$CZ$1,0))</f>
        <v>#N/A</v>
      </c>
      <c r="F185" s="186"/>
      <c r="G185" s="403"/>
      <c r="H185" s="17"/>
      <c r="I185" s="72"/>
      <c r="J185" s="72"/>
      <c r="K185"/>
      <c r="L185" s="550"/>
    </row>
    <row r="186" spans="1:12" ht="72" x14ac:dyDescent="0.3">
      <c r="A186" s="100"/>
      <c r="B186" s="502"/>
      <c r="C186" s="502"/>
      <c r="D186" s="503" t="s">
        <v>1636</v>
      </c>
      <c r="E186" s="505"/>
      <c r="F186" s="505"/>
      <c r="G186" s="506"/>
      <c r="H186" s="17"/>
      <c r="I186" s="72"/>
      <c r="J186" s="72"/>
      <c r="K186"/>
      <c r="L186" s="550"/>
    </row>
    <row r="187" spans="1:12" ht="33.6" customHeight="1" x14ac:dyDescent="0.3">
      <c r="A187" s="100"/>
      <c r="B187" s="279"/>
      <c r="C187" s="279"/>
      <c r="D187" s="419" t="s">
        <v>2738</v>
      </c>
      <c r="E187" s="373"/>
      <c r="F187" s="245"/>
      <c r="G187" s="409"/>
      <c r="H187" s="17"/>
      <c r="I187" s="72"/>
      <c r="J187" s="72"/>
      <c r="K187"/>
      <c r="L187" s="550"/>
    </row>
    <row r="188" spans="1:12" ht="48.75" customHeight="1" x14ac:dyDescent="0.3">
      <c r="A188" s="100"/>
      <c r="B188" s="279"/>
      <c r="C188" s="279"/>
      <c r="D188" s="21" t="s">
        <v>762</v>
      </c>
      <c r="E188" s="373"/>
      <c r="F188" s="245"/>
      <c r="G188" s="409"/>
      <c r="H188" s="17"/>
      <c r="I188" s="72"/>
      <c r="J188" s="72"/>
      <c r="K188"/>
      <c r="L188" s="550"/>
    </row>
    <row r="189" spans="1:12" ht="51.75" customHeight="1" x14ac:dyDescent="0.3">
      <c r="A189" s="100">
        <v>327</v>
      </c>
      <c r="B189" s="375" t="s">
        <v>36</v>
      </c>
      <c r="C189" s="375" t="s">
        <v>166</v>
      </c>
      <c r="D189" s="420" t="s">
        <v>763</v>
      </c>
      <c r="E189" s="373" t="e">
        <f>INDEX('PY1 Data(H)'!$A$1:$CZ$265,MATCH('Unit Data from Audit Worksheet'!$A189,'PY1 Data(H)'!$A$1:$A$258,0),MATCH('Unit Data from Audit Worksheet'!$D$2,'PY1 Data(H)'!$A$1:$CZ$1,0))</f>
        <v>#N/A</v>
      </c>
      <c r="F189" s="816">
        <v>0</v>
      </c>
      <c r="G189" s="409"/>
      <c r="H189" s="17"/>
      <c r="I189" s="405"/>
      <c r="J189" s="405"/>
      <c r="K189"/>
      <c r="L189" s="550"/>
    </row>
    <row r="190" spans="1:12" ht="51.75" customHeight="1" x14ac:dyDescent="0.3">
      <c r="A190" s="100">
        <v>328</v>
      </c>
      <c r="B190" s="375" t="s">
        <v>36</v>
      </c>
      <c r="C190" s="375" t="s">
        <v>166</v>
      </c>
      <c r="D190" s="27" t="s">
        <v>7</v>
      </c>
      <c r="E190" s="373" t="e">
        <f>INDEX('PY1 Data(H)'!$A$1:$CZ$265,MATCH('Unit Data from Audit Worksheet'!$A190,'PY1 Data(H)'!$A$1:$A$258,0),MATCH('Unit Data from Audit Worksheet'!$D$2,'PY1 Data(H)'!$A$1:$CZ$1,0))</f>
        <v>#N/A</v>
      </c>
      <c r="F190" s="816">
        <v>0</v>
      </c>
      <c r="G190" s="409"/>
      <c r="H190" s="17"/>
      <c r="I190" s="405"/>
      <c r="J190" s="405"/>
      <c r="K190"/>
      <c r="L190" s="550"/>
    </row>
    <row r="191" spans="1:12" ht="42" customHeight="1" x14ac:dyDescent="0.3">
      <c r="A191" s="100"/>
      <c r="B191" s="279"/>
      <c r="C191" s="279"/>
      <c r="D191" s="28" t="s">
        <v>764</v>
      </c>
      <c r="E191" s="93" t="e">
        <f>E189+E190</f>
        <v>#N/A</v>
      </c>
      <c r="F191" s="93">
        <f>SUM(F189:F190)</f>
        <v>0</v>
      </c>
      <c r="G191" s="409"/>
      <c r="H191" s="17"/>
      <c r="I191" s="72"/>
      <c r="J191" s="72"/>
      <c r="K191"/>
      <c r="L191" s="550"/>
    </row>
    <row r="192" spans="1:12" ht="28.8" x14ac:dyDescent="0.3">
      <c r="A192" s="100"/>
      <c r="B192" s="279"/>
      <c r="C192" s="279"/>
      <c r="D192" s="21" t="s">
        <v>765</v>
      </c>
      <c r="E192" s="1"/>
      <c r="F192" s="245"/>
      <c r="G192" s="409"/>
      <c r="H192" s="17"/>
      <c r="I192" s="72"/>
      <c r="J192" s="72"/>
      <c r="K192"/>
      <c r="L192" s="550"/>
    </row>
    <row r="193" spans="1:20" ht="24" customHeight="1" x14ac:dyDescent="0.3">
      <c r="A193" s="100"/>
      <c r="B193" s="279"/>
      <c r="C193" s="279"/>
      <c r="D193" s="25" t="s">
        <v>9</v>
      </c>
      <c r="F193" s="421"/>
      <c r="G193" s="409"/>
      <c r="H193" s="17"/>
      <c r="I193" s="72"/>
      <c r="J193" s="72"/>
      <c r="K193"/>
      <c r="L193" s="550"/>
    </row>
    <row r="194" spans="1:20" ht="72" customHeight="1" x14ac:dyDescent="0.3">
      <c r="A194" s="100">
        <v>515</v>
      </c>
      <c r="B194" s="976" t="s">
        <v>1964</v>
      </c>
      <c r="C194" s="375" t="s">
        <v>167</v>
      </c>
      <c r="D194" s="29" t="s">
        <v>3</v>
      </c>
      <c r="E194" s="373" t="e">
        <f>INDEX('PY1 Data(H)'!$A$1:$CZ$265,MATCH('Unit Data from Audit Worksheet'!$A194,'PY1 Data(H)'!$A$1:$A$258,0),MATCH('Unit Data from Audit Worksheet'!$D$2,'PY1 Data(H)'!$A$1:$CZ$1,0))</f>
        <v>#N/A</v>
      </c>
      <c r="F194" s="816">
        <v>0</v>
      </c>
      <c r="G194" s="403"/>
      <c r="H194" s="17"/>
      <c r="I194" s="72"/>
      <c r="J194" s="72"/>
      <c r="K194"/>
      <c r="L194" s="550"/>
    </row>
    <row r="195" spans="1:20" ht="75.599999999999994" customHeight="1" x14ac:dyDescent="0.3">
      <c r="A195" s="100">
        <v>516</v>
      </c>
      <c r="B195" s="976" t="s">
        <v>1964</v>
      </c>
      <c r="C195" s="375" t="s">
        <v>167</v>
      </c>
      <c r="D195" s="29" t="s">
        <v>4</v>
      </c>
      <c r="E195" s="373" t="e">
        <f>INDEX('PY1 Data(H)'!$A$1:$CZ$265,MATCH('Unit Data from Audit Worksheet'!$A195,'PY1 Data(H)'!$A$1:$A$258,0),MATCH('Unit Data from Audit Worksheet'!$D$2,'PY1 Data(H)'!$A$1:$CZ$1,0))</f>
        <v>#N/A</v>
      </c>
      <c r="F195" s="816">
        <v>0</v>
      </c>
      <c r="G195" s="403"/>
      <c r="H195" s="17"/>
      <c r="I195" s="72"/>
      <c r="J195" s="72"/>
      <c r="K195"/>
      <c r="L195" s="550"/>
    </row>
    <row r="196" spans="1:20" ht="73.2" customHeight="1" x14ac:dyDescent="0.3">
      <c r="A196" s="100">
        <v>517</v>
      </c>
      <c r="B196" s="976" t="s">
        <v>1964</v>
      </c>
      <c r="C196" s="375" t="s">
        <v>167</v>
      </c>
      <c r="D196" s="29" t="s">
        <v>5</v>
      </c>
      <c r="E196" s="373" t="e">
        <f>INDEX('PY1 Data(H)'!$A$1:$CZ$265,MATCH('Unit Data from Audit Worksheet'!$A196,'PY1 Data(H)'!$A$1:$A$258,0),MATCH('Unit Data from Audit Worksheet'!$D$2,'PY1 Data(H)'!$A$1:$CZ$1,0))</f>
        <v>#N/A</v>
      </c>
      <c r="F196" s="816">
        <v>0</v>
      </c>
      <c r="G196" s="403"/>
      <c r="H196" s="17"/>
      <c r="I196" s="72"/>
      <c r="J196" s="72"/>
      <c r="K196"/>
      <c r="L196" s="550"/>
    </row>
    <row r="197" spans="1:20" ht="78" customHeight="1" x14ac:dyDescent="0.3">
      <c r="A197" s="100">
        <v>518</v>
      </c>
      <c r="B197" s="976" t="s">
        <v>1964</v>
      </c>
      <c r="C197" s="375" t="s">
        <v>167</v>
      </c>
      <c r="D197" s="29" t="s">
        <v>38</v>
      </c>
      <c r="E197" s="373" t="e">
        <f>INDEX('PY1 Data(H)'!$A$1:$CZ$265,MATCH('Unit Data from Audit Worksheet'!$A197,'PY1 Data(H)'!$A$1:$A$258,0),MATCH('Unit Data from Audit Worksheet'!$D$2,'PY1 Data(H)'!$A$1:$CZ$1,0))</f>
        <v>#N/A</v>
      </c>
      <c r="F197" s="816">
        <v>0</v>
      </c>
      <c r="G197" s="403"/>
      <c r="H197" s="17"/>
      <c r="I197" s="72"/>
      <c r="J197" s="72"/>
      <c r="K197"/>
      <c r="L197" s="550"/>
    </row>
    <row r="198" spans="1:20" ht="51" customHeight="1" x14ac:dyDescent="0.3">
      <c r="A198" s="719"/>
      <c r="B198" s="279"/>
      <c r="C198" s="279"/>
      <c r="D198" s="422" t="s">
        <v>766</v>
      </c>
      <c r="E198" s="93" t="e">
        <f>E194+E195+E196+E197</f>
        <v>#N/A</v>
      </c>
      <c r="F198" s="93">
        <f>SUM(F194:F197)</f>
        <v>0</v>
      </c>
      <c r="G198" s="409"/>
      <c r="H198" s="17"/>
      <c r="I198" s="72"/>
      <c r="J198" s="72"/>
      <c r="K198"/>
      <c r="L198" s="550"/>
    </row>
    <row r="199" spans="1:20" ht="30.75" customHeight="1" x14ac:dyDescent="0.3">
      <c r="A199" s="100"/>
      <c r="B199" s="279"/>
      <c r="C199" s="279"/>
      <c r="D199" s="25" t="s">
        <v>47</v>
      </c>
      <c r="E199" s="1"/>
      <c r="F199" s="245"/>
      <c r="G199" s="409"/>
      <c r="H199" s="17"/>
      <c r="I199" s="72"/>
      <c r="J199" s="72"/>
      <c r="K199"/>
      <c r="L199" s="550"/>
    </row>
    <row r="200" spans="1:20" ht="63" customHeight="1" x14ac:dyDescent="0.3">
      <c r="A200" s="100">
        <v>519</v>
      </c>
      <c r="B200" s="375" t="s">
        <v>36</v>
      </c>
      <c r="C200" s="375" t="s">
        <v>168</v>
      </c>
      <c r="D200" s="29" t="s">
        <v>14</v>
      </c>
      <c r="E200" s="373" t="e">
        <f>INDEX('PY1 Data(H)'!$A$1:$CZ$265,MATCH('Unit Data from Audit Worksheet'!$A200,'PY1 Data(H)'!$A$1:$A$258,0),MATCH('Unit Data from Audit Worksheet'!$D$2,'PY1 Data(H)'!$A$1:$CZ$1,0))</f>
        <v>#N/A</v>
      </c>
      <c r="F200" s="816">
        <v>0</v>
      </c>
      <c r="G200" s="403">
        <f>IF(F200&lt;0,"Error: Enter as positive.",)</f>
        <v>0</v>
      </c>
      <c r="H200" s="17"/>
      <c r="I200" s="72"/>
      <c r="J200" s="72"/>
      <c r="K200"/>
      <c r="L200" s="550"/>
    </row>
    <row r="201" spans="1:20" ht="69.75" customHeight="1" x14ac:dyDescent="0.3">
      <c r="A201" s="100">
        <v>520</v>
      </c>
      <c r="B201" s="375" t="s">
        <v>36</v>
      </c>
      <c r="C201" s="375" t="s">
        <v>168</v>
      </c>
      <c r="D201" s="29" t="s">
        <v>16</v>
      </c>
      <c r="E201" s="373" t="e">
        <f>INDEX('PY1 Data(H)'!$A$1:$CZ$265,MATCH('Unit Data from Audit Worksheet'!$A201,'PY1 Data(H)'!$A$1:$A$258,0),MATCH('Unit Data from Audit Worksheet'!$D$2,'PY1 Data(H)'!$A$1:$CZ$1,0))</f>
        <v>#N/A</v>
      </c>
      <c r="F201" s="816">
        <v>0</v>
      </c>
      <c r="G201" s="403">
        <f>IF(F201&lt;0,"Error: Enter as positive.",)</f>
        <v>0</v>
      </c>
      <c r="H201" s="17"/>
      <c r="I201" s="72"/>
      <c r="J201" s="72"/>
      <c r="K201"/>
      <c r="L201" s="550"/>
    </row>
    <row r="202" spans="1:20" ht="72" customHeight="1" x14ac:dyDescent="0.3">
      <c r="A202" s="100">
        <v>521</v>
      </c>
      <c r="B202" s="375" t="s">
        <v>36</v>
      </c>
      <c r="C202" s="375" t="s">
        <v>168</v>
      </c>
      <c r="D202" s="29" t="s">
        <v>18</v>
      </c>
      <c r="E202" s="373" t="e">
        <f>INDEX('PY1 Data(H)'!$A$1:$CZ$265,MATCH('Unit Data from Audit Worksheet'!$A202,'PY1 Data(H)'!$A$1:$A$258,0),MATCH('Unit Data from Audit Worksheet'!$D$2,'PY1 Data(H)'!$A$1:$CZ$1,0))</f>
        <v>#N/A</v>
      </c>
      <c r="F202" s="816">
        <v>0</v>
      </c>
      <c r="G202" s="403">
        <f>IF(F202&lt;0,"Error: Enter as positive.",)</f>
        <v>0</v>
      </c>
      <c r="H202" s="17"/>
      <c r="I202" s="72"/>
      <c r="J202" s="72"/>
      <c r="K202"/>
      <c r="L202" s="550"/>
    </row>
    <row r="203" spans="1:20" ht="74.25" customHeight="1" x14ac:dyDescent="0.3">
      <c r="A203" s="100">
        <v>522</v>
      </c>
      <c r="B203" s="375" t="s">
        <v>36</v>
      </c>
      <c r="C203" s="375" t="s">
        <v>168</v>
      </c>
      <c r="D203" s="29" t="s">
        <v>39</v>
      </c>
      <c r="E203" s="373" t="e">
        <f>INDEX('PY1 Data(H)'!$A$1:$CZ$265,MATCH('Unit Data from Audit Worksheet'!$A203,'PY1 Data(H)'!$A$1:$A$258,0),MATCH('Unit Data from Audit Worksheet'!$D$2,'PY1 Data(H)'!$A$1:$CZ$1,0))</f>
        <v>#N/A</v>
      </c>
      <c r="F203" s="816">
        <v>0</v>
      </c>
      <c r="G203" s="403">
        <f>IF(F203&lt;0,"Error: Enter as positive.",)</f>
        <v>0</v>
      </c>
      <c r="H203" s="17"/>
      <c r="I203" s="72"/>
      <c r="J203" s="72"/>
      <c r="K203"/>
      <c r="L203" s="550"/>
    </row>
    <row r="204" spans="1:20" ht="31.5" customHeight="1" x14ac:dyDescent="0.3">
      <c r="A204" s="717"/>
      <c r="B204" s="279"/>
      <c r="C204" s="279"/>
      <c r="D204" s="423" t="s">
        <v>33</v>
      </c>
      <c r="E204" s="93" t="e">
        <f>E200+E201+E202+E203</f>
        <v>#N/A</v>
      </c>
      <c r="F204" s="93">
        <f>SUM(F200:F203)</f>
        <v>0</v>
      </c>
      <c r="G204" s="123"/>
      <c r="H204" s="17"/>
      <c r="I204" s="72"/>
      <c r="J204" s="72"/>
      <c r="K204"/>
      <c r="L204" s="550"/>
    </row>
    <row r="205" spans="1:20" ht="26.25" customHeight="1" x14ac:dyDescent="0.3">
      <c r="A205" s="717"/>
      <c r="B205" s="279"/>
      <c r="C205" s="279"/>
      <c r="D205" s="25" t="s">
        <v>31</v>
      </c>
      <c r="E205" s="6"/>
      <c r="F205" s="424"/>
      <c r="G205" s="123"/>
      <c r="H205" s="17"/>
      <c r="I205"/>
      <c r="J205"/>
      <c r="K205"/>
      <c r="L205"/>
      <c r="N205"/>
      <c r="O205"/>
      <c r="P205"/>
      <c r="Q205"/>
      <c r="R205"/>
      <c r="S205"/>
      <c r="T205"/>
    </row>
    <row r="206" spans="1:20" ht="89.25" customHeight="1" x14ac:dyDescent="0.3">
      <c r="A206" s="100">
        <v>523</v>
      </c>
      <c r="B206" s="976" t="s">
        <v>1964</v>
      </c>
      <c r="C206" s="375" t="s">
        <v>169</v>
      </c>
      <c r="D206" s="29" t="s">
        <v>15</v>
      </c>
      <c r="E206" s="373" t="e">
        <f>INDEX('PY1 Data(H)'!$A$1:$CZ$265,MATCH('Unit Data from Audit Worksheet'!$A206,'PY1 Data(H)'!$A$1:$A$258,0),MATCH('Unit Data from Audit Worksheet'!$D$2,'PY1 Data(H)'!$A$1:$CZ$1,0))</f>
        <v>#N/A</v>
      </c>
      <c r="F206" s="816">
        <v>0</v>
      </c>
      <c r="G206" s="403">
        <f>IF(F206&lt;0,"Error: Enter as positive.",)</f>
        <v>0</v>
      </c>
      <c r="H206" s="17"/>
      <c r="I206"/>
      <c r="J206"/>
      <c r="K206"/>
      <c r="L206"/>
      <c r="N206"/>
      <c r="O206"/>
      <c r="P206"/>
      <c r="Q206"/>
      <c r="R206"/>
      <c r="S206"/>
      <c r="T206"/>
    </row>
    <row r="207" spans="1:20" ht="75" customHeight="1" x14ac:dyDescent="0.3">
      <c r="A207" s="100">
        <v>524</v>
      </c>
      <c r="B207" s="976" t="s">
        <v>1964</v>
      </c>
      <c r="C207" s="375" t="s">
        <v>169</v>
      </c>
      <c r="D207" s="29" t="s">
        <v>17</v>
      </c>
      <c r="E207" s="373" t="e">
        <f>INDEX('PY1 Data(H)'!$A$1:$CZ$265,MATCH('Unit Data from Audit Worksheet'!$A207,'PY1 Data(H)'!$A$1:$A$258,0),MATCH('Unit Data from Audit Worksheet'!$D$2,'PY1 Data(H)'!$A$1:$CZ$1,0))</f>
        <v>#N/A</v>
      </c>
      <c r="F207" s="816">
        <v>0</v>
      </c>
      <c r="G207" s="403">
        <f>IF(F207&lt;0,"Error: Enter as positive.",)</f>
        <v>0</v>
      </c>
      <c r="H207" s="17"/>
      <c r="I207"/>
      <c r="J207"/>
      <c r="K207"/>
      <c r="L207"/>
      <c r="N207"/>
      <c r="O207"/>
      <c r="P207"/>
      <c r="Q207"/>
      <c r="R207"/>
      <c r="S207"/>
      <c r="T207"/>
    </row>
    <row r="208" spans="1:20" ht="75" customHeight="1" x14ac:dyDescent="0.3">
      <c r="A208" s="100">
        <v>525</v>
      </c>
      <c r="B208" s="976" t="s">
        <v>1964</v>
      </c>
      <c r="C208" s="375" t="s">
        <v>169</v>
      </c>
      <c r="D208" s="29" t="s">
        <v>19</v>
      </c>
      <c r="E208" s="373" t="e">
        <f>INDEX('PY1 Data(H)'!$A$1:$CZ$265,MATCH('Unit Data from Audit Worksheet'!$A208,'PY1 Data(H)'!$A$1:$A$258,0),MATCH('Unit Data from Audit Worksheet'!$D$2,'PY1 Data(H)'!$A$1:$CZ$1,0))</f>
        <v>#N/A</v>
      </c>
      <c r="F208" s="816">
        <v>0</v>
      </c>
      <c r="G208" s="403">
        <f>IF(F208&lt;0,"Error: Enter as positive.",)</f>
        <v>0</v>
      </c>
      <c r="H208" s="17"/>
      <c r="I208"/>
      <c r="J208"/>
      <c r="K208"/>
      <c r="L208"/>
      <c r="N208"/>
      <c r="O208"/>
      <c r="P208"/>
      <c r="Q208"/>
      <c r="R208"/>
      <c r="S208"/>
      <c r="T208"/>
    </row>
    <row r="209" spans="1:1881" ht="76.5" customHeight="1" x14ac:dyDescent="0.3">
      <c r="A209" s="100">
        <v>526</v>
      </c>
      <c r="B209" s="976" t="s">
        <v>1964</v>
      </c>
      <c r="C209" s="375" t="s">
        <v>169</v>
      </c>
      <c r="D209" s="29" t="s">
        <v>40</v>
      </c>
      <c r="E209" s="373" t="e">
        <f>INDEX('PY1 Data(H)'!$A$1:$CZ$265,MATCH('Unit Data from Audit Worksheet'!$A209,'PY1 Data(H)'!$A$1:$A$258,0),MATCH('Unit Data from Audit Worksheet'!$D$2,'PY1 Data(H)'!$A$1:$CZ$1,0))</f>
        <v>#N/A</v>
      </c>
      <c r="F209" s="816">
        <v>0</v>
      </c>
      <c r="G209" s="403">
        <f>IF(F209&lt;0,"Error: Enter as positive.",)</f>
        <v>0</v>
      </c>
      <c r="H209" s="17"/>
      <c r="I209"/>
      <c r="J209"/>
      <c r="K209"/>
      <c r="L209"/>
      <c r="N209"/>
      <c r="O209"/>
      <c r="P209"/>
      <c r="Q209"/>
      <c r="R209"/>
      <c r="S209"/>
      <c r="T209"/>
    </row>
    <row r="210" spans="1:1881" ht="24.75" customHeight="1" x14ac:dyDescent="0.3">
      <c r="A210" s="100"/>
      <c r="B210" s="466"/>
      <c r="C210" s="466"/>
      <c r="D210" s="423" t="s">
        <v>32</v>
      </c>
      <c r="E210" s="93" t="e">
        <f>E206+E207+E208+E209</f>
        <v>#N/A</v>
      </c>
      <c r="F210" s="93">
        <f>SUM(F206:F209)</f>
        <v>0</v>
      </c>
      <c r="G210" s="409"/>
      <c r="H210" s="17"/>
      <c r="I210" s="72"/>
      <c r="J210" s="72"/>
      <c r="K210"/>
      <c r="L210" s="550"/>
    </row>
    <row r="211" spans="1:1881" ht="61.5" customHeight="1" x14ac:dyDescent="0.3">
      <c r="A211" s="100"/>
      <c r="B211" s="466"/>
      <c r="C211" s="466"/>
      <c r="D211" s="425" t="s">
        <v>34</v>
      </c>
      <c r="E211" s="93" t="e">
        <f>E191+E198-E210</f>
        <v>#N/A</v>
      </c>
      <c r="F211" s="93">
        <f>F191+F198-F210</f>
        <v>0</v>
      </c>
      <c r="G211" s="409"/>
      <c r="H211" s="17"/>
      <c r="I211" s="72"/>
      <c r="J211" s="72"/>
      <c r="K211"/>
      <c r="L211" s="550"/>
    </row>
    <row r="212" spans="1:1881" ht="21.6" customHeight="1" x14ac:dyDescent="0.3">
      <c r="A212" s="100"/>
      <c r="B212" s="279"/>
      <c r="C212" s="279"/>
      <c r="D212" s="417"/>
      <c r="E212" s="1"/>
      <c r="F212" s="245"/>
      <c r="G212" s="409"/>
      <c r="H212" s="17"/>
      <c r="I212" s="72"/>
      <c r="J212" s="72"/>
      <c r="K212"/>
      <c r="L212" s="550"/>
    </row>
    <row r="213" spans="1:1881" ht="34.5" customHeight="1" x14ac:dyDescent="0.3">
      <c r="A213" s="100"/>
      <c r="B213" s="502"/>
      <c r="C213" s="502"/>
      <c r="D213" s="494" t="s">
        <v>8</v>
      </c>
      <c r="E213" s="504"/>
      <c r="F213" s="505"/>
      <c r="G213" s="506"/>
      <c r="H213" s="17"/>
      <c r="I213" s="72"/>
      <c r="J213" s="72"/>
      <c r="K213"/>
      <c r="L213" s="550"/>
    </row>
    <row r="214" spans="1:1881" ht="55.5" customHeight="1" x14ac:dyDescent="0.3">
      <c r="A214" s="100">
        <v>527</v>
      </c>
      <c r="B214" s="976" t="s">
        <v>1970</v>
      </c>
      <c r="C214" s="375" t="s">
        <v>170</v>
      </c>
      <c r="D214" s="26" t="s">
        <v>767</v>
      </c>
      <c r="E214" s="373" t="e">
        <f>INDEX('PY1 Data(H)'!$A$1:$CZ$265,MATCH('Unit Data from Audit Worksheet'!$A214,'PY1 Data(H)'!$A$1:$A$258,0),MATCH('Unit Data from Audit Worksheet'!$D$2,'PY1 Data(H)'!$A$1:$CZ$1,0))</f>
        <v>#N/A</v>
      </c>
      <c r="F214" s="816">
        <v>0</v>
      </c>
      <c r="G214" s="409"/>
      <c r="H214" s="17"/>
      <c r="I214" s="405"/>
      <c r="J214" s="405"/>
      <c r="K214"/>
      <c r="L214" s="550"/>
    </row>
    <row r="215" spans="1:1881" ht="55.5" customHeight="1" x14ac:dyDescent="0.3">
      <c r="A215" s="100">
        <v>356</v>
      </c>
      <c r="B215" s="976" t="s">
        <v>1969</v>
      </c>
      <c r="C215" s="375" t="s">
        <v>170</v>
      </c>
      <c r="D215" s="99" t="s">
        <v>20</v>
      </c>
      <c r="E215" s="373" t="e">
        <f>INDEX('PY1 Data(H)'!$A$1:$CZ$265,MATCH('Unit Data from Audit Worksheet'!$A215,'PY1 Data(H)'!$A$1:$A$258,0),MATCH('Unit Data from Audit Worksheet'!$D$2,'PY1 Data(H)'!$A$1:$CZ$1,0))</f>
        <v>#N/A</v>
      </c>
      <c r="F215" s="816">
        <v>0</v>
      </c>
      <c r="G215" s="409"/>
      <c r="H215" s="17"/>
      <c r="I215" s="405"/>
      <c r="J215" s="405"/>
      <c r="K215"/>
      <c r="L215" s="550"/>
    </row>
    <row r="216" spans="1:1881" ht="55.5" customHeight="1" x14ac:dyDescent="0.3">
      <c r="A216" s="100">
        <v>357</v>
      </c>
      <c r="B216" s="375" t="s">
        <v>55</v>
      </c>
      <c r="C216" s="375" t="s">
        <v>171</v>
      </c>
      <c r="D216" s="99" t="s">
        <v>21</v>
      </c>
      <c r="E216" s="373" t="e">
        <f>INDEX('PY1 Data(H)'!$A$1:$CZ$265,MATCH('Unit Data from Audit Worksheet'!$A216,'PY1 Data(H)'!$A$1:$A$258,0),MATCH('Unit Data from Audit Worksheet'!$D$2,'PY1 Data(H)'!$A$1:$CZ$1,0))</f>
        <v>#N/A</v>
      </c>
      <c r="F216" s="816">
        <v>0</v>
      </c>
      <c r="G216" s="403">
        <f>IF(F216&lt;0,"Error: Enter as positive.",)</f>
        <v>0</v>
      </c>
      <c r="H216" s="17"/>
      <c r="I216" s="405"/>
      <c r="J216" s="405"/>
      <c r="K216"/>
      <c r="L216" s="550"/>
    </row>
    <row r="217" spans="1:1881" s="18" customFormat="1" ht="35.25" customHeight="1" x14ac:dyDescent="0.3">
      <c r="A217" s="100"/>
      <c r="B217" s="492" t="s">
        <v>10</v>
      </c>
      <c r="C217" s="502"/>
      <c r="D217" s="470"/>
      <c r="E217" s="507"/>
      <c r="F217" s="507"/>
      <c r="G217" s="489"/>
      <c r="H217" s="17"/>
      <c r="I217" s="72"/>
      <c r="J217" s="72"/>
      <c r="K217"/>
      <c r="L217" s="550"/>
      <c r="M217"/>
      <c r="O217" s="18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row>
    <row r="218" spans="1:1881" s="18" customFormat="1" ht="253.2" customHeight="1" x14ac:dyDescent="0.3">
      <c r="A218" s="100">
        <v>337</v>
      </c>
      <c r="B218" s="4" t="s">
        <v>55</v>
      </c>
      <c r="C218" s="4" t="s">
        <v>768</v>
      </c>
      <c r="D218" s="21" t="s">
        <v>649</v>
      </c>
      <c r="E218" s="373" t="e">
        <f>INDEX('PY1 Data(H)'!$A$1:$CZ$265,MATCH('Unit Data from Audit Worksheet'!$A218,'PY1 Data(H)'!$A$1:$A$258,0),MATCH('Unit Data from Audit Worksheet'!$D$2,'PY1 Data(H)'!$A$1:$CZ$1,0))</f>
        <v>#N/A</v>
      </c>
      <c r="F218" s="816">
        <v>0</v>
      </c>
      <c r="G218" s="403">
        <f>IF(F218&lt;0,"Error: Enter as positive.",)</f>
        <v>0</v>
      </c>
      <c r="H218" s="17"/>
      <c r="I218" s="72"/>
      <c r="J218" s="72"/>
      <c r="K218"/>
      <c r="L218" s="550"/>
      <c r="M218"/>
      <c r="O218" s="187"/>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row>
    <row r="219" spans="1:1881" s="18" customFormat="1" ht="81.75" customHeight="1" x14ac:dyDescent="0.3">
      <c r="A219" s="100">
        <v>343</v>
      </c>
      <c r="B219" s="4" t="s">
        <v>55</v>
      </c>
      <c r="C219" s="4" t="s">
        <v>339</v>
      </c>
      <c r="D219" s="26" t="s">
        <v>769</v>
      </c>
      <c r="E219" s="373" t="e">
        <f>INDEX('PY1 Data(H)'!$A$1:$CZ$265,MATCH('Unit Data from Audit Worksheet'!$A219,'PY1 Data(H)'!$A$1:$A$258,0),MATCH('Unit Data from Audit Worksheet'!$D$2,'PY1 Data(H)'!$A$1:$CZ$1,0))</f>
        <v>#N/A</v>
      </c>
      <c r="F219" s="816">
        <v>0</v>
      </c>
      <c r="G219" s="403">
        <f>IF(F219&lt;0,"Error: Enter as positive.",)</f>
        <v>0</v>
      </c>
      <c r="H219" s="17"/>
      <c r="I219" s="72"/>
      <c r="J219" s="72"/>
      <c r="K219"/>
      <c r="L219" s="550"/>
      <c r="M219"/>
      <c r="N219" s="91"/>
      <c r="O219" s="187"/>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row>
    <row r="220" spans="1:1881" ht="274.5" customHeight="1" x14ac:dyDescent="0.3">
      <c r="A220" s="100">
        <v>82</v>
      </c>
      <c r="B220" s="4" t="s">
        <v>60</v>
      </c>
      <c r="C220" s="4" t="s">
        <v>770</v>
      </c>
      <c r="D220" s="21" t="s">
        <v>454</v>
      </c>
      <c r="E220" s="373" t="e">
        <f>INDEX('PY1 Data(H)'!$A$1:$CZ$265,MATCH('Unit Data from Audit Worksheet'!$A220,'PY1 Data(H)'!$A$1:$A$258,0),MATCH('Unit Data from Audit Worksheet'!$D$2,'PY1 Data(H)'!$A$1:$CZ$1,0))</f>
        <v>#N/A</v>
      </c>
      <c r="F220" s="826">
        <v>0</v>
      </c>
      <c r="G220" s="403">
        <f>IF(F220&lt;0,"Error: Enter as positive.",)</f>
        <v>0</v>
      </c>
      <c r="H220" s="17"/>
      <c r="I220" s="426"/>
      <c r="J220" s="426"/>
      <c r="K220"/>
      <c r="L220" s="550"/>
    </row>
    <row r="221" spans="1:1881" ht="270.75" customHeight="1" x14ac:dyDescent="0.3">
      <c r="A221" s="100">
        <v>359</v>
      </c>
      <c r="B221" s="4" t="s">
        <v>55</v>
      </c>
      <c r="C221" s="4" t="s">
        <v>771</v>
      </c>
      <c r="D221" s="21" t="s">
        <v>454</v>
      </c>
      <c r="E221" s="373" t="e">
        <f>INDEX('PY1 Data(H)'!$A$1:$CZ$265,MATCH('Unit Data from Audit Worksheet'!$A221,'PY1 Data(H)'!$A$1:$A$258,0),MATCH('Unit Data from Audit Worksheet'!$D$2,'PY1 Data(H)'!$A$1:$CZ$1,0))</f>
        <v>#N/A</v>
      </c>
      <c r="F221" s="816">
        <v>0</v>
      </c>
      <c r="G221" s="403">
        <f>IF(F221&lt;0,"Error: Enter as positive.",)</f>
        <v>0</v>
      </c>
      <c r="H221" s="17"/>
      <c r="I221" s="426"/>
      <c r="J221" s="426"/>
      <c r="K221"/>
      <c r="L221" s="550"/>
    </row>
    <row r="222" spans="1:1881" s="428" customFormat="1" ht="33" customHeight="1" x14ac:dyDescent="0.3">
      <c r="A222" s="100"/>
      <c r="B222" s="750" t="s">
        <v>355</v>
      </c>
      <c r="C222" s="722"/>
      <c r="D222" s="89"/>
      <c r="E222" s="427"/>
      <c r="F222" s="415"/>
      <c r="G222" s="402"/>
      <c r="H222" s="17"/>
      <c r="I222" s="426"/>
      <c r="J222" s="426"/>
      <c r="K222"/>
      <c r="L222" s="550"/>
      <c r="M222"/>
      <c r="N222" s="18"/>
      <c r="O222" s="187"/>
      <c r="P222" s="18"/>
      <c r="Q222" s="18"/>
      <c r="R222" s="18"/>
      <c r="S222" s="18"/>
      <c r="T222" s="18"/>
      <c r="U222" s="18"/>
      <c r="V222" s="18"/>
      <c r="W222" s="18"/>
      <c r="X222" s="18"/>
      <c r="Y222" s="18"/>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c r="GQ222" s="18"/>
      <c r="GR222" s="18"/>
      <c r="GS222" s="18"/>
      <c r="GT222" s="18"/>
      <c r="GU222" s="18"/>
      <c r="GV222" s="18"/>
      <c r="GW222" s="18"/>
      <c r="GX222" s="18"/>
      <c r="GY222" s="18"/>
      <c r="GZ222" s="18"/>
      <c r="HA222" s="18"/>
      <c r="HB222" s="18"/>
      <c r="HC222" s="18"/>
      <c r="HD222" s="18"/>
      <c r="HE222" s="18"/>
      <c r="HF222" s="18"/>
      <c r="HG222" s="18"/>
      <c r="HH222" s="18"/>
      <c r="HI222" s="18"/>
      <c r="HJ222" s="18"/>
      <c r="HK222" s="18"/>
      <c r="HL222" s="18"/>
      <c r="HM222" s="18"/>
      <c r="HN222" s="18"/>
      <c r="HO222" s="18"/>
      <c r="HP222" s="18"/>
      <c r="HQ222" s="18"/>
      <c r="HR222" s="18"/>
      <c r="HS222" s="18"/>
      <c r="HT222" s="18"/>
      <c r="HU222" s="18"/>
      <c r="HV222" s="18"/>
      <c r="HW222" s="18"/>
      <c r="HX222" s="18"/>
      <c r="HY222" s="18"/>
      <c r="HZ222" s="18"/>
      <c r="IA222" s="18"/>
      <c r="IB222" s="18"/>
      <c r="IC222" s="18"/>
      <c r="ID222" s="18"/>
      <c r="IE222" s="18"/>
      <c r="IF222" s="18"/>
      <c r="IG222" s="18"/>
      <c r="IH222" s="18"/>
      <c r="II222" s="18"/>
      <c r="IJ222" s="18"/>
      <c r="IK222" s="18"/>
      <c r="IL222" s="18"/>
      <c r="IM222" s="18"/>
      <c r="IN222" s="18"/>
      <c r="IO222" s="18"/>
      <c r="IP222" s="18"/>
      <c r="IQ222" s="18"/>
      <c r="IR222" s="18"/>
      <c r="IS222" s="18"/>
      <c r="IT222" s="18"/>
      <c r="IU222" s="18"/>
      <c r="IV222" s="18"/>
      <c r="IW222" s="18"/>
      <c r="IX222" s="18"/>
      <c r="IY222" s="18"/>
      <c r="IZ222" s="18"/>
      <c r="JA222" s="18"/>
      <c r="JB222" s="18"/>
      <c r="JC222" s="18"/>
      <c r="JD222" s="18"/>
      <c r="JE222" s="18"/>
      <c r="JF222" s="18"/>
      <c r="JG222" s="18"/>
      <c r="JH222" s="18"/>
      <c r="JI222" s="18"/>
      <c r="JJ222" s="18"/>
      <c r="JK222" s="18"/>
      <c r="JL222" s="18"/>
      <c r="JM222" s="18"/>
      <c r="JN222" s="18"/>
      <c r="JO222" s="18"/>
      <c r="JP222" s="18"/>
      <c r="JQ222" s="18"/>
      <c r="JR222" s="18"/>
      <c r="JS222" s="18"/>
      <c r="JT222" s="18"/>
      <c r="JU222" s="18"/>
      <c r="JV222" s="18"/>
      <c r="JW222" s="18"/>
      <c r="JX222" s="18"/>
      <c r="JY222" s="18"/>
      <c r="JZ222" s="18"/>
      <c r="KA222" s="18"/>
      <c r="KB222" s="18"/>
      <c r="KC222" s="18"/>
      <c r="KD222" s="18"/>
      <c r="KE222" s="18"/>
      <c r="KF222" s="18"/>
      <c r="KG222" s="18"/>
      <c r="KH222" s="18"/>
      <c r="KI222" s="18"/>
      <c r="KJ222" s="18"/>
      <c r="KK222" s="18"/>
      <c r="KL222" s="18"/>
      <c r="KM222" s="18"/>
      <c r="KN222" s="18"/>
      <c r="KO222" s="18"/>
      <c r="KP222" s="18"/>
      <c r="KQ222" s="18"/>
      <c r="KR222" s="18"/>
      <c r="KS222" s="18"/>
      <c r="KT222" s="18"/>
      <c r="KU222" s="18"/>
      <c r="KV222" s="18"/>
      <c r="KW222" s="18"/>
      <c r="KX222" s="18"/>
      <c r="KY222" s="18"/>
      <c r="KZ222" s="18"/>
      <c r="LA222" s="18"/>
      <c r="LB222" s="18"/>
      <c r="LC222" s="18"/>
      <c r="LD222" s="18"/>
      <c r="LE222" s="18"/>
      <c r="LF222" s="18"/>
      <c r="LG222" s="18"/>
      <c r="LH222" s="18"/>
      <c r="LI222" s="18"/>
      <c r="LJ222" s="18"/>
      <c r="LK222" s="18"/>
      <c r="LL222" s="18"/>
      <c r="LM222" s="18"/>
      <c r="LN222" s="18"/>
      <c r="LO222" s="18"/>
      <c r="LP222" s="18"/>
      <c r="LQ222" s="18"/>
      <c r="LR222" s="18"/>
      <c r="LS222" s="18"/>
      <c r="LT222" s="18"/>
      <c r="LU222" s="18"/>
      <c r="LV222" s="18"/>
      <c r="LW222" s="18"/>
      <c r="LX222" s="18"/>
      <c r="LY222" s="18"/>
      <c r="LZ222" s="18"/>
      <c r="MA222" s="18"/>
      <c r="MB222" s="18"/>
      <c r="MC222" s="18"/>
      <c r="MD222" s="18"/>
      <c r="ME222" s="18"/>
      <c r="MF222" s="18"/>
      <c r="MG222" s="18"/>
      <c r="MH222" s="18"/>
      <c r="MI222" s="18"/>
      <c r="MJ222" s="18"/>
      <c r="MK222" s="18"/>
      <c r="ML222" s="18"/>
      <c r="MM222" s="18"/>
      <c r="MN222" s="18"/>
      <c r="MO222" s="18"/>
      <c r="MP222" s="18"/>
      <c r="MQ222" s="18"/>
      <c r="MR222" s="18"/>
      <c r="MS222" s="18"/>
      <c r="MT222" s="18"/>
      <c r="MU222" s="18"/>
      <c r="MV222" s="18"/>
      <c r="MW222" s="18"/>
      <c r="MX222" s="18"/>
      <c r="MY222" s="18"/>
      <c r="MZ222" s="18"/>
      <c r="NA222" s="18"/>
      <c r="NB222" s="18"/>
      <c r="NC222" s="18"/>
      <c r="ND222" s="18"/>
      <c r="NE222" s="18"/>
      <c r="NF222" s="18"/>
      <c r="NG222" s="18"/>
      <c r="NH222" s="18"/>
      <c r="NI222" s="18"/>
      <c r="NJ222" s="18"/>
      <c r="NK222" s="18"/>
      <c r="NL222" s="18"/>
      <c r="NM222" s="18"/>
      <c r="NN222" s="18"/>
      <c r="NO222" s="18"/>
      <c r="NP222" s="18"/>
      <c r="NQ222" s="18"/>
      <c r="NR222" s="18"/>
      <c r="NS222" s="18"/>
      <c r="NT222" s="18"/>
      <c r="NU222" s="18"/>
      <c r="NV222" s="18"/>
      <c r="NW222" s="18"/>
      <c r="NX222" s="18"/>
      <c r="NY222" s="18"/>
      <c r="NZ222" s="18"/>
      <c r="OA222" s="18"/>
      <c r="OB222" s="18"/>
      <c r="OC222" s="18"/>
      <c r="OD222" s="18"/>
      <c r="OE222" s="18"/>
      <c r="OF222" s="18"/>
      <c r="OG222" s="18"/>
      <c r="OH222" s="18"/>
      <c r="OI222" s="18"/>
      <c r="OJ222" s="18"/>
      <c r="OK222" s="18"/>
      <c r="OL222" s="18"/>
      <c r="OM222" s="18"/>
      <c r="ON222" s="18"/>
      <c r="OO222" s="18"/>
      <c r="OP222" s="18"/>
      <c r="OQ222" s="18"/>
      <c r="OR222" s="18"/>
      <c r="OS222" s="18"/>
      <c r="OT222" s="18"/>
      <c r="OU222" s="18"/>
      <c r="OV222" s="18"/>
      <c r="OW222" s="18"/>
      <c r="OX222" s="18"/>
      <c r="OY222" s="18"/>
      <c r="OZ222" s="18"/>
      <c r="PA222" s="18"/>
      <c r="PB222" s="18"/>
      <c r="PC222" s="18"/>
      <c r="PD222" s="18"/>
      <c r="PE222" s="18"/>
      <c r="PF222" s="18"/>
      <c r="PG222" s="18"/>
      <c r="PH222" s="18"/>
      <c r="PI222" s="18"/>
      <c r="PJ222" s="18"/>
      <c r="PK222" s="18"/>
      <c r="PL222" s="18"/>
      <c r="PM222" s="18"/>
      <c r="PN222" s="18"/>
      <c r="PO222" s="18"/>
      <c r="PP222" s="18"/>
      <c r="PQ222" s="18"/>
      <c r="PR222" s="18"/>
      <c r="PS222" s="18"/>
      <c r="PT222" s="18"/>
      <c r="PU222" s="18"/>
      <c r="PV222" s="18"/>
      <c r="PW222" s="18"/>
      <c r="PX222" s="18"/>
      <c r="PY222" s="18"/>
      <c r="PZ222" s="18"/>
      <c r="QA222" s="18"/>
      <c r="QB222" s="18"/>
      <c r="QC222" s="18"/>
      <c r="QD222" s="18"/>
      <c r="QE222" s="18"/>
      <c r="QF222" s="18"/>
      <c r="QG222" s="18"/>
      <c r="QH222" s="18"/>
      <c r="QI222" s="18"/>
      <c r="QJ222" s="18"/>
      <c r="QK222" s="18"/>
      <c r="QL222" s="18"/>
      <c r="QM222" s="18"/>
      <c r="QN222" s="18"/>
      <c r="QO222" s="18"/>
      <c r="QP222" s="18"/>
      <c r="QQ222" s="18"/>
      <c r="QR222" s="18"/>
      <c r="QS222" s="18"/>
      <c r="QT222" s="18"/>
      <c r="QU222" s="18"/>
      <c r="QV222" s="18"/>
      <c r="QW222" s="18"/>
      <c r="QX222" s="18"/>
      <c r="QY222" s="18"/>
      <c r="QZ222" s="18"/>
      <c r="RA222" s="18"/>
      <c r="RB222" s="18"/>
      <c r="RC222" s="18"/>
      <c r="RD222" s="18"/>
      <c r="RE222" s="18"/>
      <c r="RF222" s="18"/>
      <c r="RG222" s="18"/>
      <c r="RH222" s="18"/>
      <c r="RI222" s="18"/>
      <c r="RJ222" s="18"/>
      <c r="RK222" s="18"/>
      <c r="RL222" s="18"/>
      <c r="RM222" s="18"/>
      <c r="RN222" s="18"/>
      <c r="RO222" s="18"/>
      <c r="RP222" s="18"/>
      <c r="RQ222" s="18"/>
      <c r="RR222" s="18"/>
      <c r="RS222" s="18"/>
      <c r="RT222" s="18"/>
      <c r="RU222" s="18"/>
      <c r="RV222" s="18"/>
      <c r="RW222" s="18"/>
      <c r="RX222" s="18"/>
      <c r="RY222" s="18"/>
      <c r="RZ222" s="18"/>
      <c r="SA222" s="18"/>
      <c r="SB222" s="18"/>
      <c r="SC222" s="18"/>
      <c r="SD222" s="18"/>
      <c r="SE222" s="18"/>
      <c r="SF222" s="18"/>
      <c r="SG222" s="18"/>
      <c r="SH222" s="18"/>
      <c r="SI222" s="18"/>
      <c r="SJ222" s="18"/>
      <c r="SK222" s="18"/>
      <c r="SL222" s="18"/>
      <c r="SM222" s="18"/>
      <c r="SN222" s="18"/>
      <c r="SO222" s="18"/>
      <c r="SP222" s="18"/>
      <c r="SQ222" s="18"/>
      <c r="SR222" s="18"/>
      <c r="SS222" s="18"/>
      <c r="ST222" s="18"/>
      <c r="SU222" s="18"/>
      <c r="SV222" s="18"/>
      <c r="SW222" s="18"/>
      <c r="SX222" s="18"/>
      <c r="SY222" s="18"/>
      <c r="SZ222" s="18"/>
      <c r="TA222" s="18"/>
      <c r="TB222" s="18"/>
      <c r="TC222" s="18"/>
      <c r="TD222" s="18"/>
      <c r="TE222" s="18"/>
      <c r="TF222" s="18"/>
      <c r="TG222" s="18"/>
      <c r="TH222" s="18"/>
      <c r="TI222" s="18"/>
      <c r="TJ222" s="18"/>
      <c r="TK222" s="18"/>
      <c r="TL222" s="18"/>
      <c r="TM222" s="18"/>
      <c r="TN222" s="18"/>
      <c r="TO222" s="18"/>
      <c r="TP222" s="18"/>
      <c r="TQ222" s="18"/>
      <c r="TR222" s="18"/>
      <c r="TS222" s="18"/>
      <c r="TT222" s="18"/>
      <c r="TU222" s="18"/>
      <c r="TV222" s="18"/>
      <c r="TW222" s="18"/>
      <c r="TX222" s="18"/>
      <c r="TY222" s="18"/>
      <c r="TZ222" s="18"/>
      <c r="UA222" s="18"/>
      <c r="UB222" s="18"/>
      <c r="UC222" s="18"/>
      <c r="UD222" s="18"/>
      <c r="UE222" s="18"/>
      <c r="UF222" s="18"/>
      <c r="UG222" s="18"/>
      <c r="UH222" s="18"/>
      <c r="UI222" s="18"/>
      <c r="UJ222" s="18"/>
      <c r="UK222" s="18"/>
      <c r="UL222" s="18"/>
      <c r="UM222" s="18"/>
      <c r="UN222" s="18"/>
      <c r="UO222" s="18"/>
      <c r="UP222" s="18"/>
      <c r="UQ222" s="18"/>
      <c r="UR222" s="18"/>
      <c r="US222" s="18"/>
      <c r="UT222" s="18"/>
      <c r="UU222" s="18"/>
      <c r="UV222" s="18"/>
      <c r="UW222" s="18"/>
      <c r="UX222" s="18"/>
      <c r="UY222" s="18"/>
      <c r="UZ222" s="18"/>
      <c r="VA222" s="18"/>
      <c r="VB222" s="18"/>
      <c r="VC222" s="18"/>
      <c r="VD222" s="18"/>
      <c r="VE222" s="18"/>
      <c r="VF222" s="18"/>
      <c r="VG222" s="18"/>
      <c r="VH222" s="18"/>
      <c r="VI222" s="18"/>
      <c r="VJ222" s="18"/>
      <c r="VK222" s="18"/>
      <c r="VL222" s="18"/>
      <c r="VM222" s="18"/>
      <c r="VN222" s="18"/>
      <c r="VO222" s="18"/>
      <c r="VP222" s="18"/>
      <c r="VQ222" s="18"/>
      <c r="VR222" s="18"/>
      <c r="VS222" s="18"/>
      <c r="VT222" s="18"/>
      <c r="VU222" s="18"/>
      <c r="VV222" s="18"/>
      <c r="VW222" s="18"/>
      <c r="VX222" s="18"/>
      <c r="VY222" s="18"/>
      <c r="VZ222" s="18"/>
      <c r="WA222" s="18"/>
      <c r="WB222" s="18"/>
      <c r="WC222" s="18"/>
      <c r="WD222" s="18"/>
      <c r="WE222" s="18"/>
      <c r="WF222" s="18"/>
      <c r="WG222" s="18"/>
      <c r="WH222" s="18"/>
      <c r="WI222" s="18"/>
      <c r="WJ222" s="18"/>
      <c r="WK222" s="18"/>
      <c r="WL222" s="18"/>
      <c r="WM222" s="18"/>
      <c r="WN222" s="18"/>
      <c r="WO222" s="18"/>
      <c r="WP222" s="18"/>
      <c r="WQ222" s="18"/>
      <c r="WR222" s="18"/>
      <c r="WS222" s="18"/>
      <c r="WT222" s="18"/>
      <c r="WU222" s="18"/>
      <c r="WV222" s="18"/>
      <c r="WW222" s="18"/>
      <c r="WX222" s="18"/>
      <c r="WY222" s="18"/>
      <c r="WZ222" s="18"/>
      <c r="XA222" s="18"/>
      <c r="XB222" s="18"/>
      <c r="XC222" s="18"/>
      <c r="XD222" s="18"/>
      <c r="XE222" s="18"/>
      <c r="XF222" s="18"/>
      <c r="XG222" s="18"/>
      <c r="XH222" s="18"/>
      <c r="XI222" s="18"/>
      <c r="XJ222" s="18"/>
      <c r="XK222" s="18"/>
      <c r="XL222" s="18"/>
      <c r="XM222" s="18"/>
      <c r="XN222" s="18"/>
      <c r="XO222" s="18"/>
      <c r="XP222" s="18"/>
      <c r="XQ222" s="18"/>
      <c r="XR222" s="18"/>
      <c r="XS222" s="18"/>
      <c r="XT222" s="18"/>
      <c r="XU222" s="18"/>
      <c r="XV222" s="18"/>
      <c r="XW222" s="18"/>
      <c r="XX222" s="18"/>
      <c r="XY222" s="18"/>
      <c r="XZ222" s="18"/>
      <c r="YA222" s="18"/>
      <c r="YB222" s="18"/>
      <c r="YC222" s="18"/>
      <c r="YD222" s="18"/>
      <c r="YE222" s="18"/>
      <c r="YF222" s="18"/>
      <c r="YG222" s="18"/>
      <c r="YH222" s="18"/>
      <c r="YI222" s="18"/>
      <c r="YJ222" s="18"/>
      <c r="YK222" s="18"/>
      <c r="YL222" s="18"/>
      <c r="YM222" s="18"/>
      <c r="YN222" s="18"/>
      <c r="YO222" s="18"/>
      <c r="YP222" s="18"/>
      <c r="YQ222" s="18"/>
      <c r="YR222" s="18"/>
      <c r="YS222" s="18"/>
      <c r="YT222" s="18"/>
      <c r="YU222" s="18"/>
      <c r="YV222" s="18"/>
      <c r="YW222" s="18"/>
      <c r="YX222" s="18"/>
      <c r="YY222" s="18"/>
      <c r="YZ222" s="18"/>
      <c r="ZA222" s="18"/>
      <c r="ZB222" s="18"/>
      <c r="ZC222" s="18"/>
      <c r="ZD222" s="18"/>
      <c r="ZE222" s="18"/>
      <c r="ZF222" s="18"/>
      <c r="ZG222" s="18"/>
      <c r="ZH222" s="18"/>
      <c r="ZI222" s="18"/>
      <c r="ZJ222" s="18"/>
      <c r="ZK222" s="18"/>
      <c r="ZL222" s="18"/>
      <c r="ZM222" s="18"/>
      <c r="ZN222" s="18"/>
      <c r="ZO222" s="18"/>
      <c r="ZP222" s="18"/>
      <c r="ZQ222" s="18"/>
      <c r="ZR222" s="18"/>
      <c r="ZS222" s="18"/>
      <c r="ZT222" s="18"/>
      <c r="ZU222" s="18"/>
      <c r="ZV222" s="18"/>
      <c r="ZW222" s="18"/>
      <c r="ZX222" s="18"/>
      <c r="ZY222" s="18"/>
      <c r="ZZ222" s="18"/>
      <c r="AAA222" s="18"/>
      <c r="AAB222" s="18"/>
      <c r="AAC222" s="18"/>
      <c r="AAD222" s="18"/>
      <c r="AAE222" s="18"/>
      <c r="AAF222" s="18"/>
      <c r="AAG222" s="18"/>
      <c r="AAH222" s="18"/>
      <c r="AAI222" s="18"/>
      <c r="AAJ222" s="18"/>
      <c r="AAK222" s="18"/>
      <c r="AAL222" s="18"/>
      <c r="AAM222" s="18"/>
      <c r="AAN222" s="18"/>
      <c r="AAO222" s="18"/>
      <c r="AAP222" s="18"/>
      <c r="AAQ222" s="18"/>
      <c r="AAR222" s="18"/>
      <c r="AAS222" s="18"/>
      <c r="AAT222" s="18"/>
      <c r="AAU222" s="18"/>
      <c r="AAV222" s="18"/>
      <c r="AAW222" s="18"/>
      <c r="AAX222" s="18"/>
      <c r="AAY222" s="18"/>
      <c r="AAZ222" s="18"/>
      <c r="ABA222" s="18"/>
      <c r="ABB222" s="18"/>
      <c r="ABC222" s="18"/>
      <c r="ABD222" s="18"/>
      <c r="ABE222" s="18"/>
      <c r="ABF222" s="18"/>
      <c r="ABG222" s="18"/>
      <c r="ABH222" s="18"/>
      <c r="ABI222" s="18"/>
      <c r="ABJ222" s="18"/>
      <c r="ABK222" s="18"/>
      <c r="ABL222" s="18"/>
      <c r="ABM222" s="18"/>
      <c r="ABN222" s="18"/>
      <c r="ABO222" s="18"/>
      <c r="ABP222" s="18"/>
      <c r="ABQ222" s="18"/>
      <c r="ABR222" s="18"/>
      <c r="ABS222" s="18"/>
      <c r="ABT222" s="18"/>
      <c r="ABU222" s="18"/>
      <c r="ABV222" s="18"/>
      <c r="ABW222" s="18"/>
      <c r="ABX222" s="18"/>
      <c r="ABY222" s="18"/>
      <c r="ABZ222" s="18"/>
      <c r="ACA222" s="18"/>
      <c r="ACB222" s="18"/>
      <c r="ACC222" s="18"/>
      <c r="ACD222" s="18"/>
      <c r="ACE222" s="18"/>
      <c r="ACF222" s="18"/>
      <c r="ACG222" s="18"/>
      <c r="ACH222" s="18"/>
      <c r="ACI222" s="18"/>
      <c r="ACJ222" s="18"/>
      <c r="ACK222" s="18"/>
      <c r="ACL222" s="18"/>
      <c r="ACM222" s="18"/>
      <c r="ACN222" s="18"/>
      <c r="ACO222" s="18"/>
      <c r="ACP222" s="18"/>
      <c r="ACQ222" s="18"/>
      <c r="ACR222" s="18"/>
      <c r="ACS222" s="18"/>
      <c r="ACT222" s="18"/>
      <c r="ACU222" s="18"/>
      <c r="ACV222" s="18"/>
      <c r="ACW222" s="18"/>
      <c r="ACX222" s="18"/>
      <c r="ACY222" s="18"/>
      <c r="ACZ222" s="18"/>
      <c r="ADA222" s="18"/>
      <c r="ADB222" s="18"/>
      <c r="ADC222" s="18"/>
      <c r="ADD222" s="18"/>
      <c r="ADE222" s="18"/>
      <c r="ADF222" s="18"/>
      <c r="ADG222" s="18"/>
      <c r="ADH222" s="18"/>
      <c r="ADI222" s="18"/>
      <c r="ADJ222" s="18"/>
      <c r="ADK222" s="18"/>
      <c r="ADL222" s="18"/>
      <c r="ADM222" s="18"/>
      <c r="ADN222" s="18"/>
      <c r="ADO222" s="18"/>
      <c r="ADP222" s="18"/>
      <c r="ADQ222" s="18"/>
      <c r="ADR222" s="18"/>
      <c r="ADS222" s="18"/>
      <c r="ADT222" s="18"/>
      <c r="ADU222" s="18"/>
      <c r="ADV222" s="18"/>
      <c r="ADW222" s="18"/>
      <c r="ADX222" s="18"/>
      <c r="ADY222" s="18"/>
      <c r="ADZ222" s="18"/>
      <c r="AEA222" s="18"/>
      <c r="AEB222" s="18"/>
      <c r="AEC222" s="18"/>
      <c r="AED222" s="18"/>
      <c r="AEE222" s="18"/>
      <c r="AEF222" s="18"/>
      <c r="AEG222" s="18"/>
      <c r="AEH222" s="18"/>
      <c r="AEI222" s="18"/>
      <c r="AEJ222" s="18"/>
      <c r="AEK222" s="18"/>
      <c r="AEL222" s="18"/>
      <c r="AEM222" s="18"/>
      <c r="AEN222" s="18"/>
      <c r="AEO222" s="18"/>
      <c r="AEP222" s="18"/>
      <c r="AEQ222" s="18"/>
      <c r="AER222" s="18"/>
      <c r="AES222" s="18"/>
      <c r="AET222" s="18"/>
      <c r="AEU222" s="18"/>
      <c r="AEV222" s="18"/>
      <c r="AEW222" s="18"/>
      <c r="AEX222" s="18"/>
      <c r="AEY222" s="18"/>
      <c r="AEZ222" s="18"/>
      <c r="AFA222" s="18"/>
      <c r="AFB222" s="18"/>
      <c r="AFC222" s="18"/>
      <c r="AFD222" s="18"/>
      <c r="AFE222" s="18"/>
      <c r="AFF222" s="18"/>
      <c r="AFG222" s="18"/>
      <c r="AFH222" s="18"/>
      <c r="AFI222" s="18"/>
      <c r="AFJ222" s="18"/>
      <c r="AFK222" s="18"/>
      <c r="AFL222" s="18"/>
      <c r="AFM222" s="18"/>
      <c r="AFN222" s="18"/>
      <c r="AFO222" s="18"/>
      <c r="AFP222" s="18"/>
      <c r="AFQ222" s="18"/>
      <c r="AFR222" s="18"/>
      <c r="AFS222" s="18"/>
      <c r="AFT222" s="18"/>
      <c r="AFU222" s="18"/>
      <c r="AFV222" s="18"/>
      <c r="AFW222" s="18"/>
      <c r="AFX222" s="18"/>
      <c r="AFY222" s="18"/>
      <c r="AFZ222" s="18"/>
      <c r="AGA222" s="18"/>
      <c r="AGB222" s="18"/>
      <c r="AGC222" s="18"/>
      <c r="AGD222" s="18"/>
      <c r="AGE222" s="18"/>
      <c r="AGF222" s="18"/>
      <c r="AGG222" s="18"/>
      <c r="AGH222" s="18"/>
      <c r="AGI222" s="18"/>
      <c r="AGJ222" s="18"/>
      <c r="AGK222" s="18"/>
      <c r="AGL222" s="18"/>
      <c r="AGM222" s="18"/>
      <c r="AGN222" s="18"/>
      <c r="AGO222" s="18"/>
      <c r="AGP222" s="18"/>
      <c r="AGQ222" s="18"/>
      <c r="AGR222" s="18"/>
      <c r="AGS222" s="18"/>
      <c r="AGT222" s="18"/>
      <c r="AGU222" s="18"/>
      <c r="AGV222" s="18"/>
      <c r="AGW222" s="18"/>
      <c r="AGX222" s="18"/>
      <c r="AGY222" s="18"/>
      <c r="AGZ222" s="18"/>
      <c r="AHA222" s="18"/>
      <c r="AHB222" s="18"/>
      <c r="AHC222" s="18"/>
      <c r="AHD222" s="18"/>
      <c r="AHE222" s="18"/>
      <c r="AHF222" s="18"/>
      <c r="AHG222" s="18"/>
      <c r="AHH222" s="18"/>
      <c r="AHI222" s="18"/>
      <c r="AHJ222" s="18"/>
      <c r="AHK222" s="18"/>
      <c r="AHL222" s="18"/>
      <c r="AHM222" s="18"/>
      <c r="AHN222" s="18"/>
      <c r="AHO222" s="18"/>
      <c r="AHP222" s="18"/>
      <c r="AHQ222" s="18"/>
      <c r="AHR222" s="18"/>
      <c r="AHS222" s="18"/>
      <c r="AHT222" s="18"/>
      <c r="AHU222" s="18"/>
      <c r="AHV222" s="18"/>
      <c r="AHW222" s="18"/>
      <c r="AHX222" s="18"/>
      <c r="AHY222" s="18"/>
      <c r="AHZ222" s="18"/>
      <c r="AIA222" s="18"/>
      <c r="AIB222" s="18"/>
      <c r="AIC222" s="18"/>
      <c r="AID222" s="18"/>
      <c r="AIE222" s="18"/>
      <c r="AIF222" s="18"/>
      <c r="AIG222" s="18"/>
      <c r="AIH222" s="18"/>
      <c r="AII222" s="18"/>
      <c r="AIJ222" s="18"/>
      <c r="AIK222" s="18"/>
      <c r="AIL222" s="18"/>
      <c r="AIM222" s="18"/>
      <c r="AIN222" s="18"/>
      <c r="AIO222" s="18"/>
      <c r="AIP222" s="18"/>
      <c r="AIQ222" s="18"/>
      <c r="AIR222" s="18"/>
      <c r="AIS222" s="18"/>
      <c r="AIT222" s="18"/>
      <c r="AIU222" s="18"/>
      <c r="AIV222" s="18"/>
      <c r="AIW222" s="18"/>
      <c r="AIX222" s="18"/>
      <c r="AIY222" s="18"/>
      <c r="AIZ222" s="18"/>
      <c r="AJA222" s="18"/>
      <c r="AJB222" s="18"/>
      <c r="AJC222" s="18"/>
      <c r="AJD222" s="18"/>
      <c r="AJE222" s="18"/>
      <c r="AJF222" s="18"/>
      <c r="AJG222" s="18"/>
      <c r="AJH222" s="18"/>
      <c r="AJI222" s="18"/>
      <c r="AJJ222" s="18"/>
      <c r="AJK222" s="18"/>
      <c r="AJL222" s="18"/>
      <c r="AJM222" s="18"/>
      <c r="AJN222" s="18"/>
      <c r="AJO222" s="18"/>
      <c r="AJP222" s="18"/>
      <c r="AJQ222" s="18"/>
      <c r="AJR222" s="18"/>
      <c r="AJS222" s="18"/>
      <c r="AJT222" s="18"/>
      <c r="AJU222" s="18"/>
      <c r="AJV222" s="18"/>
      <c r="AJW222" s="18"/>
      <c r="AJX222" s="18"/>
      <c r="AJY222" s="18"/>
      <c r="AJZ222" s="18"/>
      <c r="AKA222" s="18"/>
      <c r="AKB222" s="18"/>
      <c r="AKC222" s="18"/>
      <c r="AKD222" s="18"/>
      <c r="AKE222" s="18"/>
      <c r="AKF222" s="18"/>
      <c r="AKG222" s="18"/>
      <c r="AKH222" s="18"/>
      <c r="AKI222" s="18"/>
      <c r="AKJ222" s="18"/>
      <c r="AKK222" s="18"/>
      <c r="AKL222" s="18"/>
      <c r="AKM222" s="18"/>
      <c r="AKN222" s="18"/>
      <c r="AKO222" s="18"/>
      <c r="AKP222" s="18"/>
      <c r="AKQ222" s="18"/>
      <c r="AKR222" s="18"/>
      <c r="AKS222" s="18"/>
      <c r="AKT222" s="18"/>
      <c r="AKU222" s="18"/>
      <c r="AKV222" s="18"/>
      <c r="AKW222" s="18"/>
      <c r="AKX222" s="18"/>
      <c r="AKY222" s="18"/>
      <c r="AKZ222" s="18"/>
      <c r="ALA222" s="18"/>
      <c r="ALB222" s="18"/>
      <c r="ALC222" s="18"/>
      <c r="ALD222" s="18"/>
      <c r="ALE222" s="18"/>
      <c r="ALF222" s="18"/>
      <c r="ALG222" s="18"/>
      <c r="ALH222" s="18"/>
      <c r="ALI222" s="18"/>
      <c r="ALJ222" s="18"/>
      <c r="ALK222" s="18"/>
      <c r="ALL222" s="18"/>
      <c r="ALM222" s="18"/>
      <c r="ALN222" s="18"/>
      <c r="ALO222" s="18"/>
      <c r="ALP222" s="18"/>
      <c r="ALQ222" s="18"/>
      <c r="ALR222" s="18"/>
      <c r="ALS222" s="18"/>
      <c r="ALT222" s="18"/>
      <c r="ALU222" s="18"/>
      <c r="ALV222" s="18"/>
      <c r="ALW222" s="18"/>
      <c r="ALX222" s="18"/>
      <c r="ALY222" s="18"/>
      <c r="ALZ222" s="18"/>
      <c r="AMA222" s="18"/>
      <c r="AMB222" s="18"/>
      <c r="AMC222" s="18"/>
      <c r="AMD222" s="18"/>
      <c r="AME222" s="18"/>
      <c r="AMF222" s="18"/>
      <c r="AMG222" s="18"/>
      <c r="AMH222" s="18"/>
      <c r="AMI222" s="18"/>
      <c r="AMJ222" s="18"/>
      <c r="AMK222" s="18"/>
      <c r="AML222" s="18"/>
      <c r="AMM222" s="18"/>
      <c r="AMN222" s="18"/>
      <c r="AMO222" s="18"/>
      <c r="AMP222" s="18"/>
      <c r="AMQ222" s="18"/>
      <c r="AMR222" s="18"/>
      <c r="AMS222" s="18"/>
      <c r="AMT222" s="18"/>
      <c r="AMU222" s="18"/>
      <c r="AMV222" s="18"/>
      <c r="AMW222" s="18"/>
      <c r="AMX222" s="18"/>
      <c r="AMY222" s="18"/>
      <c r="AMZ222" s="18"/>
      <c r="ANA222" s="18"/>
      <c r="ANB222" s="18"/>
      <c r="ANC222" s="18"/>
      <c r="AND222" s="18"/>
      <c r="ANE222" s="18"/>
      <c r="ANF222" s="18"/>
      <c r="ANG222" s="18"/>
      <c r="ANH222" s="18"/>
      <c r="ANI222" s="18"/>
      <c r="ANJ222" s="18"/>
      <c r="ANK222" s="18"/>
      <c r="ANL222" s="18"/>
      <c r="ANM222" s="18"/>
      <c r="ANN222" s="18"/>
      <c r="ANO222" s="18"/>
      <c r="ANP222" s="18"/>
      <c r="ANQ222" s="18"/>
      <c r="ANR222" s="18"/>
      <c r="ANS222" s="18"/>
      <c r="ANT222" s="18"/>
      <c r="ANU222" s="18"/>
      <c r="ANV222" s="18"/>
      <c r="ANW222" s="18"/>
      <c r="ANX222" s="18"/>
      <c r="ANY222" s="18"/>
      <c r="ANZ222" s="18"/>
      <c r="AOA222" s="18"/>
      <c r="AOB222" s="18"/>
      <c r="AOC222" s="18"/>
      <c r="AOD222" s="18"/>
      <c r="AOE222" s="18"/>
      <c r="AOF222" s="18"/>
      <c r="AOG222" s="18"/>
      <c r="AOH222" s="18"/>
      <c r="AOI222" s="18"/>
      <c r="AOJ222" s="18"/>
      <c r="AOK222" s="18"/>
      <c r="AOL222" s="18"/>
      <c r="AOM222" s="18"/>
      <c r="AON222" s="18"/>
      <c r="AOO222" s="18"/>
      <c r="AOP222" s="18"/>
      <c r="AOQ222" s="18"/>
      <c r="AOR222" s="18"/>
      <c r="AOS222" s="18"/>
      <c r="AOT222" s="18"/>
      <c r="AOU222" s="18"/>
      <c r="AOV222" s="18"/>
      <c r="AOW222" s="18"/>
      <c r="AOX222" s="18"/>
      <c r="AOY222" s="18"/>
      <c r="AOZ222" s="18"/>
      <c r="APA222" s="18"/>
      <c r="APB222" s="18"/>
      <c r="APC222" s="18"/>
      <c r="APD222" s="18"/>
      <c r="APE222" s="18"/>
      <c r="APF222" s="18"/>
      <c r="APG222" s="18"/>
      <c r="APH222" s="18"/>
      <c r="API222" s="18"/>
      <c r="APJ222" s="18"/>
      <c r="APK222" s="18"/>
      <c r="APL222" s="18"/>
      <c r="APM222" s="18"/>
      <c r="APN222" s="18"/>
      <c r="APO222" s="18"/>
      <c r="APP222" s="18"/>
      <c r="APQ222" s="18"/>
      <c r="APR222" s="18"/>
      <c r="APS222" s="18"/>
      <c r="APT222" s="18"/>
      <c r="APU222" s="18"/>
      <c r="APV222" s="18"/>
      <c r="APW222" s="18"/>
      <c r="APX222" s="18"/>
      <c r="APY222" s="18"/>
      <c r="APZ222" s="18"/>
      <c r="AQA222" s="18"/>
      <c r="AQB222" s="18"/>
      <c r="AQC222" s="18"/>
      <c r="AQD222" s="18"/>
      <c r="AQE222" s="18"/>
      <c r="AQF222" s="18"/>
      <c r="AQG222" s="18"/>
      <c r="AQH222" s="18"/>
      <c r="AQI222" s="18"/>
      <c r="AQJ222" s="18"/>
      <c r="AQK222" s="18"/>
      <c r="AQL222" s="18"/>
      <c r="AQM222" s="18"/>
      <c r="AQN222" s="18"/>
      <c r="AQO222" s="18"/>
      <c r="AQP222" s="18"/>
      <c r="AQQ222" s="18"/>
      <c r="AQR222" s="18"/>
      <c r="AQS222" s="18"/>
      <c r="AQT222" s="18"/>
      <c r="AQU222" s="18"/>
      <c r="AQV222" s="18"/>
      <c r="AQW222" s="18"/>
      <c r="AQX222" s="18"/>
      <c r="AQY222" s="18"/>
      <c r="AQZ222" s="18"/>
      <c r="ARA222" s="18"/>
      <c r="ARB222" s="18"/>
      <c r="ARC222" s="18"/>
      <c r="ARD222" s="18"/>
      <c r="ARE222" s="18"/>
      <c r="ARF222" s="18"/>
      <c r="ARG222" s="18"/>
      <c r="ARH222" s="18"/>
      <c r="ARI222" s="18"/>
      <c r="ARJ222" s="18"/>
      <c r="ARK222" s="18"/>
      <c r="ARL222" s="18"/>
      <c r="ARM222" s="18"/>
      <c r="ARN222" s="18"/>
      <c r="ARO222" s="18"/>
      <c r="ARP222" s="18"/>
      <c r="ARQ222" s="18"/>
      <c r="ARR222" s="18"/>
      <c r="ARS222" s="18"/>
      <c r="ART222" s="18"/>
      <c r="ARU222" s="18"/>
      <c r="ARV222" s="18"/>
      <c r="ARW222" s="18"/>
      <c r="ARX222" s="18"/>
      <c r="ARY222" s="18"/>
      <c r="ARZ222" s="18"/>
      <c r="ASA222" s="18"/>
      <c r="ASB222" s="18"/>
      <c r="ASC222" s="18"/>
      <c r="ASD222" s="18"/>
      <c r="ASE222" s="18"/>
      <c r="ASF222" s="18"/>
      <c r="ASG222" s="18"/>
      <c r="ASH222" s="18"/>
      <c r="ASI222" s="18"/>
      <c r="ASJ222" s="18"/>
      <c r="ASK222" s="18"/>
      <c r="ASL222" s="18"/>
      <c r="ASM222" s="18"/>
      <c r="ASN222" s="18"/>
      <c r="ASO222" s="18"/>
      <c r="ASP222" s="18"/>
      <c r="ASQ222" s="18"/>
      <c r="ASR222" s="18"/>
      <c r="ASS222" s="18"/>
      <c r="AST222" s="18"/>
      <c r="ASU222" s="18"/>
      <c r="ASV222" s="18"/>
      <c r="ASW222" s="18"/>
      <c r="ASX222" s="18"/>
      <c r="ASY222" s="18"/>
      <c r="ASZ222" s="18"/>
      <c r="ATA222" s="18"/>
      <c r="ATB222" s="18"/>
      <c r="ATC222" s="18"/>
      <c r="ATD222" s="18"/>
      <c r="ATE222" s="18"/>
      <c r="ATF222" s="18"/>
      <c r="ATG222" s="18"/>
      <c r="ATH222" s="18"/>
      <c r="ATI222" s="18"/>
      <c r="ATJ222" s="18"/>
      <c r="ATK222" s="18"/>
      <c r="ATL222" s="18"/>
      <c r="ATM222" s="18"/>
      <c r="ATN222" s="18"/>
      <c r="ATO222" s="18"/>
      <c r="ATP222" s="18"/>
      <c r="ATQ222" s="18"/>
      <c r="ATR222" s="18"/>
      <c r="ATS222" s="18"/>
      <c r="ATT222" s="18"/>
      <c r="ATU222" s="18"/>
      <c r="ATV222" s="18"/>
      <c r="ATW222" s="18"/>
      <c r="ATX222" s="18"/>
      <c r="ATY222" s="18"/>
      <c r="ATZ222" s="18"/>
      <c r="AUA222" s="18"/>
      <c r="AUB222" s="18"/>
      <c r="AUC222" s="18"/>
      <c r="AUD222" s="18"/>
      <c r="AUE222" s="18"/>
      <c r="AUF222" s="18"/>
      <c r="AUG222" s="18"/>
      <c r="AUH222" s="18"/>
      <c r="AUI222" s="18"/>
      <c r="AUJ222" s="18"/>
      <c r="AUK222" s="18"/>
      <c r="AUL222" s="18"/>
      <c r="AUM222" s="18"/>
      <c r="AUN222" s="18"/>
      <c r="AUO222" s="18"/>
      <c r="AUP222" s="18"/>
      <c r="AUQ222" s="18"/>
      <c r="AUR222" s="18"/>
      <c r="AUS222" s="18"/>
      <c r="AUT222" s="18"/>
      <c r="AUU222" s="18"/>
      <c r="AUV222" s="18"/>
      <c r="AUW222" s="18"/>
      <c r="AUX222" s="18"/>
      <c r="AUY222" s="18"/>
      <c r="AUZ222" s="18"/>
      <c r="AVA222" s="18"/>
      <c r="AVB222" s="18"/>
      <c r="AVC222" s="18"/>
      <c r="AVD222" s="18"/>
      <c r="AVE222" s="18"/>
      <c r="AVF222" s="18"/>
      <c r="AVG222" s="18"/>
      <c r="AVH222" s="18"/>
      <c r="AVI222" s="18"/>
      <c r="AVJ222" s="18"/>
      <c r="AVK222" s="18"/>
      <c r="AVL222" s="18"/>
      <c r="AVM222" s="18"/>
      <c r="AVN222" s="18"/>
      <c r="AVO222" s="18"/>
      <c r="AVP222" s="18"/>
      <c r="AVQ222" s="18"/>
      <c r="AVR222" s="18"/>
      <c r="AVS222" s="18"/>
      <c r="AVT222" s="18"/>
      <c r="AVU222" s="18"/>
      <c r="AVV222" s="18"/>
      <c r="AVW222" s="18"/>
      <c r="AVX222" s="18"/>
      <c r="AVY222" s="18"/>
      <c r="AVZ222" s="18"/>
      <c r="AWA222" s="18"/>
      <c r="AWB222" s="18"/>
      <c r="AWC222" s="18"/>
      <c r="AWD222" s="18"/>
      <c r="AWE222" s="18"/>
      <c r="AWF222" s="18"/>
      <c r="AWG222" s="18"/>
      <c r="AWH222" s="18"/>
      <c r="AWI222" s="18"/>
      <c r="AWJ222" s="18"/>
      <c r="AWK222" s="18"/>
      <c r="AWL222" s="18"/>
      <c r="AWM222" s="18"/>
      <c r="AWN222" s="18"/>
      <c r="AWO222" s="18"/>
      <c r="AWP222" s="18"/>
      <c r="AWQ222" s="18"/>
      <c r="AWR222" s="18"/>
      <c r="AWS222" s="18"/>
      <c r="AWT222" s="18"/>
      <c r="AWU222" s="18"/>
      <c r="AWV222" s="18"/>
      <c r="AWW222" s="18"/>
      <c r="AWX222" s="18"/>
      <c r="AWY222" s="18"/>
      <c r="AWZ222" s="18"/>
      <c r="AXA222" s="18"/>
      <c r="AXB222" s="18"/>
      <c r="AXC222" s="18"/>
      <c r="AXD222" s="18"/>
      <c r="AXE222" s="18"/>
      <c r="AXF222" s="18"/>
      <c r="AXG222" s="18"/>
      <c r="AXH222" s="18"/>
      <c r="AXI222" s="18"/>
      <c r="AXJ222" s="18"/>
      <c r="AXK222" s="18"/>
      <c r="AXL222" s="18"/>
      <c r="AXM222" s="18"/>
      <c r="AXN222" s="18"/>
      <c r="AXO222" s="18"/>
      <c r="AXP222" s="18"/>
      <c r="AXQ222" s="18"/>
      <c r="AXR222" s="18"/>
      <c r="AXS222" s="18"/>
      <c r="AXT222" s="18"/>
      <c r="AXU222" s="18"/>
      <c r="AXV222" s="18"/>
      <c r="AXW222" s="18"/>
      <c r="AXX222" s="18"/>
      <c r="AXY222" s="18"/>
      <c r="AXZ222" s="18"/>
      <c r="AYA222" s="18"/>
      <c r="AYB222" s="18"/>
      <c r="AYC222" s="18"/>
      <c r="AYD222" s="18"/>
      <c r="AYE222" s="18"/>
      <c r="AYF222" s="18"/>
      <c r="AYG222" s="18"/>
      <c r="AYH222" s="18"/>
      <c r="AYI222" s="18"/>
      <c r="AYJ222" s="18"/>
      <c r="AYK222" s="18"/>
      <c r="AYL222" s="18"/>
      <c r="AYM222" s="18"/>
      <c r="AYN222" s="18"/>
      <c r="AYO222" s="18"/>
      <c r="AYP222" s="18"/>
      <c r="AYQ222" s="18"/>
      <c r="AYR222" s="18"/>
      <c r="AYS222" s="18"/>
      <c r="AYT222" s="18"/>
      <c r="AYU222" s="18"/>
      <c r="AYV222" s="18"/>
      <c r="AYW222" s="18"/>
      <c r="AYX222" s="18"/>
      <c r="AYY222" s="18"/>
      <c r="AYZ222" s="18"/>
      <c r="AZA222" s="18"/>
      <c r="AZB222" s="18"/>
      <c r="AZC222" s="18"/>
      <c r="AZD222" s="18"/>
      <c r="AZE222" s="18"/>
      <c r="AZF222" s="18"/>
      <c r="AZG222" s="18"/>
      <c r="AZH222" s="18"/>
      <c r="AZI222" s="18"/>
      <c r="AZJ222" s="18"/>
      <c r="AZK222" s="18"/>
      <c r="AZL222" s="18"/>
      <c r="AZM222" s="18"/>
      <c r="AZN222" s="18"/>
      <c r="AZO222" s="18"/>
      <c r="AZP222" s="18"/>
      <c r="AZQ222" s="18"/>
      <c r="AZR222" s="18"/>
      <c r="AZS222" s="18"/>
      <c r="AZT222" s="18"/>
      <c r="AZU222" s="18"/>
      <c r="AZV222" s="18"/>
      <c r="AZW222" s="18"/>
      <c r="AZX222" s="18"/>
      <c r="AZY222" s="18"/>
      <c r="AZZ222" s="18"/>
      <c r="BAA222" s="18"/>
      <c r="BAB222" s="18"/>
      <c r="BAC222" s="18"/>
      <c r="BAD222" s="18"/>
      <c r="BAE222" s="18"/>
      <c r="BAF222" s="18"/>
      <c r="BAG222" s="18"/>
      <c r="BAH222" s="18"/>
      <c r="BAI222" s="18"/>
      <c r="BAJ222" s="18"/>
      <c r="BAK222" s="18"/>
      <c r="BAL222" s="18"/>
      <c r="BAM222" s="18"/>
      <c r="BAN222" s="18"/>
      <c r="BAO222" s="18"/>
      <c r="BAP222" s="18"/>
      <c r="BAQ222" s="18"/>
      <c r="BAR222" s="18"/>
      <c r="BAS222" s="18"/>
      <c r="BAT222" s="18"/>
      <c r="BAU222" s="18"/>
      <c r="BAV222" s="18"/>
      <c r="BAW222" s="18"/>
      <c r="BAX222" s="18"/>
      <c r="BAY222" s="18"/>
      <c r="BAZ222" s="18"/>
      <c r="BBA222" s="18"/>
      <c r="BBB222" s="18"/>
      <c r="BBC222" s="18"/>
      <c r="BBD222" s="18"/>
      <c r="BBE222" s="18"/>
      <c r="BBF222" s="18"/>
      <c r="BBG222" s="18"/>
      <c r="BBH222" s="18"/>
      <c r="BBI222" s="18"/>
      <c r="BBJ222" s="18"/>
      <c r="BBK222" s="18"/>
      <c r="BBL222" s="18"/>
      <c r="BBM222" s="18"/>
      <c r="BBN222" s="18"/>
      <c r="BBO222" s="18"/>
      <c r="BBP222" s="18"/>
      <c r="BBQ222" s="18"/>
      <c r="BBR222" s="18"/>
      <c r="BBS222" s="18"/>
      <c r="BBT222" s="18"/>
      <c r="BBU222" s="18"/>
      <c r="BBV222" s="18"/>
      <c r="BBW222" s="18"/>
      <c r="BBX222" s="18"/>
      <c r="BBY222" s="18"/>
      <c r="BBZ222" s="18"/>
      <c r="BCA222" s="18"/>
      <c r="BCB222" s="18"/>
      <c r="BCC222" s="18"/>
      <c r="BCD222" s="18"/>
      <c r="BCE222" s="18"/>
      <c r="BCF222" s="18"/>
      <c r="BCG222" s="18"/>
      <c r="BCH222" s="18"/>
      <c r="BCI222" s="18"/>
      <c r="BCJ222" s="18"/>
      <c r="BCK222" s="18"/>
      <c r="BCL222" s="18"/>
      <c r="BCM222" s="18"/>
      <c r="BCN222" s="18"/>
      <c r="BCO222" s="18"/>
      <c r="BCP222" s="18"/>
      <c r="BCQ222" s="18"/>
      <c r="BCR222" s="18"/>
      <c r="BCS222" s="18"/>
      <c r="BCT222" s="18"/>
      <c r="BCU222" s="18"/>
      <c r="BCV222" s="18"/>
      <c r="BCW222" s="18"/>
      <c r="BCX222" s="18"/>
      <c r="BCY222" s="18"/>
      <c r="BCZ222" s="18"/>
      <c r="BDA222" s="18"/>
      <c r="BDB222" s="18"/>
      <c r="BDC222" s="18"/>
      <c r="BDD222" s="18"/>
      <c r="BDE222" s="18"/>
      <c r="BDF222" s="18"/>
      <c r="BDG222" s="18"/>
      <c r="BDH222" s="18"/>
      <c r="BDI222" s="18"/>
      <c r="BDJ222" s="18"/>
      <c r="BDK222" s="18"/>
      <c r="BDL222" s="18"/>
      <c r="BDM222" s="18"/>
      <c r="BDN222" s="18"/>
      <c r="BDO222" s="18"/>
      <c r="BDP222" s="18"/>
      <c r="BDQ222" s="18"/>
      <c r="BDR222" s="18"/>
      <c r="BDS222" s="18"/>
      <c r="BDT222" s="18"/>
      <c r="BDU222" s="18"/>
      <c r="BDV222" s="18"/>
      <c r="BDW222" s="18"/>
      <c r="BDX222" s="18"/>
      <c r="BDY222" s="18"/>
      <c r="BDZ222" s="18"/>
      <c r="BEA222" s="18"/>
      <c r="BEB222" s="18"/>
      <c r="BEC222" s="18"/>
      <c r="BED222" s="18"/>
      <c r="BEE222" s="18"/>
      <c r="BEF222" s="18"/>
      <c r="BEG222" s="18"/>
      <c r="BEH222" s="18"/>
      <c r="BEI222" s="18"/>
      <c r="BEJ222" s="18"/>
      <c r="BEK222" s="18"/>
      <c r="BEL222" s="18"/>
      <c r="BEM222" s="18"/>
      <c r="BEN222" s="18"/>
      <c r="BEO222" s="18"/>
      <c r="BEP222" s="18"/>
      <c r="BEQ222" s="18"/>
      <c r="BER222" s="18"/>
      <c r="BES222" s="18"/>
      <c r="BET222" s="18"/>
      <c r="BEU222" s="18"/>
      <c r="BEV222" s="18"/>
      <c r="BEW222" s="18"/>
      <c r="BEX222" s="18"/>
      <c r="BEY222" s="18"/>
      <c r="BEZ222" s="18"/>
      <c r="BFA222" s="18"/>
      <c r="BFB222" s="18"/>
      <c r="BFC222" s="18"/>
      <c r="BFD222" s="18"/>
      <c r="BFE222" s="18"/>
      <c r="BFF222" s="18"/>
      <c r="BFG222" s="18"/>
      <c r="BFH222" s="18"/>
      <c r="BFI222" s="18"/>
      <c r="BFJ222" s="18"/>
      <c r="BFK222" s="18"/>
      <c r="BFL222" s="18"/>
      <c r="BFM222" s="18"/>
      <c r="BFN222" s="18"/>
      <c r="BFO222" s="18"/>
      <c r="BFP222" s="18"/>
      <c r="BFQ222" s="18"/>
      <c r="BFR222" s="18"/>
      <c r="BFS222" s="18"/>
      <c r="BFT222" s="18"/>
      <c r="BFU222" s="18"/>
      <c r="BFV222" s="18"/>
      <c r="BFW222" s="18"/>
      <c r="BFX222" s="18"/>
      <c r="BFY222" s="18"/>
      <c r="BFZ222" s="18"/>
      <c r="BGA222" s="18"/>
      <c r="BGB222" s="18"/>
      <c r="BGC222" s="18"/>
      <c r="BGD222" s="18"/>
      <c r="BGE222" s="18"/>
      <c r="BGF222" s="18"/>
      <c r="BGG222" s="18"/>
      <c r="BGH222" s="18"/>
      <c r="BGI222" s="18"/>
      <c r="BGJ222" s="18"/>
      <c r="BGK222" s="18"/>
      <c r="BGL222" s="18"/>
      <c r="BGM222" s="18"/>
      <c r="BGN222" s="18"/>
      <c r="BGO222" s="18"/>
      <c r="BGP222" s="18"/>
      <c r="BGQ222" s="18"/>
      <c r="BGR222" s="18"/>
      <c r="BGS222" s="18"/>
      <c r="BGT222" s="18"/>
      <c r="BGU222" s="18"/>
      <c r="BGV222" s="18"/>
      <c r="BGW222" s="18"/>
      <c r="BGX222" s="18"/>
      <c r="BGY222" s="18"/>
      <c r="BGZ222" s="18"/>
      <c r="BHA222" s="18"/>
      <c r="BHB222" s="18"/>
      <c r="BHC222" s="18"/>
      <c r="BHD222" s="18"/>
      <c r="BHE222" s="18"/>
      <c r="BHF222" s="18"/>
      <c r="BHG222" s="18"/>
      <c r="BHH222" s="18"/>
      <c r="BHI222" s="18"/>
      <c r="BHJ222" s="18"/>
      <c r="BHK222" s="18"/>
      <c r="BHL222" s="18"/>
      <c r="BHM222" s="18"/>
      <c r="BHN222" s="18"/>
      <c r="BHO222" s="18"/>
      <c r="BHP222" s="18"/>
      <c r="BHQ222" s="18"/>
      <c r="BHR222" s="18"/>
      <c r="BHS222" s="18"/>
      <c r="BHT222" s="18"/>
      <c r="BHU222" s="18"/>
      <c r="BHV222" s="18"/>
      <c r="BHW222" s="18"/>
      <c r="BHX222" s="18"/>
      <c r="BHY222" s="18"/>
      <c r="BHZ222" s="18"/>
      <c r="BIA222" s="18"/>
      <c r="BIB222" s="18"/>
      <c r="BIC222" s="18"/>
      <c r="BID222" s="18"/>
      <c r="BIE222" s="18"/>
      <c r="BIF222" s="18"/>
      <c r="BIG222" s="18"/>
      <c r="BIH222" s="18"/>
      <c r="BII222" s="18"/>
      <c r="BIJ222" s="18"/>
      <c r="BIK222" s="18"/>
      <c r="BIL222" s="18"/>
      <c r="BIM222" s="18"/>
      <c r="BIN222" s="18"/>
      <c r="BIO222" s="18"/>
      <c r="BIP222" s="18"/>
      <c r="BIQ222" s="18"/>
      <c r="BIR222" s="18"/>
      <c r="BIS222" s="18"/>
      <c r="BIT222" s="18"/>
      <c r="BIU222" s="18"/>
      <c r="BIV222" s="18"/>
      <c r="BIW222" s="18"/>
      <c r="BIX222" s="18"/>
      <c r="BIY222" s="18"/>
      <c r="BIZ222" s="18"/>
      <c r="BJA222" s="18"/>
      <c r="BJB222" s="18"/>
      <c r="BJC222" s="18"/>
      <c r="BJD222" s="18"/>
      <c r="BJE222" s="18"/>
      <c r="BJF222" s="18"/>
      <c r="BJG222" s="18"/>
      <c r="BJH222" s="18"/>
      <c r="BJI222" s="18"/>
      <c r="BJJ222" s="18"/>
      <c r="BJK222" s="18"/>
      <c r="BJL222" s="18"/>
      <c r="BJM222" s="18"/>
      <c r="BJN222" s="18"/>
      <c r="BJO222" s="18"/>
      <c r="BJP222" s="18"/>
      <c r="BJQ222" s="18"/>
      <c r="BJR222" s="18"/>
      <c r="BJS222" s="18"/>
      <c r="BJT222" s="18"/>
      <c r="BJU222" s="18"/>
      <c r="BJV222" s="18"/>
      <c r="BJW222" s="18"/>
      <c r="BJX222" s="18"/>
      <c r="BJY222" s="18"/>
      <c r="BJZ222" s="18"/>
      <c r="BKA222" s="18"/>
      <c r="BKB222" s="18"/>
      <c r="BKC222" s="18"/>
      <c r="BKD222" s="18"/>
      <c r="BKE222" s="18"/>
      <c r="BKF222" s="18"/>
      <c r="BKG222" s="18"/>
      <c r="BKH222" s="18"/>
      <c r="BKI222" s="18"/>
      <c r="BKJ222" s="18"/>
      <c r="BKK222" s="18"/>
      <c r="BKL222" s="18"/>
      <c r="BKM222" s="18"/>
      <c r="BKN222" s="18"/>
      <c r="BKO222" s="18"/>
      <c r="BKP222" s="18"/>
      <c r="BKQ222" s="18"/>
      <c r="BKR222" s="18"/>
      <c r="BKS222" s="18"/>
      <c r="BKT222" s="18"/>
      <c r="BKU222" s="18"/>
      <c r="BKV222" s="18"/>
      <c r="BKW222" s="18"/>
      <c r="BKX222" s="18"/>
      <c r="BKY222" s="18"/>
      <c r="BKZ222" s="18"/>
      <c r="BLA222" s="18"/>
      <c r="BLB222" s="18"/>
      <c r="BLC222" s="18"/>
      <c r="BLD222" s="18"/>
      <c r="BLE222" s="18"/>
      <c r="BLF222" s="18"/>
      <c r="BLG222" s="18"/>
      <c r="BLH222" s="18"/>
      <c r="BLI222" s="18"/>
      <c r="BLJ222" s="18"/>
      <c r="BLK222" s="18"/>
      <c r="BLL222" s="18"/>
      <c r="BLM222" s="18"/>
      <c r="BLN222" s="18"/>
      <c r="BLO222" s="18"/>
      <c r="BLP222" s="18"/>
      <c r="BLQ222" s="18"/>
      <c r="BLR222" s="18"/>
      <c r="BLS222" s="18"/>
      <c r="BLT222" s="18"/>
      <c r="BLU222" s="18"/>
      <c r="BLV222" s="18"/>
      <c r="BLW222" s="18"/>
      <c r="BLX222" s="18"/>
      <c r="BLY222" s="18"/>
      <c r="BLZ222" s="18"/>
      <c r="BMA222" s="18"/>
      <c r="BMB222" s="18"/>
      <c r="BMC222" s="18"/>
      <c r="BMD222" s="18"/>
      <c r="BME222" s="18"/>
      <c r="BMF222" s="18"/>
      <c r="BMG222" s="18"/>
      <c r="BMH222" s="18"/>
      <c r="BMI222" s="18"/>
      <c r="BMJ222" s="18"/>
      <c r="BMK222" s="18"/>
      <c r="BML222" s="18"/>
      <c r="BMM222" s="18"/>
      <c r="BMN222" s="18"/>
      <c r="BMO222" s="18"/>
      <c r="BMP222" s="18"/>
      <c r="BMQ222" s="18"/>
      <c r="BMR222" s="18"/>
      <c r="BMS222" s="18"/>
      <c r="BMT222" s="18"/>
      <c r="BMU222" s="18"/>
      <c r="BMV222" s="18"/>
      <c r="BMW222" s="18"/>
      <c r="BMX222" s="18"/>
      <c r="BMY222" s="18"/>
      <c r="BMZ222" s="18"/>
      <c r="BNA222" s="18"/>
      <c r="BNB222" s="18"/>
      <c r="BNC222" s="18"/>
      <c r="BND222" s="18"/>
      <c r="BNE222" s="18"/>
      <c r="BNF222" s="18"/>
      <c r="BNG222" s="18"/>
      <c r="BNH222" s="18"/>
      <c r="BNI222" s="18"/>
      <c r="BNJ222" s="18"/>
      <c r="BNK222" s="18"/>
      <c r="BNL222" s="18"/>
      <c r="BNM222" s="18"/>
      <c r="BNN222" s="18"/>
      <c r="BNO222" s="18"/>
      <c r="BNP222" s="18"/>
      <c r="BNQ222" s="18"/>
      <c r="BNR222" s="18"/>
      <c r="BNS222" s="18"/>
      <c r="BNT222" s="18"/>
      <c r="BNU222" s="18"/>
      <c r="BNV222" s="18"/>
      <c r="BNW222" s="18"/>
      <c r="BNX222" s="18"/>
      <c r="BNY222" s="18"/>
      <c r="BNZ222" s="18"/>
      <c r="BOA222" s="18"/>
      <c r="BOB222" s="18"/>
      <c r="BOC222" s="18"/>
      <c r="BOD222" s="18"/>
      <c r="BOE222" s="18"/>
      <c r="BOF222" s="18"/>
      <c r="BOG222" s="18"/>
      <c r="BOH222" s="18"/>
      <c r="BOI222" s="18"/>
      <c r="BOJ222" s="18"/>
      <c r="BOK222" s="18"/>
      <c r="BOL222" s="18"/>
      <c r="BOM222" s="18"/>
      <c r="BON222" s="18"/>
      <c r="BOO222" s="18"/>
      <c r="BOP222" s="18"/>
      <c r="BOQ222" s="18"/>
      <c r="BOR222" s="18"/>
      <c r="BOS222" s="18"/>
      <c r="BOT222" s="18"/>
      <c r="BOU222" s="18"/>
      <c r="BOV222" s="18"/>
      <c r="BOW222" s="18"/>
      <c r="BOX222" s="18"/>
      <c r="BOY222" s="18"/>
      <c r="BOZ222" s="18"/>
      <c r="BPA222" s="18"/>
      <c r="BPB222" s="18"/>
      <c r="BPC222" s="18"/>
      <c r="BPD222" s="18"/>
      <c r="BPE222" s="18"/>
      <c r="BPF222" s="18"/>
      <c r="BPG222" s="18"/>
      <c r="BPH222" s="18"/>
      <c r="BPI222" s="18"/>
      <c r="BPJ222" s="18"/>
      <c r="BPK222" s="18"/>
      <c r="BPL222" s="18"/>
      <c r="BPM222" s="18"/>
      <c r="BPN222" s="18"/>
      <c r="BPO222" s="18"/>
      <c r="BPP222" s="18"/>
      <c r="BPQ222" s="18"/>
      <c r="BPR222" s="18"/>
      <c r="BPS222" s="18"/>
      <c r="BPT222" s="18"/>
      <c r="BPU222" s="18"/>
      <c r="BPV222" s="18"/>
      <c r="BPW222" s="18"/>
      <c r="BPX222" s="18"/>
      <c r="BPY222" s="18"/>
      <c r="BPZ222" s="18"/>
      <c r="BQA222" s="18"/>
      <c r="BQB222" s="18"/>
      <c r="BQC222" s="18"/>
      <c r="BQD222" s="18"/>
      <c r="BQE222" s="18"/>
      <c r="BQF222" s="18"/>
      <c r="BQG222" s="18"/>
      <c r="BQH222" s="18"/>
      <c r="BQI222" s="18"/>
      <c r="BQJ222" s="18"/>
      <c r="BQK222" s="18"/>
      <c r="BQL222" s="18"/>
      <c r="BQM222" s="18"/>
      <c r="BQN222" s="18"/>
      <c r="BQO222" s="18"/>
      <c r="BQP222" s="18"/>
      <c r="BQQ222" s="18"/>
      <c r="BQR222" s="18"/>
      <c r="BQS222" s="18"/>
      <c r="BQT222" s="18"/>
      <c r="BQU222" s="18"/>
      <c r="BQV222" s="18"/>
      <c r="BQW222" s="18"/>
      <c r="BQX222" s="18"/>
      <c r="BQY222" s="18"/>
      <c r="BQZ222" s="18"/>
      <c r="BRA222" s="18"/>
      <c r="BRB222" s="18"/>
      <c r="BRC222" s="18"/>
      <c r="BRD222" s="18"/>
      <c r="BRE222" s="18"/>
      <c r="BRF222" s="18"/>
      <c r="BRG222" s="18"/>
      <c r="BRH222" s="18"/>
      <c r="BRI222" s="18"/>
      <c r="BRJ222" s="18"/>
      <c r="BRK222" s="18"/>
      <c r="BRL222" s="18"/>
      <c r="BRM222" s="18"/>
      <c r="BRN222" s="18"/>
      <c r="BRO222" s="18"/>
      <c r="BRP222" s="18"/>
      <c r="BRQ222" s="18"/>
      <c r="BRR222" s="18"/>
      <c r="BRS222" s="18"/>
      <c r="BRT222" s="18"/>
      <c r="BRU222" s="18"/>
      <c r="BRV222" s="18"/>
      <c r="BRW222" s="18"/>
      <c r="BRX222" s="18"/>
      <c r="BRY222" s="18"/>
      <c r="BRZ222" s="18"/>
      <c r="BSA222" s="18"/>
      <c r="BSB222" s="18"/>
      <c r="BSC222" s="18"/>
      <c r="BSD222" s="18"/>
      <c r="BSE222" s="18"/>
      <c r="BSF222" s="18"/>
      <c r="BSG222" s="18"/>
      <c r="BSH222" s="18"/>
      <c r="BSI222" s="18"/>
      <c r="BSJ222" s="18"/>
      <c r="BSK222" s="18"/>
      <c r="BSL222" s="18"/>
      <c r="BSM222" s="18"/>
      <c r="BSN222" s="18"/>
      <c r="BSO222" s="18"/>
      <c r="BSP222" s="18"/>
      <c r="BSQ222" s="18"/>
      <c r="BSR222" s="18"/>
      <c r="BSS222" s="18"/>
      <c r="BST222" s="18"/>
      <c r="BSU222" s="18"/>
      <c r="BSV222" s="18"/>
      <c r="BSW222" s="18"/>
      <c r="BSX222" s="18"/>
      <c r="BSY222" s="18"/>
      <c r="BSZ222" s="18"/>
      <c r="BTA222" s="18"/>
      <c r="BTB222" s="18"/>
      <c r="BTC222" s="18"/>
      <c r="BTD222" s="18"/>
      <c r="BTE222" s="18"/>
      <c r="BTF222" s="18"/>
      <c r="BTG222" s="18"/>
      <c r="BTH222" s="18"/>
      <c r="BTI222" s="18"/>
    </row>
    <row r="223" spans="1:1881" s="428" customFormat="1" ht="110.25" customHeight="1" x14ac:dyDescent="0.3">
      <c r="A223" s="100">
        <v>622</v>
      </c>
      <c r="B223" s="429" t="s">
        <v>326</v>
      </c>
      <c r="C223" s="117" t="s">
        <v>354</v>
      </c>
      <c r="D223" s="116" t="s">
        <v>673</v>
      </c>
      <c r="E223" s="373" t="e">
        <f>INDEX('PY1 Data(H)'!$A$1:$CZ$265,MATCH('Unit Data from Audit Worksheet'!$A223,'PY1 Data(H)'!$A$1:$A$258,0),MATCH('Unit Data from Audit Worksheet'!$D$2,'PY1 Data(H)'!$A$1:$CZ$1,0))</f>
        <v>#N/A</v>
      </c>
      <c r="F223" s="826">
        <v>0</v>
      </c>
      <c r="G223" s="403"/>
      <c r="H223" s="17"/>
      <c r="I223" s="426"/>
      <c r="J223" s="426"/>
      <c r="K223"/>
      <c r="L223" s="550"/>
      <c r="M223"/>
      <c r="N223" s="18"/>
      <c r="O223" s="187"/>
      <c r="P223" s="18"/>
      <c r="Q223" s="18"/>
      <c r="R223" s="18"/>
      <c r="S223" s="18"/>
      <c r="T223" s="18"/>
      <c r="U223" s="18"/>
      <c r="V223" s="18"/>
      <c r="W223" s="18"/>
      <c r="X223" s="18"/>
      <c r="Y223" s="18"/>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c r="GQ223" s="18"/>
      <c r="GR223" s="18"/>
      <c r="GS223" s="18"/>
      <c r="GT223" s="18"/>
      <c r="GU223" s="18"/>
      <c r="GV223" s="18"/>
      <c r="GW223" s="18"/>
      <c r="GX223" s="18"/>
      <c r="GY223" s="18"/>
      <c r="GZ223" s="18"/>
      <c r="HA223" s="18"/>
      <c r="HB223" s="18"/>
      <c r="HC223" s="18"/>
      <c r="HD223" s="18"/>
      <c r="HE223" s="18"/>
      <c r="HF223" s="18"/>
      <c r="HG223" s="18"/>
      <c r="HH223" s="18"/>
      <c r="HI223" s="18"/>
      <c r="HJ223" s="18"/>
      <c r="HK223" s="18"/>
      <c r="HL223" s="18"/>
      <c r="HM223" s="18"/>
      <c r="HN223" s="18"/>
      <c r="HO223" s="18"/>
      <c r="HP223" s="18"/>
      <c r="HQ223" s="18"/>
      <c r="HR223" s="18"/>
      <c r="HS223" s="18"/>
      <c r="HT223" s="18"/>
      <c r="HU223" s="18"/>
      <c r="HV223" s="18"/>
      <c r="HW223" s="18"/>
      <c r="HX223" s="18"/>
      <c r="HY223" s="18"/>
      <c r="HZ223" s="18"/>
      <c r="IA223" s="18"/>
      <c r="IB223" s="18"/>
      <c r="IC223" s="18"/>
      <c r="ID223" s="18"/>
      <c r="IE223" s="18"/>
      <c r="IF223" s="18"/>
      <c r="IG223" s="18"/>
      <c r="IH223" s="18"/>
      <c r="II223" s="18"/>
      <c r="IJ223" s="18"/>
      <c r="IK223" s="18"/>
      <c r="IL223" s="18"/>
      <c r="IM223" s="18"/>
      <c r="IN223" s="18"/>
      <c r="IO223" s="18"/>
      <c r="IP223" s="18"/>
      <c r="IQ223" s="18"/>
      <c r="IR223" s="18"/>
      <c r="IS223" s="18"/>
      <c r="IT223" s="18"/>
      <c r="IU223" s="18"/>
      <c r="IV223" s="18"/>
      <c r="IW223" s="18"/>
      <c r="IX223" s="18"/>
      <c r="IY223" s="18"/>
      <c r="IZ223" s="18"/>
      <c r="JA223" s="18"/>
      <c r="JB223" s="18"/>
      <c r="JC223" s="18"/>
      <c r="JD223" s="18"/>
      <c r="JE223" s="18"/>
      <c r="JF223" s="18"/>
      <c r="JG223" s="18"/>
      <c r="JH223" s="18"/>
      <c r="JI223" s="18"/>
      <c r="JJ223" s="18"/>
      <c r="JK223" s="18"/>
      <c r="JL223" s="18"/>
      <c r="JM223" s="18"/>
      <c r="JN223" s="18"/>
      <c r="JO223" s="18"/>
      <c r="JP223" s="18"/>
      <c r="JQ223" s="18"/>
      <c r="JR223" s="18"/>
      <c r="JS223" s="18"/>
      <c r="JT223" s="18"/>
      <c r="JU223" s="18"/>
      <c r="JV223" s="18"/>
      <c r="JW223" s="18"/>
      <c r="JX223" s="18"/>
      <c r="JY223" s="18"/>
      <c r="JZ223" s="18"/>
      <c r="KA223" s="18"/>
      <c r="KB223" s="18"/>
      <c r="KC223" s="18"/>
      <c r="KD223" s="18"/>
      <c r="KE223" s="18"/>
      <c r="KF223" s="18"/>
      <c r="KG223" s="18"/>
      <c r="KH223" s="18"/>
      <c r="KI223" s="18"/>
      <c r="KJ223" s="18"/>
      <c r="KK223" s="18"/>
      <c r="KL223" s="18"/>
      <c r="KM223" s="18"/>
      <c r="KN223" s="18"/>
      <c r="KO223" s="18"/>
      <c r="KP223" s="18"/>
      <c r="KQ223" s="18"/>
      <c r="KR223" s="18"/>
      <c r="KS223" s="18"/>
      <c r="KT223" s="18"/>
      <c r="KU223" s="18"/>
      <c r="KV223" s="18"/>
      <c r="KW223" s="18"/>
      <c r="KX223" s="18"/>
      <c r="KY223" s="18"/>
      <c r="KZ223" s="18"/>
      <c r="LA223" s="18"/>
      <c r="LB223" s="18"/>
      <c r="LC223" s="18"/>
      <c r="LD223" s="18"/>
      <c r="LE223" s="18"/>
      <c r="LF223" s="18"/>
      <c r="LG223" s="18"/>
      <c r="LH223" s="18"/>
      <c r="LI223" s="18"/>
      <c r="LJ223" s="18"/>
      <c r="LK223" s="18"/>
      <c r="LL223" s="18"/>
      <c r="LM223" s="18"/>
      <c r="LN223" s="18"/>
      <c r="LO223" s="18"/>
      <c r="LP223" s="18"/>
      <c r="LQ223" s="18"/>
      <c r="LR223" s="18"/>
      <c r="LS223" s="18"/>
      <c r="LT223" s="18"/>
      <c r="LU223" s="18"/>
      <c r="LV223" s="18"/>
      <c r="LW223" s="18"/>
      <c r="LX223" s="18"/>
      <c r="LY223" s="18"/>
      <c r="LZ223" s="18"/>
      <c r="MA223" s="18"/>
      <c r="MB223" s="18"/>
      <c r="MC223" s="18"/>
      <c r="MD223" s="18"/>
      <c r="ME223" s="18"/>
      <c r="MF223" s="18"/>
      <c r="MG223" s="18"/>
      <c r="MH223" s="18"/>
      <c r="MI223" s="18"/>
      <c r="MJ223" s="18"/>
      <c r="MK223" s="18"/>
      <c r="ML223" s="18"/>
      <c r="MM223" s="18"/>
      <c r="MN223" s="18"/>
      <c r="MO223" s="18"/>
      <c r="MP223" s="18"/>
      <c r="MQ223" s="18"/>
      <c r="MR223" s="18"/>
      <c r="MS223" s="18"/>
      <c r="MT223" s="18"/>
      <c r="MU223" s="18"/>
      <c r="MV223" s="18"/>
      <c r="MW223" s="18"/>
      <c r="MX223" s="18"/>
      <c r="MY223" s="18"/>
      <c r="MZ223" s="18"/>
      <c r="NA223" s="18"/>
      <c r="NB223" s="18"/>
      <c r="NC223" s="18"/>
      <c r="ND223" s="18"/>
      <c r="NE223" s="18"/>
      <c r="NF223" s="18"/>
      <c r="NG223" s="18"/>
      <c r="NH223" s="18"/>
      <c r="NI223" s="18"/>
      <c r="NJ223" s="18"/>
      <c r="NK223" s="18"/>
      <c r="NL223" s="18"/>
      <c r="NM223" s="18"/>
      <c r="NN223" s="18"/>
      <c r="NO223" s="18"/>
      <c r="NP223" s="18"/>
      <c r="NQ223" s="18"/>
      <c r="NR223" s="18"/>
      <c r="NS223" s="18"/>
      <c r="NT223" s="18"/>
      <c r="NU223" s="18"/>
      <c r="NV223" s="18"/>
      <c r="NW223" s="18"/>
      <c r="NX223" s="18"/>
      <c r="NY223" s="18"/>
      <c r="NZ223" s="18"/>
      <c r="OA223" s="18"/>
      <c r="OB223" s="18"/>
      <c r="OC223" s="18"/>
      <c r="OD223" s="18"/>
      <c r="OE223" s="18"/>
      <c r="OF223" s="18"/>
      <c r="OG223" s="18"/>
      <c r="OH223" s="18"/>
      <c r="OI223" s="18"/>
      <c r="OJ223" s="18"/>
      <c r="OK223" s="18"/>
      <c r="OL223" s="18"/>
      <c r="OM223" s="18"/>
      <c r="ON223" s="18"/>
      <c r="OO223" s="18"/>
      <c r="OP223" s="18"/>
      <c r="OQ223" s="18"/>
      <c r="OR223" s="18"/>
      <c r="OS223" s="18"/>
      <c r="OT223" s="18"/>
      <c r="OU223" s="18"/>
      <c r="OV223" s="18"/>
      <c r="OW223" s="18"/>
      <c r="OX223" s="18"/>
      <c r="OY223" s="18"/>
      <c r="OZ223" s="18"/>
      <c r="PA223" s="18"/>
      <c r="PB223" s="18"/>
      <c r="PC223" s="18"/>
      <c r="PD223" s="18"/>
      <c r="PE223" s="18"/>
      <c r="PF223" s="18"/>
      <c r="PG223" s="18"/>
      <c r="PH223" s="18"/>
      <c r="PI223" s="18"/>
      <c r="PJ223" s="18"/>
      <c r="PK223" s="18"/>
      <c r="PL223" s="18"/>
      <c r="PM223" s="18"/>
      <c r="PN223" s="18"/>
      <c r="PO223" s="18"/>
      <c r="PP223" s="18"/>
      <c r="PQ223" s="18"/>
      <c r="PR223" s="18"/>
      <c r="PS223" s="18"/>
      <c r="PT223" s="18"/>
      <c r="PU223" s="18"/>
      <c r="PV223" s="18"/>
      <c r="PW223" s="18"/>
      <c r="PX223" s="18"/>
      <c r="PY223" s="18"/>
      <c r="PZ223" s="18"/>
      <c r="QA223" s="18"/>
      <c r="QB223" s="18"/>
      <c r="QC223" s="18"/>
      <c r="QD223" s="18"/>
      <c r="QE223" s="18"/>
      <c r="QF223" s="18"/>
      <c r="QG223" s="18"/>
      <c r="QH223" s="18"/>
      <c r="QI223" s="18"/>
      <c r="QJ223" s="18"/>
      <c r="QK223" s="18"/>
      <c r="QL223" s="18"/>
      <c r="QM223" s="18"/>
      <c r="QN223" s="18"/>
      <c r="QO223" s="18"/>
      <c r="QP223" s="18"/>
      <c r="QQ223" s="18"/>
      <c r="QR223" s="18"/>
      <c r="QS223" s="18"/>
      <c r="QT223" s="18"/>
      <c r="QU223" s="18"/>
      <c r="QV223" s="18"/>
      <c r="QW223" s="18"/>
      <c r="QX223" s="18"/>
      <c r="QY223" s="18"/>
      <c r="QZ223" s="18"/>
      <c r="RA223" s="18"/>
      <c r="RB223" s="18"/>
      <c r="RC223" s="18"/>
      <c r="RD223" s="18"/>
      <c r="RE223" s="18"/>
      <c r="RF223" s="18"/>
      <c r="RG223" s="18"/>
      <c r="RH223" s="18"/>
      <c r="RI223" s="18"/>
      <c r="RJ223" s="18"/>
      <c r="RK223" s="18"/>
      <c r="RL223" s="18"/>
      <c r="RM223" s="18"/>
      <c r="RN223" s="18"/>
      <c r="RO223" s="18"/>
      <c r="RP223" s="18"/>
      <c r="RQ223" s="18"/>
      <c r="RR223" s="18"/>
      <c r="RS223" s="18"/>
      <c r="RT223" s="18"/>
      <c r="RU223" s="18"/>
      <c r="RV223" s="18"/>
      <c r="RW223" s="18"/>
      <c r="RX223" s="18"/>
      <c r="RY223" s="18"/>
      <c r="RZ223" s="18"/>
      <c r="SA223" s="18"/>
      <c r="SB223" s="18"/>
      <c r="SC223" s="18"/>
      <c r="SD223" s="18"/>
      <c r="SE223" s="18"/>
      <c r="SF223" s="18"/>
      <c r="SG223" s="18"/>
      <c r="SH223" s="18"/>
      <c r="SI223" s="18"/>
      <c r="SJ223" s="18"/>
      <c r="SK223" s="18"/>
      <c r="SL223" s="18"/>
      <c r="SM223" s="18"/>
      <c r="SN223" s="18"/>
      <c r="SO223" s="18"/>
      <c r="SP223" s="18"/>
      <c r="SQ223" s="18"/>
      <c r="SR223" s="18"/>
      <c r="SS223" s="18"/>
      <c r="ST223" s="18"/>
      <c r="SU223" s="18"/>
      <c r="SV223" s="18"/>
      <c r="SW223" s="18"/>
      <c r="SX223" s="18"/>
      <c r="SY223" s="18"/>
      <c r="SZ223" s="18"/>
      <c r="TA223" s="18"/>
      <c r="TB223" s="18"/>
      <c r="TC223" s="18"/>
      <c r="TD223" s="18"/>
      <c r="TE223" s="18"/>
      <c r="TF223" s="18"/>
      <c r="TG223" s="18"/>
      <c r="TH223" s="18"/>
      <c r="TI223" s="18"/>
      <c r="TJ223" s="18"/>
      <c r="TK223" s="18"/>
      <c r="TL223" s="18"/>
      <c r="TM223" s="18"/>
      <c r="TN223" s="18"/>
      <c r="TO223" s="18"/>
      <c r="TP223" s="18"/>
      <c r="TQ223" s="18"/>
      <c r="TR223" s="18"/>
      <c r="TS223" s="18"/>
      <c r="TT223" s="18"/>
      <c r="TU223" s="18"/>
      <c r="TV223" s="18"/>
      <c r="TW223" s="18"/>
      <c r="TX223" s="18"/>
      <c r="TY223" s="18"/>
      <c r="TZ223" s="18"/>
      <c r="UA223" s="18"/>
      <c r="UB223" s="18"/>
      <c r="UC223" s="18"/>
      <c r="UD223" s="18"/>
      <c r="UE223" s="18"/>
      <c r="UF223" s="18"/>
      <c r="UG223" s="18"/>
      <c r="UH223" s="18"/>
      <c r="UI223" s="18"/>
      <c r="UJ223" s="18"/>
      <c r="UK223" s="18"/>
      <c r="UL223" s="18"/>
      <c r="UM223" s="18"/>
      <c r="UN223" s="18"/>
      <c r="UO223" s="18"/>
      <c r="UP223" s="18"/>
      <c r="UQ223" s="18"/>
      <c r="UR223" s="18"/>
      <c r="US223" s="18"/>
      <c r="UT223" s="18"/>
      <c r="UU223" s="18"/>
      <c r="UV223" s="18"/>
      <c r="UW223" s="18"/>
      <c r="UX223" s="18"/>
      <c r="UY223" s="18"/>
      <c r="UZ223" s="18"/>
      <c r="VA223" s="18"/>
      <c r="VB223" s="18"/>
      <c r="VC223" s="18"/>
      <c r="VD223" s="18"/>
      <c r="VE223" s="18"/>
      <c r="VF223" s="18"/>
      <c r="VG223" s="18"/>
      <c r="VH223" s="18"/>
      <c r="VI223" s="18"/>
      <c r="VJ223" s="18"/>
      <c r="VK223" s="18"/>
      <c r="VL223" s="18"/>
      <c r="VM223" s="18"/>
      <c r="VN223" s="18"/>
      <c r="VO223" s="18"/>
      <c r="VP223" s="18"/>
      <c r="VQ223" s="18"/>
      <c r="VR223" s="18"/>
      <c r="VS223" s="18"/>
      <c r="VT223" s="18"/>
      <c r="VU223" s="18"/>
      <c r="VV223" s="18"/>
      <c r="VW223" s="18"/>
      <c r="VX223" s="18"/>
      <c r="VY223" s="18"/>
      <c r="VZ223" s="18"/>
      <c r="WA223" s="18"/>
      <c r="WB223" s="18"/>
      <c r="WC223" s="18"/>
      <c r="WD223" s="18"/>
      <c r="WE223" s="18"/>
      <c r="WF223" s="18"/>
      <c r="WG223" s="18"/>
      <c r="WH223" s="18"/>
      <c r="WI223" s="18"/>
      <c r="WJ223" s="18"/>
      <c r="WK223" s="18"/>
      <c r="WL223" s="18"/>
      <c r="WM223" s="18"/>
      <c r="WN223" s="18"/>
      <c r="WO223" s="18"/>
      <c r="WP223" s="18"/>
      <c r="WQ223" s="18"/>
      <c r="WR223" s="18"/>
      <c r="WS223" s="18"/>
      <c r="WT223" s="18"/>
      <c r="WU223" s="18"/>
      <c r="WV223" s="18"/>
      <c r="WW223" s="18"/>
      <c r="WX223" s="18"/>
      <c r="WY223" s="18"/>
      <c r="WZ223" s="18"/>
      <c r="XA223" s="18"/>
      <c r="XB223" s="18"/>
      <c r="XC223" s="18"/>
      <c r="XD223" s="18"/>
      <c r="XE223" s="18"/>
      <c r="XF223" s="18"/>
      <c r="XG223" s="18"/>
      <c r="XH223" s="18"/>
      <c r="XI223" s="18"/>
      <c r="XJ223" s="18"/>
      <c r="XK223" s="18"/>
      <c r="XL223" s="18"/>
      <c r="XM223" s="18"/>
      <c r="XN223" s="18"/>
      <c r="XO223" s="18"/>
      <c r="XP223" s="18"/>
      <c r="XQ223" s="18"/>
      <c r="XR223" s="18"/>
      <c r="XS223" s="18"/>
      <c r="XT223" s="18"/>
      <c r="XU223" s="18"/>
      <c r="XV223" s="18"/>
      <c r="XW223" s="18"/>
      <c r="XX223" s="18"/>
      <c r="XY223" s="18"/>
      <c r="XZ223" s="18"/>
      <c r="YA223" s="18"/>
      <c r="YB223" s="18"/>
      <c r="YC223" s="18"/>
      <c r="YD223" s="18"/>
      <c r="YE223" s="18"/>
      <c r="YF223" s="18"/>
      <c r="YG223" s="18"/>
      <c r="YH223" s="18"/>
      <c r="YI223" s="18"/>
      <c r="YJ223" s="18"/>
      <c r="YK223" s="18"/>
      <c r="YL223" s="18"/>
      <c r="YM223" s="18"/>
      <c r="YN223" s="18"/>
      <c r="YO223" s="18"/>
      <c r="YP223" s="18"/>
      <c r="YQ223" s="18"/>
      <c r="YR223" s="18"/>
      <c r="YS223" s="18"/>
      <c r="YT223" s="18"/>
      <c r="YU223" s="18"/>
      <c r="YV223" s="18"/>
      <c r="YW223" s="18"/>
      <c r="YX223" s="18"/>
      <c r="YY223" s="18"/>
      <c r="YZ223" s="18"/>
      <c r="ZA223" s="18"/>
      <c r="ZB223" s="18"/>
      <c r="ZC223" s="18"/>
      <c r="ZD223" s="18"/>
      <c r="ZE223" s="18"/>
      <c r="ZF223" s="18"/>
      <c r="ZG223" s="18"/>
      <c r="ZH223" s="18"/>
      <c r="ZI223" s="18"/>
      <c r="ZJ223" s="18"/>
      <c r="ZK223" s="18"/>
      <c r="ZL223" s="18"/>
      <c r="ZM223" s="18"/>
      <c r="ZN223" s="18"/>
      <c r="ZO223" s="18"/>
      <c r="ZP223" s="18"/>
      <c r="ZQ223" s="18"/>
      <c r="ZR223" s="18"/>
      <c r="ZS223" s="18"/>
      <c r="ZT223" s="18"/>
      <c r="ZU223" s="18"/>
      <c r="ZV223" s="18"/>
      <c r="ZW223" s="18"/>
      <c r="ZX223" s="18"/>
      <c r="ZY223" s="18"/>
      <c r="ZZ223" s="18"/>
      <c r="AAA223" s="18"/>
      <c r="AAB223" s="18"/>
      <c r="AAC223" s="18"/>
      <c r="AAD223" s="18"/>
      <c r="AAE223" s="18"/>
      <c r="AAF223" s="18"/>
      <c r="AAG223" s="18"/>
      <c r="AAH223" s="18"/>
      <c r="AAI223" s="18"/>
      <c r="AAJ223" s="18"/>
      <c r="AAK223" s="18"/>
      <c r="AAL223" s="18"/>
      <c r="AAM223" s="18"/>
      <c r="AAN223" s="18"/>
      <c r="AAO223" s="18"/>
      <c r="AAP223" s="18"/>
      <c r="AAQ223" s="18"/>
      <c r="AAR223" s="18"/>
      <c r="AAS223" s="18"/>
      <c r="AAT223" s="18"/>
      <c r="AAU223" s="18"/>
      <c r="AAV223" s="18"/>
      <c r="AAW223" s="18"/>
      <c r="AAX223" s="18"/>
      <c r="AAY223" s="18"/>
      <c r="AAZ223" s="18"/>
      <c r="ABA223" s="18"/>
      <c r="ABB223" s="18"/>
      <c r="ABC223" s="18"/>
      <c r="ABD223" s="18"/>
      <c r="ABE223" s="18"/>
      <c r="ABF223" s="18"/>
      <c r="ABG223" s="18"/>
      <c r="ABH223" s="18"/>
      <c r="ABI223" s="18"/>
      <c r="ABJ223" s="18"/>
      <c r="ABK223" s="18"/>
      <c r="ABL223" s="18"/>
      <c r="ABM223" s="18"/>
      <c r="ABN223" s="18"/>
      <c r="ABO223" s="18"/>
      <c r="ABP223" s="18"/>
      <c r="ABQ223" s="18"/>
      <c r="ABR223" s="18"/>
      <c r="ABS223" s="18"/>
      <c r="ABT223" s="18"/>
      <c r="ABU223" s="18"/>
      <c r="ABV223" s="18"/>
      <c r="ABW223" s="18"/>
      <c r="ABX223" s="18"/>
      <c r="ABY223" s="18"/>
      <c r="ABZ223" s="18"/>
      <c r="ACA223" s="18"/>
      <c r="ACB223" s="18"/>
      <c r="ACC223" s="18"/>
      <c r="ACD223" s="18"/>
      <c r="ACE223" s="18"/>
      <c r="ACF223" s="18"/>
      <c r="ACG223" s="18"/>
      <c r="ACH223" s="18"/>
      <c r="ACI223" s="18"/>
      <c r="ACJ223" s="18"/>
      <c r="ACK223" s="18"/>
      <c r="ACL223" s="18"/>
      <c r="ACM223" s="18"/>
      <c r="ACN223" s="18"/>
      <c r="ACO223" s="18"/>
      <c r="ACP223" s="18"/>
      <c r="ACQ223" s="18"/>
      <c r="ACR223" s="18"/>
      <c r="ACS223" s="18"/>
      <c r="ACT223" s="18"/>
      <c r="ACU223" s="18"/>
      <c r="ACV223" s="18"/>
      <c r="ACW223" s="18"/>
      <c r="ACX223" s="18"/>
      <c r="ACY223" s="18"/>
      <c r="ACZ223" s="18"/>
      <c r="ADA223" s="18"/>
      <c r="ADB223" s="18"/>
      <c r="ADC223" s="18"/>
      <c r="ADD223" s="18"/>
      <c r="ADE223" s="18"/>
      <c r="ADF223" s="18"/>
      <c r="ADG223" s="18"/>
      <c r="ADH223" s="18"/>
      <c r="ADI223" s="18"/>
      <c r="ADJ223" s="18"/>
      <c r="ADK223" s="18"/>
      <c r="ADL223" s="18"/>
      <c r="ADM223" s="18"/>
      <c r="ADN223" s="18"/>
      <c r="ADO223" s="18"/>
      <c r="ADP223" s="18"/>
      <c r="ADQ223" s="18"/>
      <c r="ADR223" s="18"/>
      <c r="ADS223" s="18"/>
      <c r="ADT223" s="18"/>
      <c r="ADU223" s="18"/>
      <c r="ADV223" s="18"/>
      <c r="ADW223" s="18"/>
      <c r="ADX223" s="18"/>
      <c r="ADY223" s="18"/>
      <c r="ADZ223" s="18"/>
      <c r="AEA223" s="18"/>
      <c r="AEB223" s="18"/>
      <c r="AEC223" s="18"/>
      <c r="AED223" s="18"/>
      <c r="AEE223" s="18"/>
      <c r="AEF223" s="18"/>
      <c r="AEG223" s="18"/>
      <c r="AEH223" s="18"/>
      <c r="AEI223" s="18"/>
      <c r="AEJ223" s="18"/>
      <c r="AEK223" s="18"/>
      <c r="AEL223" s="18"/>
      <c r="AEM223" s="18"/>
      <c r="AEN223" s="18"/>
      <c r="AEO223" s="18"/>
      <c r="AEP223" s="18"/>
      <c r="AEQ223" s="18"/>
      <c r="AER223" s="18"/>
      <c r="AES223" s="18"/>
      <c r="AET223" s="18"/>
      <c r="AEU223" s="18"/>
      <c r="AEV223" s="18"/>
      <c r="AEW223" s="18"/>
      <c r="AEX223" s="18"/>
      <c r="AEY223" s="18"/>
      <c r="AEZ223" s="18"/>
      <c r="AFA223" s="18"/>
      <c r="AFB223" s="18"/>
      <c r="AFC223" s="18"/>
      <c r="AFD223" s="18"/>
      <c r="AFE223" s="18"/>
      <c r="AFF223" s="18"/>
      <c r="AFG223" s="18"/>
      <c r="AFH223" s="18"/>
      <c r="AFI223" s="18"/>
      <c r="AFJ223" s="18"/>
      <c r="AFK223" s="18"/>
      <c r="AFL223" s="18"/>
      <c r="AFM223" s="18"/>
      <c r="AFN223" s="18"/>
      <c r="AFO223" s="18"/>
      <c r="AFP223" s="18"/>
      <c r="AFQ223" s="18"/>
      <c r="AFR223" s="18"/>
      <c r="AFS223" s="18"/>
      <c r="AFT223" s="18"/>
      <c r="AFU223" s="18"/>
      <c r="AFV223" s="18"/>
      <c r="AFW223" s="18"/>
      <c r="AFX223" s="18"/>
      <c r="AFY223" s="18"/>
      <c r="AFZ223" s="18"/>
      <c r="AGA223" s="18"/>
      <c r="AGB223" s="18"/>
      <c r="AGC223" s="18"/>
      <c r="AGD223" s="18"/>
      <c r="AGE223" s="18"/>
      <c r="AGF223" s="18"/>
      <c r="AGG223" s="18"/>
      <c r="AGH223" s="18"/>
      <c r="AGI223" s="18"/>
      <c r="AGJ223" s="18"/>
      <c r="AGK223" s="18"/>
      <c r="AGL223" s="18"/>
      <c r="AGM223" s="18"/>
      <c r="AGN223" s="18"/>
      <c r="AGO223" s="18"/>
      <c r="AGP223" s="18"/>
      <c r="AGQ223" s="18"/>
      <c r="AGR223" s="18"/>
      <c r="AGS223" s="18"/>
      <c r="AGT223" s="18"/>
      <c r="AGU223" s="18"/>
      <c r="AGV223" s="18"/>
      <c r="AGW223" s="18"/>
      <c r="AGX223" s="18"/>
      <c r="AGY223" s="18"/>
      <c r="AGZ223" s="18"/>
      <c r="AHA223" s="18"/>
      <c r="AHB223" s="18"/>
      <c r="AHC223" s="18"/>
      <c r="AHD223" s="18"/>
      <c r="AHE223" s="18"/>
      <c r="AHF223" s="18"/>
      <c r="AHG223" s="18"/>
      <c r="AHH223" s="18"/>
      <c r="AHI223" s="18"/>
      <c r="AHJ223" s="18"/>
      <c r="AHK223" s="18"/>
      <c r="AHL223" s="18"/>
      <c r="AHM223" s="18"/>
      <c r="AHN223" s="18"/>
      <c r="AHO223" s="18"/>
      <c r="AHP223" s="18"/>
      <c r="AHQ223" s="18"/>
      <c r="AHR223" s="18"/>
      <c r="AHS223" s="18"/>
      <c r="AHT223" s="18"/>
      <c r="AHU223" s="18"/>
      <c r="AHV223" s="18"/>
      <c r="AHW223" s="18"/>
      <c r="AHX223" s="18"/>
      <c r="AHY223" s="18"/>
      <c r="AHZ223" s="18"/>
      <c r="AIA223" s="18"/>
      <c r="AIB223" s="18"/>
      <c r="AIC223" s="18"/>
      <c r="AID223" s="18"/>
      <c r="AIE223" s="18"/>
      <c r="AIF223" s="18"/>
      <c r="AIG223" s="18"/>
      <c r="AIH223" s="18"/>
      <c r="AII223" s="18"/>
      <c r="AIJ223" s="18"/>
      <c r="AIK223" s="18"/>
      <c r="AIL223" s="18"/>
      <c r="AIM223" s="18"/>
      <c r="AIN223" s="18"/>
      <c r="AIO223" s="18"/>
      <c r="AIP223" s="18"/>
      <c r="AIQ223" s="18"/>
      <c r="AIR223" s="18"/>
      <c r="AIS223" s="18"/>
      <c r="AIT223" s="18"/>
      <c r="AIU223" s="18"/>
      <c r="AIV223" s="18"/>
      <c r="AIW223" s="18"/>
      <c r="AIX223" s="18"/>
      <c r="AIY223" s="18"/>
      <c r="AIZ223" s="18"/>
      <c r="AJA223" s="18"/>
      <c r="AJB223" s="18"/>
      <c r="AJC223" s="18"/>
      <c r="AJD223" s="18"/>
      <c r="AJE223" s="18"/>
      <c r="AJF223" s="18"/>
      <c r="AJG223" s="18"/>
      <c r="AJH223" s="18"/>
      <c r="AJI223" s="18"/>
      <c r="AJJ223" s="18"/>
      <c r="AJK223" s="18"/>
      <c r="AJL223" s="18"/>
      <c r="AJM223" s="18"/>
      <c r="AJN223" s="18"/>
      <c r="AJO223" s="18"/>
      <c r="AJP223" s="18"/>
      <c r="AJQ223" s="18"/>
      <c r="AJR223" s="18"/>
      <c r="AJS223" s="18"/>
      <c r="AJT223" s="18"/>
      <c r="AJU223" s="18"/>
      <c r="AJV223" s="18"/>
      <c r="AJW223" s="18"/>
      <c r="AJX223" s="18"/>
      <c r="AJY223" s="18"/>
      <c r="AJZ223" s="18"/>
      <c r="AKA223" s="18"/>
      <c r="AKB223" s="18"/>
      <c r="AKC223" s="18"/>
      <c r="AKD223" s="18"/>
      <c r="AKE223" s="18"/>
      <c r="AKF223" s="18"/>
      <c r="AKG223" s="18"/>
      <c r="AKH223" s="18"/>
      <c r="AKI223" s="18"/>
      <c r="AKJ223" s="18"/>
      <c r="AKK223" s="18"/>
      <c r="AKL223" s="18"/>
      <c r="AKM223" s="18"/>
      <c r="AKN223" s="18"/>
      <c r="AKO223" s="18"/>
      <c r="AKP223" s="18"/>
      <c r="AKQ223" s="18"/>
      <c r="AKR223" s="18"/>
      <c r="AKS223" s="18"/>
      <c r="AKT223" s="18"/>
      <c r="AKU223" s="18"/>
      <c r="AKV223" s="18"/>
      <c r="AKW223" s="18"/>
      <c r="AKX223" s="18"/>
      <c r="AKY223" s="18"/>
      <c r="AKZ223" s="18"/>
      <c r="ALA223" s="18"/>
      <c r="ALB223" s="18"/>
      <c r="ALC223" s="18"/>
      <c r="ALD223" s="18"/>
      <c r="ALE223" s="18"/>
      <c r="ALF223" s="18"/>
      <c r="ALG223" s="18"/>
      <c r="ALH223" s="18"/>
      <c r="ALI223" s="18"/>
      <c r="ALJ223" s="18"/>
      <c r="ALK223" s="18"/>
      <c r="ALL223" s="18"/>
      <c r="ALM223" s="18"/>
      <c r="ALN223" s="18"/>
      <c r="ALO223" s="18"/>
      <c r="ALP223" s="18"/>
      <c r="ALQ223" s="18"/>
      <c r="ALR223" s="18"/>
      <c r="ALS223" s="18"/>
      <c r="ALT223" s="18"/>
      <c r="ALU223" s="18"/>
      <c r="ALV223" s="18"/>
      <c r="ALW223" s="18"/>
      <c r="ALX223" s="18"/>
      <c r="ALY223" s="18"/>
      <c r="ALZ223" s="18"/>
      <c r="AMA223" s="18"/>
      <c r="AMB223" s="18"/>
      <c r="AMC223" s="18"/>
      <c r="AMD223" s="18"/>
      <c r="AME223" s="18"/>
      <c r="AMF223" s="18"/>
      <c r="AMG223" s="18"/>
      <c r="AMH223" s="18"/>
      <c r="AMI223" s="18"/>
      <c r="AMJ223" s="18"/>
      <c r="AMK223" s="18"/>
      <c r="AML223" s="18"/>
      <c r="AMM223" s="18"/>
      <c r="AMN223" s="18"/>
      <c r="AMO223" s="18"/>
      <c r="AMP223" s="18"/>
      <c r="AMQ223" s="18"/>
      <c r="AMR223" s="18"/>
      <c r="AMS223" s="18"/>
      <c r="AMT223" s="18"/>
      <c r="AMU223" s="18"/>
      <c r="AMV223" s="18"/>
      <c r="AMW223" s="18"/>
      <c r="AMX223" s="18"/>
      <c r="AMY223" s="18"/>
      <c r="AMZ223" s="18"/>
      <c r="ANA223" s="18"/>
      <c r="ANB223" s="18"/>
      <c r="ANC223" s="18"/>
      <c r="AND223" s="18"/>
      <c r="ANE223" s="18"/>
      <c r="ANF223" s="18"/>
      <c r="ANG223" s="18"/>
      <c r="ANH223" s="18"/>
      <c r="ANI223" s="18"/>
      <c r="ANJ223" s="18"/>
      <c r="ANK223" s="18"/>
      <c r="ANL223" s="18"/>
      <c r="ANM223" s="18"/>
      <c r="ANN223" s="18"/>
      <c r="ANO223" s="18"/>
      <c r="ANP223" s="18"/>
      <c r="ANQ223" s="18"/>
      <c r="ANR223" s="18"/>
      <c r="ANS223" s="18"/>
      <c r="ANT223" s="18"/>
      <c r="ANU223" s="18"/>
      <c r="ANV223" s="18"/>
      <c r="ANW223" s="18"/>
      <c r="ANX223" s="18"/>
      <c r="ANY223" s="18"/>
      <c r="ANZ223" s="18"/>
      <c r="AOA223" s="18"/>
      <c r="AOB223" s="18"/>
      <c r="AOC223" s="18"/>
      <c r="AOD223" s="18"/>
      <c r="AOE223" s="18"/>
      <c r="AOF223" s="18"/>
      <c r="AOG223" s="18"/>
      <c r="AOH223" s="18"/>
      <c r="AOI223" s="18"/>
      <c r="AOJ223" s="18"/>
      <c r="AOK223" s="18"/>
      <c r="AOL223" s="18"/>
      <c r="AOM223" s="18"/>
      <c r="AON223" s="18"/>
      <c r="AOO223" s="18"/>
      <c r="AOP223" s="18"/>
      <c r="AOQ223" s="18"/>
      <c r="AOR223" s="18"/>
      <c r="AOS223" s="18"/>
      <c r="AOT223" s="18"/>
      <c r="AOU223" s="18"/>
      <c r="AOV223" s="18"/>
      <c r="AOW223" s="18"/>
      <c r="AOX223" s="18"/>
      <c r="AOY223" s="18"/>
      <c r="AOZ223" s="18"/>
      <c r="APA223" s="18"/>
      <c r="APB223" s="18"/>
      <c r="APC223" s="18"/>
      <c r="APD223" s="18"/>
      <c r="APE223" s="18"/>
      <c r="APF223" s="18"/>
      <c r="APG223" s="18"/>
      <c r="APH223" s="18"/>
      <c r="API223" s="18"/>
      <c r="APJ223" s="18"/>
      <c r="APK223" s="18"/>
      <c r="APL223" s="18"/>
      <c r="APM223" s="18"/>
      <c r="APN223" s="18"/>
      <c r="APO223" s="18"/>
      <c r="APP223" s="18"/>
      <c r="APQ223" s="18"/>
      <c r="APR223" s="18"/>
      <c r="APS223" s="18"/>
      <c r="APT223" s="18"/>
      <c r="APU223" s="18"/>
      <c r="APV223" s="18"/>
      <c r="APW223" s="18"/>
      <c r="APX223" s="18"/>
      <c r="APY223" s="18"/>
      <c r="APZ223" s="18"/>
      <c r="AQA223" s="18"/>
      <c r="AQB223" s="18"/>
      <c r="AQC223" s="18"/>
      <c r="AQD223" s="18"/>
      <c r="AQE223" s="18"/>
      <c r="AQF223" s="18"/>
      <c r="AQG223" s="18"/>
      <c r="AQH223" s="18"/>
      <c r="AQI223" s="18"/>
      <c r="AQJ223" s="18"/>
      <c r="AQK223" s="18"/>
      <c r="AQL223" s="18"/>
      <c r="AQM223" s="18"/>
      <c r="AQN223" s="18"/>
      <c r="AQO223" s="18"/>
      <c r="AQP223" s="18"/>
      <c r="AQQ223" s="18"/>
      <c r="AQR223" s="18"/>
      <c r="AQS223" s="18"/>
      <c r="AQT223" s="18"/>
      <c r="AQU223" s="18"/>
      <c r="AQV223" s="18"/>
      <c r="AQW223" s="18"/>
      <c r="AQX223" s="18"/>
      <c r="AQY223" s="18"/>
      <c r="AQZ223" s="18"/>
      <c r="ARA223" s="18"/>
      <c r="ARB223" s="18"/>
      <c r="ARC223" s="18"/>
      <c r="ARD223" s="18"/>
      <c r="ARE223" s="18"/>
      <c r="ARF223" s="18"/>
      <c r="ARG223" s="18"/>
      <c r="ARH223" s="18"/>
      <c r="ARI223" s="18"/>
      <c r="ARJ223" s="18"/>
      <c r="ARK223" s="18"/>
      <c r="ARL223" s="18"/>
      <c r="ARM223" s="18"/>
      <c r="ARN223" s="18"/>
      <c r="ARO223" s="18"/>
      <c r="ARP223" s="18"/>
      <c r="ARQ223" s="18"/>
      <c r="ARR223" s="18"/>
      <c r="ARS223" s="18"/>
      <c r="ART223" s="18"/>
      <c r="ARU223" s="18"/>
      <c r="ARV223" s="18"/>
      <c r="ARW223" s="18"/>
      <c r="ARX223" s="18"/>
      <c r="ARY223" s="18"/>
      <c r="ARZ223" s="18"/>
      <c r="ASA223" s="18"/>
      <c r="ASB223" s="18"/>
      <c r="ASC223" s="18"/>
      <c r="ASD223" s="18"/>
      <c r="ASE223" s="18"/>
      <c r="ASF223" s="18"/>
      <c r="ASG223" s="18"/>
      <c r="ASH223" s="18"/>
      <c r="ASI223" s="18"/>
      <c r="ASJ223" s="18"/>
      <c r="ASK223" s="18"/>
      <c r="ASL223" s="18"/>
      <c r="ASM223" s="18"/>
      <c r="ASN223" s="18"/>
      <c r="ASO223" s="18"/>
      <c r="ASP223" s="18"/>
      <c r="ASQ223" s="18"/>
      <c r="ASR223" s="18"/>
      <c r="ASS223" s="18"/>
      <c r="AST223" s="18"/>
      <c r="ASU223" s="18"/>
      <c r="ASV223" s="18"/>
      <c r="ASW223" s="18"/>
      <c r="ASX223" s="18"/>
      <c r="ASY223" s="18"/>
      <c r="ASZ223" s="18"/>
      <c r="ATA223" s="18"/>
      <c r="ATB223" s="18"/>
      <c r="ATC223" s="18"/>
      <c r="ATD223" s="18"/>
      <c r="ATE223" s="18"/>
      <c r="ATF223" s="18"/>
      <c r="ATG223" s="18"/>
      <c r="ATH223" s="18"/>
      <c r="ATI223" s="18"/>
      <c r="ATJ223" s="18"/>
      <c r="ATK223" s="18"/>
      <c r="ATL223" s="18"/>
      <c r="ATM223" s="18"/>
      <c r="ATN223" s="18"/>
      <c r="ATO223" s="18"/>
      <c r="ATP223" s="18"/>
      <c r="ATQ223" s="18"/>
      <c r="ATR223" s="18"/>
      <c r="ATS223" s="18"/>
      <c r="ATT223" s="18"/>
      <c r="ATU223" s="18"/>
      <c r="ATV223" s="18"/>
      <c r="ATW223" s="18"/>
      <c r="ATX223" s="18"/>
      <c r="ATY223" s="18"/>
      <c r="ATZ223" s="18"/>
      <c r="AUA223" s="18"/>
      <c r="AUB223" s="18"/>
      <c r="AUC223" s="18"/>
      <c r="AUD223" s="18"/>
      <c r="AUE223" s="18"/>
      <c r="AUF223" s="18"/>
      <c r="AUG223" s="18"/>
      <c r="AUH223" s="18"/>
      <c r="AUI223" s="18"/>
      <c r="AUJ223" s="18"/>
      <c r="AUK223" s="18"/>
      <c r="AUL223" s="18"/>
      <c r="AUM223" s="18"/>
      <c r="AUN223" s="18"/>
      <c r="AUO223" s="18"/>
      <c r="AUP223" s="18"/>
      <c r="AUQ223" s="18"/>
      <c r="AUR223" s="18"/>
      <c r="AUS223" s="18"/>
      <c r="AUT223" s="18"/>
      <c r="AUU223" s="18"/>
      <c r="AUV223" s="18"/>
      <c r="AUW223" s="18"/>
      <c r="AUX223" s="18"/>
      <c r="AUY223" s="18"/>
      <c r="AUZ223" s="18"/>
      <c r="AVA223" s="18"/>
      <c r="AVB223" s="18"/>
      <c r="AVC223" s="18"/>
      <c r="AVD223" s="18"/>
      <c r="AVE223" s="18"/>
      <c r="AVF223" s="18"/>
      <c r="AVG223" s="18"/>
      <c r="AVH223" s="18"/>
      <c r="AVI223" s="18"/>
      <c r="AVJ223" s="18"/>
      <c r="AVK223" s="18"/>
      <c r="AVL223" s="18"/>
      <c r="AVM223" s="18"/>
      <c r="AVN223" s="18"/>
      <c r="AVO223" s="18"/>
      <c r="AVP223" s="18"/>
      <c r="AVQ223" s="18"/>
      <c r="AVR223" s="18"/>
      <c r="AVS223" s="18"/>
      <c r="AVT223" s="18"/>
      <c r="AVU223" s="18"/>
      <c r="AVV223" s="18"/>
      <c r="AVW223" s="18"/>
      <c r="AVX223" s="18"/>
      <c r="AVY223" s="18"/>
      <c r="AVZ223" s="18"/>
      <c r="AWA223" s="18"/>
      <c r="AWB223" s="18"/>
      <c r="AWC223" s="18"/>
      <c r="AWD223" s="18"/>
      <c r="AWE223" s="18"/>
      <c r="AWF223" s="18"/>
      <c r="AWG223" s="18"/>
      <c r="AWH223" s="18"/>
      <c r="AWI223" s="18"/>
      <c r="AWJ223" s="18"/>
      <c r="AWK223" s="18"/>
      <c r="AWL223" s="18"/>
      <c r="AWM223" s="18"/>
      <c r="AWN223" s="18"/>
      <c r="AWO223" s="18"/>
      <c r="AWP223" s="18"/>
      <c r="AWQ223" s="18"/>
      <c r="AWR223" s="18"/>
      <c r="AWS223" s="18"/>
      <c r="AWT223" s="18"/>
      <c r="AWU223" s="18"/>
      <c r="AWV223" s="18"/>
      <c r="AWW223" s="18"/>
      <c r="AWX223" s="18"/>
      <c r="AWY223" s="18"/>
      <c r="AWZ223" s="18"/>
      <c r="AXA223" s="18"/>
      <c r="AXB223" s="18"/>
      <c r="AXC223" s="18"/>
      <c r="AXD223" s="18"/>
      <c r="AXE223" s="18"/>
      <c r="AXF223" s="18"/>
      <c r="AXG223" s="18"/>
      <c r="AXH223" s="18"/>
      <c r="AXI223" s="18"/>
      <c r="AXJ223" s="18"/>
      <c r="AXK223" s="18"/>
      <c r="AXL223" s="18"/>
      <c r="AXM223" s="18"/>
      <c r="AXN223" s="18"/>
      <c r="AXO223" s="18"/>
      <c r="AXP223" s="18"/>
      <c r="AXQ223" s="18"/>
      <c r="AXR223" s="18"/>
      <c r="AXS223" s="18"/>
      <c r="AXT223" s="18"/>
      <c r="AXU223" s="18"/>
      <c r="AXV223" s="18"/>
      <c r="AXW223" s="18"/>
      <c r="AXX223" s="18"/>
      <c r="AXY223" s="18"/>
      <c r="AXZ223" s="18"/>
      <c r="AYA223" s="18"/>
      <c r="AYB223" s="18"/>
      <c r="AYC223" s="18"/>
      <c r="AYD223" s="18"/>
      <c r="AYE223" s="18"/>
      <c r="AYF223" s="18"/>
      <c r="AYG223" s="18"/>
      <c r="AYH223" s="18"/>
      <c r="AYI223" s="18"/>
      <c r="AYJ223" s="18"/>
      <c r="AYK223" s="18"/>
      <c r="AYL223" s="18"/>
      <c r="AYM223" s="18"/>
      <c r="AYN223" s="18"/>
      <c r="AYO223" s="18"/>
      <c r="AYP223" s="18"/>
      <c r="AYQ223" s="18"/>
      <c r="AYR223" s="18"/>
      <c r="AYS223" s="18"/>
      <c r="AYT223" s="18"/>
      <c r="AYU223" s="18"/>
      <c r="AYV223" s="18"/>
      <c r="AYW223" s="18"/>
      <c r="AYX223" s="18"/>
      <c r="AYY223" s="18"/>
      <c r="AYZ223" s="18"/>
      <c r="AZA223" s="18"/>
      <c r="AZB223" s="18"/>
      <c r="AZC223" s="18"/>
      <c r="AZD223" s="18"/>
      <c r="AZE223" s="18"/>
      <c r="AZF223" s="18"/>
      <c r="AZG223" s="18"/>
      <c r="AZH223" s="18"/>
      <c r="AZI223" s="18"/>
      <c r="AZJ223" s="18"/>
      <c r="AZK223" s="18"/>
      <c r="AZL223" s="18"/>
      <c r="AZM223" s="18"/>
      <c r="AZN223" s="18"/>
      <c r="AZO223" s="18"/>
      <c r="AZP223" s="18"/>
      <c r="AZQ223" s="18"/>
      <c r="AZR223" s="18"/>
      <c r="AZS223" s="18"/>
      <c r="AZT223" s="18"/>
      <c r="AZU223" s="18"/>
      <c r="AZV223" s="18"/>
      <c r="AZW223" s="18"/>
      <c r="AZX223" s="18"/>
      <c r="AZY223" s="18"/>
      <c r="AZZ223" s="18"/>
      <c r="BAA223" s="18"/>
      <c r="BAB223" s="18"/>
      <c r="BAC223" s="18"/>
      <c r="BAD223" s="18"/>
      <c r="BAE223" s="18"/>
      <c r="BAF223" s="18"/>
      <c r="BAG223" s="18"/>
      <c r="BAH223" s="18"/>
      <c r="BAI223" s="18"/>
      <c r="BAJ223" s="18"/>
      <c r="BAK223" s="18"/>
      <c r="BAL223" s="18"/>
      <c r="BAM223" s="18"/>
      <c r="BAN223" s="18"/>
      <c r="BAO223" s="18"/>
      <c r="BAP223" s="18"/>
      <c r="BAQ223" s="18"/>
      <c r="BAR223" s="18"/>
      <c r="BAS223" s="18"/>
      <c r="BAT223" s="18"/>
      <c r="BAU223" s="18"/>
      <c r="BAV223" s="18"/>
      <c r="BAW223" s="18"/>
      <c r="BAX223" s="18"/>
      <c r="BAY223" s="18"/>
      <c r="BAZ223" s="18"/>
      <c r="BBA223" s="18"/>
      <c r="BBB223" s="18"/>
      <c r="BBC223" s="18"/>
      <c r="BBD223" s="18"/>
      <c r="BBE223" s="18"/>
      <c r="BBF223" s="18"/>
      <c r="BBG223" s="18"/>
      <c r="BBH223" s="18"/>
      <c r="BBI223" s="18"/>
      <c r="BBJ223" s="18"/>
      <c r="BBK223" s="18"/>
      <c r="BBL223" s="18"/>
      <c r="BBM223" s="18"/>
      <c r="BBN223" s="18"/>
      <c r="BBO223" s="18"/>
      <c r="BBP223" s="18"/>
      <c r="BBQ223" s="18"/>
      <c r="BBR223" s="18"/>
      <c r="BBS223" s="18"/>
      <c r="BBT223" s="18"/>
      <c r="BBU223" s="18"/>
      <c r="BBV223" s="18"/>
      <c r="BBW223" s="18"/>
      <c r="BBX223" s="18"/>
      <c r="BBY223" s="18"/>
      <c r="BBZ223" s="18"/>
      <c r="BCA223" s="18"/>
      <c r="BCB223" s="18"/>
      <c r="BCC223" s="18"/>
      <c r="BCD223" s="18"/>
      <c r="BCE223" s="18"/>
      <c r="BCF223" s="18"/>
      <c r="BCG223" s="18"/>
      <c r="BCH223" s="18"/>
      <c r="BCI223" s="18"/>
      <c r="BCJ223" s="18"/>
      <c r="BCK223" s="18"/>
      <c r="BCL223" s="18"/>
      <c r="BCM223" s="18"/>
      <c r="BCN223" s="18"/>
      <c r="BCO223" s="18"/>
      <c r="BCP223" s="18"/>
      <c r="BCQ223" s="18"/>
      <c r="BCR223" s="18"/>
      <c r="BCS223" s="18"/>
      <c r="BCT223" s="18"/>
      <c r="BCU223" s="18"/>
      <c r="BCV223" s="18"/>
      <c r="BCW223" s="18"/>
      <c r="BCX223" s="18"/>
      <c r="BCY223" s="18"/>
      <c r="BCZ223" s="18"/>
      <c r="BDA223" s="18"/>
      <c r="BDB223" s="18"/>
      <c r="BDC223" s="18"/>
      <c r="BDD223" s="18"/>
      <c r="BDE223" s="18"/>
      <c r="BDF223" s="18"/>
      <c r="BDG223" s="18"/>
      <c r="BDH223" s="18"/>
      <c r="BDI223" s="18"/>
      <c r="BDJ223" s="18"/>
      <c r="BDK223" s="18"/>
      <c r="BDL223" s="18"/>
      <c r="BDM223" s="18"/>
      <c r="BDN223" s="18"/>
      <c r="BDO223" s="18"/>
      <c r="BDP223" s="18"/>
      <c r="BDQ223" s="18"/>
      <c r="BDR223" s="18"/>
      <c r="BDS223" s="18"/>
      <c r="BDT223" s="18"/>
      <c r="BDU223" s="18"/>
      <c r="BDV223" s="18"/>
      <c r="BDW223" s="18"/>
      <c r="BDX223" s="18"/>
      <c r="BDY223" s="18"/>
      <c r="BDZ223" s="18"/>
      <c r="BEA223" s="18"/>
      <c r="BEB223" s="18"/>
      <c r="BEC223" s="18"/>
      <c r="BED223" s="18"/>
      <c r="BEE223" s="18"/>
      <c r="BEF223" s="18"/>
      <c r="BEG223" s="18"/>
      <c r="BEH223" s="18"/>
      <c r="BEI223" s="18"/>
      <c r="BEJ223" s="18"/>
      <c r="BEK223" s="18"/>
      <c r="BEL223" s="18"/>
      <c r="BEM223" s="18"/>
      <c r="BEN223" s="18"/>
      <c r="BEO223" s="18"/>
      <c r="BEP223" s="18"/>
      <c r="BEQ223" s="18"/>
      <c r="BER223" s="18"/>
      <c r="BES223" s="18"/>
      <c r="BET223" s="18"/>
      <c r="BEU223" s="18"/>
      <c r="BEV223" s="18"/>
      <c r="BEW223" s="18"/>
      <c r="BEX223" s="18"/>
      <c r="BEY223" s="18"/>
      <c r="BEZ223" s="18"/>
      <c r="BFA223" s="18"/>
      <c r="BFB223" s="18"/>
      <c r="BFC223" s="18"/>
      <c r="BFD223" s="18"/>
      <c r="BFE223" s="18"/>
      <c r="BFF223" s="18"/>
      <c r="BFG223" s="18"/>
      <c r="BFH223" s="18"/>
      <c r="BFI223" s="18"/>
      <c r="BFJ223" s="18"/>
      <c r="BFK223" s="18"/>
      <c r="BFL223" s="18"/>
      <c r="BFM223" s="18"/>
      <c r="BFN223" s="18"/>
      <c r="BFO223" s="18"/>
      <c r="BFP223" s="18"/>
      <c r="BFQ223" s="18"/>
      <c r="BFR223" s="18"/>
      <c r="BFS223" s="18"/>
      <c r="BFT223" s="18"/>
      <c r="BFU223" s="18"/>
      <c r="BFV223" s="18"/>
      <c r="BFW223" s="18"/>
      <c r="BFX223" s="18"/>
      <c r="BFY223" s="18"/>
      <c r="BFZ223" s="18"/>
      <c r="BGA223" s="18"/>
      <c r="BGB223" s="18"/>
      <c r="BGC223" s="18"/>
      <c r="BGD223" s="18"/>
      <c r="BGE223" s="18"/>
      <c r="BGF223" s="18"/>
      <c r="BGG223" s="18"/>
      <c r="BGH223" s="18"/>
      <c r="BGI223" s="18"/>
      <c r="BGJ223" s="18"/>
      <c r="BGK223" s="18"/>
      <c r="BGL223" s="18"/>
      <c r="BGM223" s="18"/>
      <c r="BGN223" s="18"/>
      <c r="BGO223" s="18"/>
      <c r="BGP223" s="18"/>
      <c r="BGQ223" s="18"/>
      <c r="BGR223" s="18"/>
      <c r="BGS223" s="18"/>
      <c r="BGT223" s="18"/>
      <c r="BGU223" s="18"/>
      <c r="BGV223" s="18"/>
      <c r="BGW223" s="18"/>
      <c r="BGX223" s="18"/>
      <c r="BGY223" s="18"/>
      <c r="BGZ223" s="18"/>
      <c r="BHA223" s="18"/>
      <c r="BHB223" s="18"/>
      <c r="BHC223" s="18"/>
      <c r="BHD223" s="18"/>
      <c r="BHE223" s="18"/>
      <c r="BHF223" s="18"/>
      <c r="BHG223" s="18"/>
      <c r="BHH223" s="18"/>
      <c r="BHI223" s="18"/>
      <c r="BHJ223" s="18"/>
      <c r="BHK223" s="18"/>
      <c r="BHL223" s="18"/>
      <c r="BHM223" s="18"/>
      <c r="BHN223" s="18"/>
      <c r="BHO223" s="18"/>
      <c r="BHP223" s="18"/>
      <c r="BHQ223" s="18"/>
      <c r="BHR223" s="18"/>
      <c r="BHS223" s="18"/>
      <c r="BHT223" s="18"/>
      <c r="BHU223" s="18"/>
      <c r="BHV223" s="18"/>
      <c r="BHW223" s="18"/>
      <c r="BHX223" s="18"/>
      <c r="BHY223" s="18"/>
      <c r="BHZ223" s="18"/>
      <c r="BIA223" s="18"/>
      <c r="BIB223" s="18"/>
      <c r="BIC223" s="18"/>
      <c r="BID223" s="18"/>
      <c r="BIE223" s="18"/>
      <c r="BIF223" s="18"/>
      <c r="BIG223" s="18"/>
      <c r="BIH223" s="18"/>
      <c r="BII223" s="18"/>
      <c r="BIJ223" s="18"/>
      <c r="BIK223" s="18"/>
      <c r="BIL223" s="18"/>
      <c r="BIM223" s="18"/>
      <c r="BIN223" s="18"/>
      <c r="BIO223" s="18"/>
      <c r="BIP223" s="18"/>
      <c r="BIQ223" s="18"/>
      <c r="BIR223" s="18"/>
      <c r="BIS223" s="18"/>
      <c r="BIT223" s="18"/>
      <c r="BIU223" s="18"/>
      <c r="BIV223" s="18"/>
      <c r="BIW223" s="18"/>
      <c r="BIX223" s="18"/>
      <c r="BIY223" s="18"/>
      <c r="BIZ223" s="18"/>
      <c r="BJA223" s="18"/>
      <c r="BJB223" s="18"/>
      <c r="BJC223" s="18"/>
      <c r="BJD223" s="18"/>
      <c r="BJE223" s="18"/>
      <c r="BJF223" s="18"/>
      <c r="BJG223" s="18"/>
      <c r="BJH223" s="18"/>
      <c r="BJI223" s="18"/>
      <c r="BJJ223" s="18"/>
      <c r="BJK223" s="18"/>
      <c r="BJL223" s="18"/>
      <c r="BJM223" s="18"/>
      <c r="BJN223" s="18"/>
      <c r="BJO223" s="18"/>
      <c r="BJP223" s="18"/>
      <c r="BJQ223" s="18"/>
      <c r="BJR223" s="18"/>
      <c r="BJS223" s="18"/>
      <c r="BJT223" s="18"/>
      <c r="BJU223" s="18"/>
      <c r="BJV223" s="18"/>
      <c r="BJW223" s="18"/>
      <c r="BJX223" s="18"/>
      <c r="BJY223" s="18"/>
      <c r="BJZ223" s="18"/>
      <c r="BKA223" s="18"/>
      <c r="BKB223" s="18"/>
      <c r="BKC223" s="18"/>
      <c r="BKD223" s="18"/>
      <c r="BKE223" s="18"/>
      <c r="BKF223" s="18"/>
      <c r="BKG223" s="18"/>
      <c r="BKH223" s="18"/>
      <c r="BKI223" s="18"/>
      <c r="BKJ223" s="18"/>
      <c r="BKK223" s="18"/>
      <c r="BKL223" s="18"/>
      <c r="BKM223" s="18"/>
      <c r="BKN223" s="18"/>
      <c r="BKO223" s="18"/>
      <c r="BKP223" s="18"/>
      <c r="BKQ223" s="18"/>
      <c r="BKR223" s="18"/>
      <c r="BKS223" s="18"/>
      <c r="BKT223" s="18"/>
      <c r="BKU223" s="18"/>
      <c r="BKV223" s="18"/>
      <c r="BKW223" s="18"/>
      <c r="BKX223" s="18"/>
      <c r="BKY223" s="18"/>
      <c r="BKZ223" s="18"/>
      <c r="BLA223" s="18"/>
      <c r="BLB223" s="18"/>
      <c r="BLC223" s="18"/>
      <c r="BLD223" s="18"/>
      <c r="BLE223" s="18"/>
      <c r="BLF223" s="18"/>
      <c r="BLG223" s="18"/>
      <c r="BLH223" s="18"/>
      <c r="BLI223" s="18"/>
      <c r="BLJ223" s="18"/>
      <c r="BLK223" s="18"/>
      <c r="BLL223" s="18"/>
      <c r="BLM223" s="18"/>
      <c r="BLN223" s="18"/>
      <c r="BLO223" s="18"/>
      <c r="BLP223" s="18"/>
      <c r="BLQ223" s="18"/>
      <c r="BLR223" s="18"/>
      <c r="BLS223" s="18"/>
      <c r="BLT223" s="18"/>
      <c r="BLU223" s="18"/>
      <c r="BLV223" s="18"/>
      <c r="BLW223" s="18"/>
      <c r="BLX223" s="18"/>
      <c r="BLY223" s="18"/>
      <c r="BLZ223" s="18"/>
      <c r="BMA223" s="18"/>
      <c r="BMB223" s="18"/>
      <c r="BMC223" s="18"/>
      <c r="BMD223" s="18"/>
      <c r="BME223" s="18"/>
      <c r="BMF223" s="18"/>
      <c r="BMG223" s="18"/>
      <c r="BMH223" s="18"/>
      <c r="BMI223" s="18"/>
      <c r="BMJ223" s="18"/>
      <c r="BMK223" s="18"/>
      <c r="BML223" s="18"/>
      <c r="BMM223" s="18"/>
      <c r="BMN223" s="18"/>
      <c r="BMO223" s="18"/>
      <c r="BMP223" s="18"/>
      <c r="BMQ223" s="18"/>
      <c r="BMR223" s="18"/>
      <c r="BMS223" s="18"/>
      <c r="BMT223" s="18"/>
      <c r="BMU223" s="18"/>
      <c r="BMV223" s="18"/>
      <c r="BMW223" s="18"/>
      <c r="BMX223" s="18"/>
      <c r="BMY223" s="18"/>
      <c r="BMZ223" s="18"/>
      <c r="BNA223" s="18"/>
      <c r="BNB223" s="18"/>
      <c r="BNC223" s="18"/>
      <c r="BND223" s="18"/>
      <c r="BNE223" s="18"/>
      <c r="BNF223" s="18"/>
      <c r="BNG223" s="18"/>
      <c r="BNH223" s="18"/>
      <c r="BNI223" s="18"/>
      <c r="BNJ223" s="18"/>
      <c r="BNK223" s="18"/>
      <c r="BNL223" s="18"/>
      <c r="BNM223" s="18"/>
      <c r="BNN223" s="18"/>
      <c r="BNO223" s="18"/>
      <c r="BNP223" s="18"/>
      <c r="BNQ223" s="18"/>
      <c r="BNR223" s="18"/>
      <c r="BNS223" s="18"/>
      <c r="BNT223" s="18"/>
      <c r="BNU223" s="18"/>
      <c r="BNV223" s="18"/>
      <c r="BNW223" s="18"/>
      <c r="BNX223" s="18"/>
      <c r="BNY223" s="18"/>
      <c r="BNZ223" s="18"/>
      <c r="BOA223" s="18"/>
      <c r="BOB223" s="18"/>
      <c r="BOC223" s="18"/>
      <c r="BOD223" s="18"/>
      <c r="BOE223" s="18"/>
      <c r="BOF223" s="18"/>
      <c r="BOG223" s="18"/>
      <c r="BOH223" s="18"/>
      <c r="BOI223" s="18"/>
      <c r="BOJ223" s="18"/>
      <c r="BOK223" s="18"/>
      <c r="BOL223" s="18"/>
      <c r="BOM223" s="18"/>
      <c r="BON223" s="18"/>
      <c r="BOO223" s="18"/>
      <c r="BOP223" s="18"/>
      <c r="BOQ223" s="18"/>
      <c r="BOR223" s="18"/>
      <c r="BOS223" s="18"/>
      <c r="BOT223" s="18"/>
      <c r="BOU223" s="18"/>
      <c r="BOV223" s="18"/>
      <c r="BOW223" s="18"/>
      <c r="BOX223" s="18"/>
      <c r="BOY223" s="18"/>
      <c r="BOZ223" s="18"/>
      <c r="BPA223" s="18"/>
      <c r="BPB223" s="18"/>
      <c r="BPC223" s="18"/>
      <c r="BPD223" s="18"/>
      <c r="BPE223" s="18"/>
      <c r="BPF223" s="18"/>
      <c r="BPG223" s="18"/>
      <c r="BPH223" s="18"/>
      <c r="BPI223" s="18"/>
      <c r="BPJ223" s="18"/>
      <c r="BPK223" s="18"/>
      <c r="BPL223" s="18"/>
      <c r="BPM223" s="18"/>
      <c r="BPN223" s="18"/>
      <c r="BPO223" s="18"/>
      <c r="BPP223" s="18"/>
      <c r="BPQ223" s="18"/>
      <c r="BPR223" s="18"/>
      <c r="BPS223" s="18"/>
      <c r="BPT223" s="18"/>
      <c r="BPU223" s="18"/>
      <c r="BPV223" s="18"/>
      <c r="BPW223" s="18"/>
      <c r="BPX223" s="18"/>
      <c r="BPY223" s="18"/>
      <c r="BPZ223" s="18"/>
      <c r="BQA223" s="18"/>
      <c r="BQB223" s="18"/>
      <c r="BQC223" s="18"/>
      <c r="BQD223" s="18"/>
      <c r="BQE223" s="18"/>
      <c r="BQF223" s="18"/>
      <c r="BQG223" s="18"/>
      <c r="BQH223" s="18"/>
      <c r="BQI223" s="18"/>
      <c r="BQJ223" s="18"/>
      <c r="BQK223" s="18"/>
      <c r="BQL223" s="18"/>
      <c r="BQM223" s="18"/>
      <c r="BQN223" s="18"/>
      <c r="BQO223" s="18"/>
      <c r="BQP223" s="18"/>
      <c r="BQQ223" s="18"/>
      <c r="BQR223" s="18"/>
      <c r="BQS223" s="18"/>
      <c r="BQT223" s="18"/>
      <c r="BQU223" s="18"/>
      <c r="BQV223" s="18"/>
      <c r="BQW223" s="18"/>
      <c r="BQX223" s="18"/>
      <c r="BQY223" s="18"/>
      <c r="BQZ223" s="18"/>
      <c r="BRA223" s="18"/>
      <c r="BRB223" s="18"/>
      <c r="BRC223" s="18"/>
      <c r="BRD223" s="18"/>
      <c r="BRE223" s="18"/>
      <c r="BRF223" s="18"/>
      <c r="BRG223" s="18"/>
      <c r="BRH223" s="18"/>
      <c r="BRI223" s="18"/>
      <c r="BRJ223" s="18"/>
      <c r="BRK223" s="18"/>
      <c r="BRL223" s="18"/>
      <c r="BRM223" s="18"/>
      <c r="BRN223" s="18"/>
      <c r="BRO223" s="18"/>
      <c r="BRP223" s="18"/>
      <c r="BRQ223" s="18"/>
      <c r="BRR223" s="18"/>
      <c r="BRS223" s="18"/>
      <c r="BRT223" s="18"/>
      <c r="BRU223" s="18"/>
      <c r="BRV223" s="18"/>
      <c r="BRW223" s="18"/>
      <c r="BRX223" s="18"/>
      <c r="BRY223" s="18"/>
      <c r="BRZ223" s="18"/>
      <c r="BSA223" s="18"/>
      <c r="BSB223" s="18"/>
      <c r="BSC223" s="18"/>
      <c r="BSD223" s="18"/>
      <c r="BSE223" s="18"/>
      <c r="BSF223" s="18"/>
      <c r="BSG223" s="18"/>
      <c r="BSH223" s="18"/>
      <c r="BSI223" s="18"/>
      <c r="BSJ223" s="18"/>
      <c r="BSK223" s="18"/>
      <c r="BSL223" s="18"/>
      <c r="BSM223" s="18"/>
      <c r="BSN223" s="18"/>
      <c r="BSO223" s="18"/>
      <c r="BSP223" s="18"/>
      <c r="BSQ223" s="18"/>
      <c r="BSR223" s="18"/>
      <c r="BSS223" s="18"/>
      <c r="BST223" s="18"/>
      <c r="BSU223" s="18"/>
      <c r="BSV223" s="18"/>
      <c r="BSW223" s="18"/>
      <c r="BSX223" s="18"/>
      <c r="BSY223" s="18"/>
      <c r="BSZ223" s="18"/>
      <c r="BTA223" s="18"/>
      <c r="BTB223" s="18"/>
      <c r="BTC223" s="18"/>
      <c r="BTD223" s="18"/>
      <c r="BTE223" s="18"/>
      <c r="BTF223" s="18"/>
      <c r="BTG223" s="18"/>
      <c r="BTH223" s="18"/>
      <c r="BTI223" s="18"/>
    </row>
    <row r="224" spans="1:1881" s="428" customFormat="1" ht="191.4" customHeight="1" x14ac:dyDescent="0.3">
      <c r="A224" s="100">
        <v>577</v>
      </c>
      <c r="B224" s="429" t="s">
        <v>326</v>
      </c>
      <c r="C224" s="375" t="s">
        <v>298</v>
      </c>
      <c r="D224" s="228" t="s">
        <v>1535</v>
      </c>
      <c r="E224" s="531"/>
      <c r="F224" s="816"/>
      <c r="G224" s="533" t="str">
        <f>IF(F224="Yes","In this cell - Please include the name of the plan, a brief description of the benefit and the population group that received the benefits."," ")</f>
        <v xml:space="preserve"> </v>
      </c>
      <c r="H224" s="17"/>
      <c r="I224" s="426"/>
      <c r="J224" s="426"/>
      <c r="K224"/>
      <c r="L224" s="550"/>
      <c r="M224"/>
      <c r="N224" s="18"/>
      <c r="O224" s="187"/>
      <c r="P224" s="18"/>
      <c r="Q224" s="18"/>
      <c r="R224" s="18"/>
      <c r="S224" s="18"/>
      <c r="T224" s="18"/>
      <c r="U224" s="18"/>
      <c r="V224" s="18"/>
      <c r="W224" s="18"/>
      <c r="X224" s="18"/>
      <c r="Y224" s="18"/>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c r="GQ224" s="18"/>
      <c r="GR224" s="18"/>
      <c r="GS224" s="18"/>
      <c r="GT224" s="18"/>
      <c r="GU224" s="18"/>
      <c r="GV224" s="18"/>
      <c r="GW224" s="18"/>
      <c r="GX224" s="18"/>
      <c r="GY224" s="18"/>
      <c r="GZ224" s="18"/>
      <c r="HA224" s="18"/>
      <c r="HB224" s="18"/>
      <c r="HC224" s="18"/>
      <c r="HD224" s="18"/>
      <c r="HE224" s="18"/>
      <c r="HF224" s="18"/>
      <c r="HG224" s="18"/>
      <c r="HH224" s="18"/>
      <c r="HI224" s="18"/>
      <c r="HJ224" s="18"/>
      <c r="HK224" s="18"/>
      <c r="HL224" s="18"/>
      <c r="HM224" s="18"/>
      <c r="HN224" s="18"/>
      <c r="HO224" s="18"/>
      <c r="HP224" s="18"/>
      <c r="HQ224" s="18"/>
      <c r="HR224" s="18"/>
      <c r="HS224" s="18"/>
      <c r="HT224" s="18"/>
      <c r="HU224" s="18"/>
      <c r="HV224" s="18"/>
      <c r="HW224" s="18"/>
      <c r="HX224" s="18"/>
      <c r="HY224" s="18"/>
      <c r="HZ224" s="18"/>
      <c r="IA224" s="18"/>
      <c r="IB224" s="18"/>
      <c r="IC224" s="18"/>
      <c r="ID224" s="18"/>
      <c r="IE224" s="18"/>
      <c r="IF224" s="18"/>
      <c r="IG224" s="18"/>
      <c r="IH224" s="18"/>
      <c r="II224" s="18"/>
      <c r="IJ224" s="18"/>
      <c r="IK224" s="18"/>
      <c r="IL224" s="18"/>
      <c r="IM224" s="18"/>
      <c r="IN224" s="18"/>
      <c r="IO224" s="18"/>
      <c r="IP224" s="18"/>
      <c r="IQ224" s="18"/>
      <c r="IR224" s="18"/>
      <c r="IS224" s="18"/>
      <c r="IT224" s="18"/>
      <c r="IU224" s="18"/>
      <c r="IV224" s="18"/>
      <c r="IW224" s="18"/>
      <c r="IX224" s="18"/>
      <c r="IY224" s="18"/>
      <c r="IZ224" s="18"/>
      <c r="JA224" s="18"/>
      <c r="JB224" s="18"/>
      <c r="JC224" s="18"/>
      <c r="JD224" s="18"/>
      <c r="JE224" s="18"/>
      <c r="JF224" s="18"/>
      <c r="JG224" s="18"/>
      <c r="JH224" s="18"/>
      <c r="JI224" s="18"/>
      <c r="JJ224" s="18"/>
      <c r="JK224" s="18"/>
      <c r="JL224" s="18"/>
      <c r="JM224" s="18"/>
      <c r="JN224" s="18"/>
      <c r="JO224" s="18"/>
      <c r="JP224" s="18"/>
      <c r="JQ224" s="18"/>
      <c r="JR224" s="18"/>
      <c r="JS224" s="18"/>
      <c r="JT224" s="18"/>
      <c r="JU224" s="18"/>
      <c r="JV224" s="18"/>
      <c r="JW224" s="18"/>
      <c r="JX224" s="18"/>
      <c r="JY224" s="18"/>
      <c r="JZ224" s="18"/>
      <c r="KA224" s="18"/>
      <c r="KB224" s="18"/>
      <c r="KC224" s="18"/>
      <c r="KD224" s="18"/>
      <c r="KE224" s="18"/>
      <c r="KF224" s="18"/>
      <c r="KG224" s="18"/>
      <c r="KH224" s="18"/>
      <c r="KI224" s="18"/>
      <c r="KJ224" s="18"/>
      <c r="KK224" s="18"/>
      <c r="KL224" s="18"/>
      <c r="KM224" s="18"/>
      <c r="KN224" s="18"/>
      <c r="KO224" s="18"/>
      <c r="KP224" s="18"/>
      <c r="KQ224" s="18"/>
      <c r="KR224" s="18"/>
      <c r="KS224" s="18"/>
      <c r="KT224" s="18"/>
      <c r="KU224" s="18"/>
      <c r="KV224" s="18"/>
      <c r="KW224" s="18"/>
      <c r="KX224" s="18"/>
      <c r="KY224" s="18"/>
      <c r="KZ224" s="18"/>
      <c r="LA224" s="18"/>
      <c r="LB224" s="18"/>
      <c r="LC224" s="18"/>
      <c r="LD224" s="18"/>
      <c r="LE224" s="18"/>
      <c r="LF224" s="18"/>
      <c r="LG224" s="18"/>
      <c r="LH224" s="18"/>
      <c r="LI224" s="18"/>
      <c r="LJ224" s="18"/>
      <c r="LK224" s="18"/>
      <c r="LL224" s="18"/>
      <c r="LM224" s="18"/>
      <c r="LN224" s="18"/>
      <c r="LO224" s="18"/>
      <c r="LP224" s="18"/>
      <c r="LQ224" s="18"/>
      <c r="LR224" s="18"/>
      <c r="LS224" s="18"/>
      <c r="LT224" s="18"/>
      <c r="LU224" s="18"/>
      <c r="LV224" s="18"/>
      <c r="LW224" s="18"/>
      <c r="LX224" s="18"/>
      <c r="LY224" s="18"/>
      <c r="LZ224" s="18"/>
      <c r="MA224" s="18"/>
      <c r="MB224" s="18"/>
      <c r="MC224" s="18"/>
      <c r="MD224" s="18"/>
      <c r="ME224" s="18"/>
      <c r="MF224" s="18"/>
      <c r="MG224" s="18"/>
      <c r="MH224" s="18"/>
      <c r="MI224" s="18"/>
      <c r="MJ224" s="18"/>
      <c r="MK224" s="18"/>
      <c r="ML224" s="18"/>
      <c r="MM224" s="18"/>
      <c r="MN224" s="18"/>
      <c r="MO224" s="18"/>
      <c r="MP224" s="18"/>
      <c r="MQ224" s="18"/>
      <c r="MR224" s="18"/>
      <c r="MS224" s="18"/>
      <c r="MT224" s="18"/>
      <c r="MU224" s="18"/>
      <c r="MV224" s="18"/>
      <c r="MW224" s="18"/>
      <c r="MX224" s="18"/>
      <c r="MY224" s="18"/>
      <c r="MZ224" s="18"/>
      <c r="NA224" s="18"/>
      <c r="NB224" s="18"/>
      <c r="NC224" s="18"/>
      <c r="ND224" s="18"/>
      <c r="NE224" s="18"/>
      <c r="NF224" s="18"/>
      <c r="NG224" s="18"/>
      <c r="NH224" s="18"/>
      <c r="NI224" s="18"/>
      <c r="NJ224" s="18"/>
      <c r="NK224" s="18"/>
      <c r="NL224" s="18"/>
      <c r="NM224" s="18"/>
      <c r="NN224" s="18"/>
      <c r="NO224" s="18"/>
      <c r="NP224" s="18"/>
      <c r="NQ224" s="18"/>
      <c r="NR224" s="18"/>
      <c r="NS224" s="18"/>
      <c r="NT224" s="18"/>
      <c r="NU224" s="18"/>
      <c r="NV224" s="18"/>
      <c r="NW224" s="18"/>
      <c r="NX224" s="18"/>
      <c r="NY224" s="18"/>
      <c r="NZ224" s="18"/>
      <c r="OA224" s="18"/>
      <c r="OB224" s="18"/>
      <c r="OC224" s="18"/>
      <c r="OD224" s="18"/>
      <c r="OE224" s="18"/>
      <c r="OF224" s="18"/>
      <c r="OG224" s="18"/>
      <c r="OH224" s="18"/>
      <c r="OI224" s="18"/>
      <c r="OJ224" s="18"/>
      <c r="OK224" s="18"/>
      <c r="OL224" s="18"/>
      <c r="OM224" s="18"/>
      <c r="ON224" s="18"/>
      <c r="OO224" s="18"/>
      <c r="OP224" s="18"/>
      <c r="OQ224" s="18"/>
      <c r="OR224" s="18"/>
      <c r="OS224" s="18"/>
      <c r="OT224" s="18"/>
      <c r="OU224" s="18"/>
      <c r="OV224" s="18"/>
      <c r="OW224" s="18"/>
      <c r="OX224" s="18"/>
      <c r="OY224" s="18"/>
      <c r="OZ224" s="18"/>
      <c r="PA224" s="18"/>
      <c r="PB224" s="18"/>
      <c r="PC224" s="18"/>
      <c r="PD224" s="18"/>
      <c r="PE224" s="18"/>
      <c r="PF224" s="18"/>
      <c r="PG224" s="18"/>
      <c r="PH224" s="18"/>
      <c r="PI224" s="18"/>
      <c r="PJ224" s="18"/>
      <c r="PK224" s="18"/>
      <c r="PL224" s="18"/>
      <c r="PM224" s="18"/>
      <c r="PN224" s="18"/>
      <c r="PO224" s="18"/>
      <c r="PP224" s="18"/>
      <c r="PQ224" s="18"/>
      <c r="PR224" s="18"/>
      <c r="PS224" s="18"/>
      <c r="PT224" s="18"/>
      <c r="PU224" s="18"/>
      <c r="PV224" s="18"/>
      <c r="PW224" s="18"/>
      <c r="PX224" s="18"/>
      <c r="PY224" s="18"/>
      <c r="PZ224" s="18"/>
      <c r="QA224" s="18"/>
      <c r="QB224" s="18"/>
      <c r="QC224" s="18"/>
      <c r="QD224" s="18"/>
      <c r="QE224" s="18"/>
      <c r="QF224" s="18"/>
      <c r="QG224" s="18"/>
      <c r="QH224" s="18"/>
      <c r="QI224" s="18"/>
      <c r="QJ224" s="18"/>
      <c r="QK224" s="18"/>
      <c r="QL224" s="18"/>
      <c r="QM224" s="18"/>
      <c r="QN224" s="18"/>
      <c r="QO224" s="18"/>
      <c r="QP224" s="18"/>
      <c r="QQ224" s="18"/>
      <c r="QR224" s="18"/>
      <c r="QS224" s="18"/>
      <c r="QT224" s="18"/>
      <c r="QU224" s="18"/>
      <c r="QV224" s="18"/>
      <c r="QW224" s="18"/>
      <c r="QX224" s="18"/>
      <c r="QY224" s="18"/>
      <c r="QZ224" s="18"/>
      <c r="RA224" s="18"/>
      <c r="RB224" s="18"/>
      <c r="RC224" s="18"/>
      <c r="RD224" s="18"/>
      <c r="RE224" s="18"/>
      <c r="RF224" s="18"/>
      <c r="RG224" s="18"/>
      <c r="RH224" s="18"/>
      <c r="RI224" s="18"/>
      <c r="RJ224" s="18"/>
      <c r="RK224" s="18"/>
      <c r="RL224" s="18"/>
      <c r="RM224" s="18"/>
      <c r="RN224" s="18"/>
      <c r="RO224" s="18"/>
      <c r="RP224" s="18"/>
      <c r="RQ224" s="18"/>
      <c r="RR224" s="18"/>
      <c r="RS224" s="18"/>
      <c r="RT224" s="18"/>
      <c r="RU224" s="18"/>
      <c r="RV224" s="18"/>
      <c r="RW224" s="18"/>
      <c r="RX224" s="18"/>
      <c r="RY224" s="18"/>
      <c r="RZ224" s="18"/>
      <c r="SA224" s="18"/>
      <c r="SB224" s="18"/>
      <c r="SC224" s="18"/>
      <c r="SD224" s="18"/>
      <c r="SE224" s="18"/>
      <c r="SF224" s="18"/>
      <c r="SG224" s="18"/>
      <c r="SH224" s="18"/>
      <c r="SI224" s="18"/>
      <c r="SJ224" s="18"/>
      <c r="SK224" s="18"/>
      <c r="SL224" s="18"/>
      <c r="SM224" s="18"/>
      <c r="SN224" s="18"/>
      <c r="SO224" s="18"/>
      <c r="SP224" s="18"/>
      <c r="SQ224" s="18"/>
      <c r="SR224" s="18"/>
      <c r="SS224" s="18"/>
      <c r="ST224" s="18"/>
      <c r="SU224" s="18"/>
      <c r="SV224" s="18"/>
      <c r="SW224" s="18"/>
      <c r="SX224" s="18"/>
      <c r="SY224" s="18"/>
      <c r="SZ224" s="18"/>
      <c r="TA224" s="18"/>
      <c r="TB224" s="18"/>
      <c r="TC224" s="18"/>
      <c r="TD224" s="18"/>
      <c r="TE224" s="18"/>
      <c r="TF224" s="18"/>
      <c r="TG224" s="18"/>
      <c r="TH224" s="18"/>
      <c r="TI224" s="18"/>
      <c r="TJ224" s="18"/>
      <c r="TK224" s="18"/>
      <c r="TL224" s="18"/>
      <c r="TM224" s="18"/>
      <c r="TN224" s="18"/>
      <c r="TO224" s="18"/>
      <c r="TP224" s="18"/>
      <c r="TQ224" s="18"/>
      <c r="TR224" s="18"/>
      <c r="TS224" s="18"/>
      <c r="TT224" s="18"/>
      <c r="TU224" s="18"/>
      <c r="TV224" s="18"/>
      <c r="TW224" s="18"/>
      <c r="TX224" s="18"/>
      <c r="TY224" s="18"/>
      <c r="TZ224" s="18"/>
      <c r="UA224" s="18"/>
      <c r="UB224" s="18"/>
      <c r="UC224" s="18"/>
      <c r="UD224" s="18"/>
      <c r="UE224" s="18"/>
      <c r="UF224" s="18"/>
      <c r="UG224" s="18"/>
      <c r="UH224" s="18"/>
      <c r="UI224" s="18"/>
      <c r="UJ224" s="18"/>
      <c r="UK224" s="18"/>
      <c r="UL224" s="18"/>
      <c r="UM224" s="18"/>
      <c r="UN224" s="18"/>
      <c r="UO224" s="18"/>
      <c r="UP224" s="18"/>
      <c r="UQ224" s="18"/>
      <c r="UR224" s="18"/>
      <c r="US224" s="18"/>
      <c r="UT224" s="18"/>
      <c r="UU224" s="18"/>
      <c r="UV224" s="18"/>
      <c r="UW224" s="18"/>
      <c r="UX224" s="18"/>
      <c r="UY224" s="18"/>
      <c r="UZ224" s="18"/>
      <c r="VA224" s="18"/>
      <c r="VB224" s="18"/>
      <c r="VC224" s="18"/>
      <c r="VD224" s="18"/>
      <c r="VE224" s="18"/>
      <c r="VF224" s="18"/>
      <c r="VG224" s="18"/>
      <c r="VH224" s="18"/>
      <c r="VI224" s="18"/>
      <c r="VJ224" s="18"/>
      <c r="VK224" s="18"/>
      <c r="VL224" s="18"/>
      <c r="VM224" s="18"/>
      <c r="VN224" s="18"/>
      <c r="VO224" s="18"/>
      <c r="VP224" s="18"/>
      <c r="VQ224" s="18"/>
      <c r="VR224" s="18"/>
      <c r="VS224" s="18"/>
      <c r="VT224" s="18"/>
      <c r="VU224" s="18"/>
      <c r="VV224" s="18"/>
      <c r="VW224" s="18"/>
      <c r="VX224" s="18"/>
      <c r="VY224" s="18"/>
      <c r="VZ224" s="18"/>
      <c r="WA224" s="18"/>
      <c r="WB224" s="18"/>
      <c r="WC224" s="18"/>
      <c r="WD224" s="18"/>
      <c r="WE224" s="18"/>
      <c r="WF224" s="18"/>
      <c r="WG224" s="18"/>
      <c r="WH224" s="18"/>
      <c r="WI224" s="18"/>
      <c r="WJ224" s="18"/>
      <c r="WK224" s="18"/>
      <c r="WL224" s="18"/>
      <c r="WM224" s="18"/>
      <c r="WN224" s="18"/>
      <c r="WO224" s="18"/>
      <c r="WP224" s="18"/>
      <c r="WQ224" s="18"/>
      <c r="WR224" s="18"/>
      <c r="WS224" s="18"/>
      <c r="WT224" s="18"/>
      <c r="WU224" s="18"/>
      <c r="WV224" s="18"/>
      <c r="WW224" s="18"/>
      <c r="WX224" s="18"/>
      <c r="WY224" s="18"/>
      <c r="WZ224" s="18"/>
      <c r="XA224" s="18"/>
      <c r="XB224" s="18"/>
      <c r="XC224" s="18"/>
      <c r="XD224" s="18"/>
      <c r="XE224" s="18"/>
      <c r="XF224" s="18"/>
      <c r="XG224" s="18"/>
      <c r="XH224" s="18"/>
      <c r="XI224" s="18"/>
      <c r="XJ224" s="18"/>
      <c r="XK224" s="18"/>
      <c r="XL224" s="18"/>
      <c r="XM224" s="18"/>
      <c r="XN224" s="18"/>
      <c r="XO224" s="18"/>
      <c r="XP224" s="18"/>
      <c r="XQ224" s="18"/>
      <c r="XR224" s="18"/>
      <c r="XS224" s="18"/>
      <c r="XT224" s="18"/>
      <c r="XU224" s="18"/>
      <c r="XV224" s="18"/>
      <c r="XW224" s="18"/>
      <c r="XX224" s="18"/>
      <c r="XY224" s="18"/>
      <c r="XZ224" s="18"/>
      <c r="YA224" s="18"/>
      <c r="YB224" s="18"/>
      <c r="YC224" s="18"/>
      <c r="YD224" s="18"/>
      <c r="YE224" s="18"/>
      <c r="YF224" s="18"/>
      <c r="YG224" s="18"/>
      <c r="YH224" s="18"/>
      <c r="YI224" s="18"/>
      <c r="YJ224" s="18"/>
      <c r="YK224" s="18"/>
      <c r="YL224" s="18"/>
      <c r="YM224" s="18"/>
      <c r="YN224" s="18"/>
      <c r="YO224" s="18"/>
      <c r="YP224" s="18"/>
      <c r="YQ224" s="18"/>
      <c r="YR224" s="18"/>
      <c r="YS224" s="18"/>
      <c r="YT224" s="18"/>
      <c r="YU224" s="18"/>
      <c r="YV224" s="18"/>
      <c r="YW224" s="18"/>
      <c r="YX224" s="18"/>
      <c r="YY224" s="18"/>
      <c r="YZ224" s="18"/>
      <c r="ZA224" s="18"/>
      <c r="ZB224" s="18"/>
      <c r="ZC224" s="18"/>
      <c r="ZD224" s="18"/>
      <c r="ZE224" s="18"/>
      <c r="ZF224" s="18"/>
      <c r="ZG224" s="18"/>
      <c r="ZH224" s="18"/>
      <c r="ZI224" s="18"/>
      <c r="ZJ224" s="18"/>
      <c r="ZK224" s="18"/>
      <c r="ZL224" s="18"/>
      <c r="ZM224" s="18"/>
      <c r="ZN224" s="18"/>
      <c r="ZO224" s="18"/>
      <c r="ZP224" s="18"/>
      <c r="ZQ224" s="18"/>
      <c r="ZR224" s="18"/>
      <c r="ZS224" s="18"/>
      <c r="ZT224" s="18"/>
      <c r="ZU224" s="18"/>
      <c r="ZV224" s="18"/>
      <c r="ZW224" s="18"/>
      <c r="ZX224" s="18"/>
      <c r="ZY224" s="18"/>
      <c r="ZZ224" s="18"/>
      <c r="AAA224" s="18"/>
      <c r="AAB224" s="18"/>
      <c r="AAC224" s="18"/>
      <c r="AAD224" s="18"/>
      <c r="AAE224" s="18"/>
      <c r="AAF224" s="18"/>
      <c r="AAG224" s="18"/>
      <c r="AAH224" s="18"/>
      <c r="AAI224" s="18"/>
      <c r="AAJ224" s="18"/>
      <c r="AAK224" s="18"/>
      <c r="AAL224" s="18"/>
      <c r="AAM224" s="18"/>
      <c r="AAN224" s="18"/>
      <c r="AAO224" s="18"/>
      <c r="AAP224" s="18"/>
      <c r="AAQ224" s="18"/>
      <c r="AAR224" s="18"/>
      <c r="AAS224" s="18"/>
      <c r="AAT224" s="18"/>
      <c r="AAU224" s="18"/>
      <c r="AAV224" s="18"/>
      <c r="AAW224" s="18"/>
      <c r="AAX224" s="18"/>
      <c r="AAY224" s="18"/>
      <c r="AAZ224" s="18"/>
      <c r="ABA224" s="18"/>
      <c r="ABB224" s="18"/>
      <c r="ABC224" s="18"/>
      <c r="ABD224" s="18"/>
      <c r="ABE224" s="18"/>
      <c r="ABF224" s="18"/>
      <c r="ABG224" s="18"/>
      <c r="ABH224" s="18"/>
      <c r="ABI224" s="18"/>
      <c r="ABJ224" s="18"/>
      <c r="ABK224" s="18"/>
      <c r="ABL224" s="18"/>
      <c r="ABM224" s="18"/>
      <c r="ABN224" s="18"/>
      <c r="ABO224" s="18"/>
      <c r="ABP224" s="18"/>
      <c r="ABQ224" s="18"/>
      <c r="ABR224" s="18"/>
      <c r="ABS224" s="18"/>
      <c r="ABT224" s="18"/>
      <c r="ABU224" s="18"/>
      <c r="ABV224" s="18"/>
      <c r="ABW224" s="18"/>
      <c r="ABX224" s="18"/>
      <c r="ABY224" s="18"/>
      <c r="ABZ224" s="18"/>
      <c r="ACA224" s="18"/>
      <c r="ACB224" s="18"/>
      <c r="ACC224" s="18"/>
      <c r="ACD224" s="18"/>
      <c r="ACE224" s="18"/>
      <c r="ACF224" s="18"/>
      <c r="ACG224" s="18"/>
      <c r="ACH224" s="18"/>
      <c r="ACI224" s="18"/>
      <c r="ACJ224" s="18"/>
      <c r="ACK224" s="18"/>
      <c r="ACL224" s="18"/>
      <c r="ACM224" s="18"/>
      <c r="ACN224" s="18"/>
      <c r="ACO224" s="18"/>
      <c r="ACP224" s="18"/>
      <c r="ACQ224" s="18"/>
      <c r="ACR224" s="18"/>
      <c r="ACS224" s="18"/>
      <c r="ACT224" s="18"/>
      <c r="ACU224" s="18"/>
      <c r="ACV224" s="18"/>
      <c r="ACW224" s="18"/>
      <c r="ACX224" s="18"/>
      <c r="ACY224" s="18"/>
      <c r="ACZ224" s="18"/>
      <c r="ADA224" s="18"/>
      <c r="ADB224" s="18"/>
      <c r="ADC224" s="18"/>
      <c r="ADD224" s="18"/>
      <c r="ADE224" s="18"/>
      <c r="ADF224" s="18"/>
      <c r="ADG224" s="18"/>
      <c r="ADH224" s="18"/>
      <c r="ADI224" s="18"/>
      <c r="ADJ224" s="18"/>
      <c r="ADK224" s="18"/>
      <c r="ADL224" s="18"/>
      <c r="ADM224" s="18"/>
      <c r="ADN224" s="18"/>
      <c r="ADO224" s="18"/>
      <c r="ADP224" s="18"/>
      <c r="ADQ224" s="18"/>
      <c r="ADR224" s="18"/>
      <c r="ADS224" s="18"/>
      <c r="ADT224" s="18"/>
      <c r="ADU224" s="18"/>
      <c r="ADV224" s="18"/>
      <c r="ADW224" s="18"/>
      <c r="ADX224" s="18"/>
      <c r="ADY224" s="18"/>
      <c r="ADZ224" s="18"/>
      <c r="AEA224" s="18"/>
      <c r="AEB224" s="18"/>
      <c r="AEC224" s="18"/>
      <c r="AED224" s="18"/>
      <c r="AEE224" s="18"/>
      <c r="AEF224" s="18"/>
      <c r="AEG224" s="18"/>
      <c r="AEH224" s="18"/>
      <c r="AEI224" s="18"/>
      <c r="AEJ224" s="18"/>
      <c r="AEK224" s="18"/>
      <c r="AEL224" s="18"/>
      <c r="AEM224" s="18"/>
      <c r="AEN224" s="18"/>
      <c r="AEO224" s="18"/>
      <c r="AEP224" s="18"/>
      <c r="AEQ224" s="18"/>
      <c r="AER224" s="18"/>
      <c r="AES224" s="18"/>
      <c r="AET224" s="18"/>
      <c r="AEU224" s="18"/>
      <c r="AEV224" s="18"/>
      <c r="AEW224" s="18"/>
      <c r="AEX224" s="18"/>
      <c r="AEY224" s="18"/>
      <c r="AEZ224" s="18"/>
      <c r="AFA224" s="18"/>
      <c r="AFB224" s="18"/>
      <c r="AFC224" s="18"/>
      <c r="AFD224" s="18"/>
      <c r="AFE224" s="18"/>
      <c r="AFF224" s="18"/>
      <c r="AFG224" s="18"/>
      <c r="AFH224" s="18"/>
      <c r="AFI224" s="18"/>
      <c r="AFJ224" s="18"/>
      <c r="AFK224" s="18"/>
      <c r="AFL224" s="18"/>
      <c r="AFM224" s="18"/>
      <c r="AFN224" s="18"/>
      <c r="AFO224" s="18"/>
      <c r="AFP224" s="18"/>
      <c r="AFQ224" s="18"/>
      <c r="AFR224" s="18"/>
      <c r="AFS224" s="18"/>
      <c r="AFT224" s="18"/>
      <c r="AFU224" s="18"/>
      <c r="AFV224" s="18"/>
      <c r="AFW224" s="18"/>
      <c r="AFX224" s="18"/>
      <c r="AFY224" s="18"/>
      <c r="AFZ224" s="18"/>
      <c r="AGA224" s="18"/>
      <c r="AGB224" s="18"/>
      <c r="AGC224" s="18"/>
      <c r="AGD224" s="18"/>
      <c r="AGE224" s="18"/>
      <c r="AGF224" s="18"/>
      <c r="AGG224" s="18"/>
      <c r="AGH224" s="18"/>
      <c r="AGI224" s="18"/>
      <c r="AGJ224" s="18"/>
      <c r="AGK224" s="18"/>
      <c r="AGL224" s="18"/>
      <c r="AGM224" s="18"/>
      <c r="AGN224" s="18"/>
      <c r="AGO224" s="18"/>
      <c r="AGP224" s="18"/>
      <c r="AGQ224" s="18"/>
      <c r="AGR224" s="18"/>
      <c r="AGS224" s="18"/>
      <c r="AGT224" s="18"/>
      <c r="AGU224" s="18"/>
      <c r="AGV224" s="18"/>
      <c r="AGW224" s="18"/>
      <c r="AGX224" s="18"/>
      <c r="AGY224" s="18"/>
      <c r="AGZ224" s="18"/>
      <c r="AHA224" s="18"/>
      <c r="AHB224" s="18"/>
      <c r="AHC224" s="18"/>
      <c r="AHD224" s="18"/>
      <c r="AHE224" s="18"/>
      <c r="AHF224" s="18"/>
      <c r="AHG224" s="18"/>
      <c r="AHH224" s="18"/>
      <c r="AHI224" s="18"/>
      <c r="AHJ224" s="18"/>
      <c r="AHK224" s="18"/>
      <c r="AHL224" s="18"/>
      <c r="AHM224" s="18"/>
      <c r="AHN224" s="18"/>
      <c r="AHO224" s="18"/>
      <c r="AHP224" s="18"/>
      <c r="AHQ224" s="18"/>
      <c r="AHR224" s="18"/>
      <c r="AHS224" s="18"/>
      <c r="AHT224" s="18"/>
      <c r="AHU224" s="18"/>
      <c r="AHV224" s="18"/>
      <c r="AHW224" s="18"/>
      <c r="AHX224" s="18"/>
      <c r="AHY224" s="18"/>
      <c r="AHZ224" s="18"/>
      <c r="AIA224" s="18"/>
      <c r="AIB224" s="18"/>
      <c r="AIC224" s="18"/>
      <c r="AID224" s="18"/>
      <c r="AIE224" s="18"/>
      <c r="AIF224" s="18"/>
      <c r="AIG224" s="18"/>
      <c r="AIH224" s="18"/>
      <c r="AII224" s="18"/>
      <c r="AIJ224" s="18"/>
      <c r="AIK224" s="18"/>
      <c r="AIL224" s="18"/>
      <c r="AIM224" s="18"/>
      <c r="AIN224" s="18"/>
      <c r="AIO224" s="18"/>
      <c r="AIP224" s="18"/>
      <c r="AIQ224" s="18"/>
      <c r="AIR224" s="18"/>
      <c r="AIS224" s="18"/>
      <c r="AIT224" s="18"/>
      <c r="AIU224" s="18"/>
      <c r="AIV224" s="18"/>
      <c r="AIW224" s="18"/>
      <c r="AIX224" s="18"/>
      <c r="AIY224" s="18"/>
      <c r="AIZ224" s="18"/>
      <c r="AJA224" s="18"/>
      <c r="AJB224" s="18"/>
      <c r="AJC224" s="18"/>
      <c r="AJD224" s="18"/>
      <c r="AJE224" s="18"/>
      <c r="AJF224" s="18"/>
      <c r="AJG224" s="18"/>
      <c r="AJH224" s="18"/>
      <c r="AJI224" s="18"/>
      <c r="AJJ224" s="18"/>
      <c r="AJK224" s="18"/>
      <c r="AJL224" s="18"/>
      <c r="AJM224" s="18"/>
      <c r="AJN224" s="18"/>
      <c r="AJO224" s="18"/>
      <c r="AJP224" s="18"/>
      <c r="AJQ224" s="18"/>
      <c r="AJR224" s="18"/>
      <c r="AJS224" s="18"/>
      <c r="AJT224" s="18"/>
      <c r="AJU224" s="18"/>
      <c r="AJV224" s="18"/>
      <c r="AJW224" s="18"/>
      <c r="AJX224" s="18"/>
      <c r="AJY224" s="18"/>
      <c r="AJZ224" s="18"/>
      <c r="AKA224" s="18"/>
      <c r="AKB224" s="18"/>
      <c r="AKC224" s="18"/>
      <c r="AKD224" s="18"/>
      <c r="AKE224" s="18"/>
      <c r="AKF224" s="18"/>
      <c r="AKG224" s="18"/>
      <c r="AKH224" s="18"/>
      <c r="AKI224" s="18"/>
      <c r="AKJ224" s="18"/>
      <c r="AKK224" s="18"/>
      <c r="AKL224" s="18"/>
      <c r="AKM224" s="18"/>
      <c r="AKN224" s="18"/>
      <c r="AKO224" s="18"/>
      <c r="AKP224" s="18"/>
      <c r="AKQ224" s="18"/>
      <c r="AKR224" s="18"/>
      <c r="AKS224" s="18"/>
      <c r="AKT224" s="18"/>
      <c r="AKU224" s="18"/>
      <c r="AKV224" s="18"/>
      <c r="AKW224" s="18"/>
      <c r="AKX224" s="18"/>
      <c r="AKY224" s="18"/>
      <c r="AKZ224" s="18"/>
      <c r="ALA224" s="18"/>
      <c r="ALB224" s="18"/>
      <c r="ALC224" s="18"/>
      <c r="ALD224" s="18"/>
      <c r="ALE224" s="18"/>
      <c r="ALF224" s="18"/>
      <c r="ALG224" s="18"/>
      <c r="ALH224" s="18"/>
      <c r="ALI224" s="18"/>
      <c r="ALJ224" s="18"/>
      <c r="ALK224" s="18"/>
      <c r="ALL224" s="18"/>
      <c r="ALM224" s="18"/>
      <c r="ALN224" s="18"/>
      <c r="ALO224" s="18"/>
      <c r="ALP224" s="18"/>
      <c r="ALQ224" s="18"/>
      <c r="ALR224" s="18"/>
      <c r="ALS224" s="18"/>
      <c r="ALT224" s="18"/>
      <c r="ALU224" s="18"/>
      <c r="ALV224" s="18"/>
      <c r="ALW224" s="18"/>
      <c r="ALX224" s="18"/>
      <c r="ALY224" s="18"/>
      <c r="ALZ224" s="18"/>
      <c r="AMA224" s="18"/>
      <c r="AMB224" s="18"/>
      <c r="AMC224" s="18"/>
      <c r="AMD224" s="18"/>
      <c r="AME224" s="18"/>
      <c r="AMF224" s="18"/>
      <c r="AMG224" s="18"/>
      <c r="AMH224" s="18"/>
      <c r="AMI224" s="18"/>
      <c r="AMJ224" s="18"/>
      <c r="AMK224" s="18"/>
      <c r="AML224" s="18"/>
      <c r="AMM224" s="18"/>
      <c r="AMN224" s="18"/>
      <c r="AMO224" s="18"/>
      <c r="AMP224" s="18"/>
      <c r="AMQ224" s="18"/>
      <c r="AMR224" s="18"/>
      <c r="AMS224" s="18"/>
      <c r="AMT224" s="18"/>
      <c r="AMU224" s="18"/>
      <c r="AMV224" s="18"/>
      <c r="AMW224" s="18"/>
      <c r="AMX224" s="18"/>
      <c r="AMY224" s="18"/>
      <c r="AMZ224" s="18"/>
      <c r="ANA224" s="18"/>
      <c r="ANB224" s="18"/>
      <c r="ANC224" s="18"/>
      <c r="AND224" s="18"/>
      <c r="ANE224" s="18"/>
      <c r="ANF224" s="18"/>
      <c r="ANG224" s="18"/>
      <c r="ANH224" s="18"/>
      <c r="ANI224" s="18"/>
      <c r="ANJ224" s="18"/>
      <c r="ANK224" s="18"/>
      <c r="ANL224" s="18"/>
      <c r="ANM224" s="18"/>
      <c r="ANN224" s="18"/>
      <c r="ANO224" s="18"/>
      <c r="ANP224" s="18"/>
      <c r="ANQ224" s="18"/>
      <c r="ANR224" s="18"/>
      <c r="ANS224" s="18"/>
      <c r="ANT224" s="18"/>
      <c r="ANU224" s="18"/>
      <c r="ANV224" s="18"/>
      <c r="ANW224" s="18"/>
      <c r="ANX224" s="18"/>
      <c r="ANY224" s="18"/>
      <c r="ANZ224" s="18"/>
      <c r="AOA224" s="18"/>
      <c r="AOB224" s="18"/>
      <c r="AOC224" s="18"/>
      <c r="AOD224" s="18"/>
      <c r="AOE224" s="18"/>
      <c r="AOF224" s="18"/>
      <c r="AOG224" s="18"/>
      <c r="AOH224" s="18"/>
      <c r="AOI224" s="18"/>
      <c r="AOJ224" s="18"/>
      <c r="AOK224" s="18"/>
      <c r="AOL224" s="18"/>
      <c r="AOM224" s="18"/>
      <c r="AON224" s="18"/>
      <c r="AOO224" s="18"/>
      <c r="AOP224" s="18"/>
      <c r="AOQ224" s="18"/>
      <c r="AOR224" s="18"/>
      <c r="AOS224" s="18"/>
      <c r="AOT224" s="18"/>
      <c r="AOU224" s="18"/>
      <c r="AOV224" s="18"/>
      <c r="AOW224" s="18"/>
      <c r="AOX224" s="18"/>
      <c r="AOY224" s="18"/>
      <c r="AOZ224" s="18"/>
      <c r="APA224" s="18"/>
      <c r="APB224" s="18"/>
      <c r="APC224" s="18"/>
      <c r="APD224" s="18"/>
      <c r="APE224" s="18"/>
      <c r="APF224" s="18"/>
      <c r="APG224" s="18"/>
      <c r="APH224" s="18"/>
      <c r="API224" s="18"/>
      <c r="APJ224" s="18"/>
      <c r="APK224" s="18"/>
      <c r="APL224" s="18"/>
      <c r="APM224" s="18"/>
      <c r="APN224" s="18"/>
      <c r="APO224" s="18"/>
      <c r="APP224" s="18"/>
      <c r="APQ224" s="18"/>
      <c r="APR224" s="18"/>
      <c r="APS224" s="18"/>
      <c r="APT224" s="18"/>
      <c r="APU224" s="18"/>
      <c r="APV224" s="18"/>
      <c r="APW224" s="18"/>
      <c r="APX224" s="18"/>
      <c r="APY224" s="18"/>
      <c r="APZ224" s="18"/>
      <c r="AQA224" s="18"/>
      <c r="AQB224" s="18"/>
      <c r="AQC224" s="18"/>
      <c r="AQD224" s="18"/>
      <c r="AQE224" s="18"/>
      <c r="AQF224" s="18"/>
      <c r="AQG224" s="18"/>
      <c r="AQH224" s="18"/>
      <c r="AQI224" s="18"/>
      <c r="AQJ224" s="18"/>
      <c r="AQK224" s="18"/>
      <c r="AQL224" s="18"/>
      <c r="AQM224" s="18"/>
      <c r="AQN224" s="18"/>
      <c r="AQO224" s="18"/>
      <c r="AQP224" s="18"/>
      <c r="AQQ224" s="18"/>
      <c r="AQR224" s="18"/>
      <c r="AQS224" s="18"/>
      <c r="AQT224" s="18"/>
      <c r="AQU224" s="18"/>
      <c r="AQV224" s="18"/>
      <c r="AQW224" s="18"/>
      <c r="AQX224" s="18"/>
      <c r="AQY224" s="18"/>
      <c r="AQZ224" s="18"/>
      <c r="ARA224" s="18"/>
      <c r="ARB224" s="18"/>
      <c r="ARC224" s="18"/>
      <c r="ARD224" s="18"/>
      <c r="ARE224" s="18"/>
      <c r="ARF224" s="18"/>
      <c r="ARG224" s="18"/>
      <c r="ARH224" s="18"/>
      <c r="ARI224" s="18"/>
      <c r="ARJ224" s="18"/>
      <c r="ARK224" s="18"/>
      <c r="ARL224" s="18"/>
      <c r="ARM224" s="18"/>
      <c r="ARN224" s="18"/>
      <c r="ARO224" s="18"/>
      <c r="ARP224" s="18"/>
      <c r="ARQ224" s="18"/>
      <c r="ARR224" s="18"/>
      <c r="ARS224" s="18"/>
      <c r="ART224" s="18"/>
      <c r="ARU224" s="18"/>
      <c r="ARV224" s="18"/>
      <c r="ARW224" s="18"/>
      <c r="ARX224" s="18"/>
      <c r="ARY224" s="18"/>
      <c r="ARZ224" s="18"/>
      <c r="ASA224" s="18"/>
      <c r="ASB224" s="18"/>
      <c r="ASC224" s="18"/>
      <c r="ASD224" s="18"/>
      <c r="ASE224" s="18"/>
      <c r="ASF224" s="18"/>
      <c r="ASG224" s="18"/>
      <c r="ASH224" s="18"/>
      <c r="ASI224" s="18"/>
      <c r="ASJ224" s="18"/>
      <c r="ASK224" s="18"/>
      <c r="ASL224" s="18"/>
      <c r="ASM224" s="18"/>
      <c r="ASN224" s="18"/>
      <c r="ASO224" s="18"/>
      <c r="ASP224" s="18"/>
      <c r="ASQ224" s="18"/>
      <c r="ASR224" s="18"/>
      <c r="ASS224" s="18"/>
      <c r="AST224" s="18"/>
      <c r="ASU224" s="18"/>
      <c r="ASV224" s="18"/>
      <c r="ASW224" s="18"/>
      <c r="ASX224" s="18"/>
      <c r="ASY224" s="18"/>
      <c r="ASZ224" s="18"/>
      <c r="ATA224" s="18"/>
      <c r="ATB224" s="18"/>
      <c r="ATC224" s="18"/>
      <c r="ATD224" s="18"/>
      <c r="ATE224" s="18"/>
      <c r="ATF224" s="18"/>
      <c r="ATG224" s="18"/>
      <c r="ATH224" s="18"/>
      <c r="ATI224" s="18"/>
      <c r="ATJ224" s="18"/>
      <c r="ATK224" s="18"/>
      <c r="ATL224" s="18"/>
      <c r="ATM224" s="18"/>
      <c r="ATN224" s="18"/>
      <c r="ATO224" s="18"/>
      <c r="ATP224" s="18"/>
      <c r="ATQ224" s="18"/>
      <c r="ATR224" s="18"/>
      <c r="ATS224" s="18"/>
      <c r="ATT224" s="18"/>
      <c r="ATU224" s="18"/>
      <c r="ATV224" s="18"/>
      <c r="ATW224" s="18"/>
      <c r="ATX224" s="18"/>
      <c r="ATY224" s="18"/>
      <c r="ATZ224" s="18"/>
      <c r="AUA224" s="18"/>
      <c r="AUB224" s="18"/>
      <c r="AUC224" s="18"/>
      <c r="AUD224" s="18"/>
      <c r="AUE224" s="18"/>
      <c r="AUF224" s="18"/>
      <c r="AUG224" s="18"/>
      <c r="AUH224" s="18"/>
      <c r="AUI224" s="18"/>
      <c r="AUJ224" s="18"/>
      <c r="AUK224" s="18"/>
      <c r="AUL224" s="18"/>
      <c r="AUM224" s="18"/>
      <c r="AUN224" s="18"/>
      <c r="AUO224" s="18"/>
      <c r="AUP224" s="18"/>
      <c r="AUQ224" s="18"/>
      <c r="AUR224" s="18"/>
      <c r="AUS224" s="18"/>
      <c r="AUT224" s="18"/>
      <c r="AUU224" s="18"/>
      <c r="AUV224" s="18"/>
      <c r="AUW224" s="18"/>
      <c r="AUX224" s="18"/>
      <c r="AUY224" s="18"/>
      <c r="AUZ224" s="18"/>
      <c r="AVA224" s="18"/>
      <c r="AVB224" s="18"/>
      <c r="AVC224" s="18"/>
      <c r="AVD224" s="18"/>
      <c r="AVE224" s="18"/>
      <c r="AVF224" s="18"/>
      <c r="AVG224" s="18"/>
      <c r="AVH224" s="18"/>
      <c r="AVI224" s="18"/>
      <c r="AVJ224" s="18"/>
      <c r="AVK224" s="18"/>
      <c r="AVL224" s="18"/>
      <c r="AVM224" s="18"/>
      <c r="AVN224" s="18"/>
      <c r="AVO224" s="18"/>
      <c r="AVP224" s="18"/>
      <c r="AVQ224" s="18"/>
      <c r="AVR224" s="18"/>
      <c r="AVS224" s="18"/>
      <c r="AVT224" s="18"/>
      <c r="AVU224" s="18"/>
      <c r="AVV224" s="18"/>
      <c r="AVW224" s="18"/>
      <c r="AVX224" s="18"/>
      <c r="AVY224" s="18"/>
      <c r="AVZ224" s="18"/>
      <c r="AWA224" s="18"/>
      <c r="AWB224" s="18"/>
      <c r="AWC224" s="18"/>
      <c r="AWD224" s="18"/>
      <c r="AWE224" s="18"/>
      <c r="AWF224" s="18"/>
      <c r="AWG224" s="18"/>
      <c r="AWH224" s="18"/>
      <c r="AWI224" s="18"/>
      <c r="AWJ224" s="18"/>
      <c r="AWK224" s="18"/>
      <c r="AWL224" s="18"/>
      <c r="AWM224" s="18"/>
      <c r="AWN224" s="18"/>
      <c r="AWO224" s="18"/>
      <c r="AWP224" s="18"/>
      <c r="AWQ224" s="18"/>
      <c r="AWR224" s="18"/>
      <c r="AWS224" s="18"/>
      <c r="AWT224" s="18"/>
      <c r="AWU224" s="18"/>
      <c r="AWV224" s="18"/>
      <c r="AWW224" s="18"/>
      <c r="AWX224" s="18"/>
      <c r="AWY224" s="18"/>
      <c r="AWZ224" s="18"/>
      <c r="AXA224" s="18"/>
      <c r="AXB224" s="18"/>
      <c r="AXC224" s="18"/>
      <c r="AXD224" s="18"/>
      <c r="AXE224" s="18"/>
      <c r="AXF224" s="18"/>
      <c r="AXG224" s="18"/>
      <c r="AXH224" s="18"/>
      <c r="AXI224" s="18"/>
      <c r="AXJ224" s="18"/>
      <c r="AXK224" s="18"/>
      <c r="AXL224" s="18"/>
      <c r="AXM224" s="18"/>
      <c r="AXN224" s="18"/>
      <c r="AXO224" s="18"/>
      <c r="AXP224" s="18"/>
      <c r="AXQ224" s="18"/>
      <c r="AXR224" s="18"/>
      <c r="AXS224" s="18"/>
      <c r="AXT224" s="18"/>
      <c r="AXU224" s="18"/>
      <c r="AXV224" s="18"/>
      <c r="AXW224" s="18"/>
      <c r="AXX224" s="18"/>
      <c r="AXY224" s="18"/>
      <c r="AXZ224" s="18"/>
      <c r="AYA224" s="18"/>
      <c r="AYB224" s="18"/>
      <c r="AYC224" s="18"/>
      <c r="AYD224" s="18"/>
      <c r="AYE224" s="18"/>
      <c r="AYF224" s="18"/>
      <c r="AYG224" s="18"/>
      <c r="AYH224" s="18"/>
      <c r="AYI224" s="18"/>
      <c r="AYJ224" s="18"/>
      <c r="AYK224" s="18"/>
      <c r="AYL224" s="18"/>
      <c r="AYM224" s="18"/>
      <c r="AYN224" s="18"/>
      <c r="AYO224" s="18"/>
      <c r="AYP224" s="18"/>
      <c r="AYQ224" s="18"/>
      <c r="AYR224" s="18"/>
      <c r="AYS224" s="18"/>
      <c r="AYT224" s="18"/>
      <c r="AYU224" s="18"/>
      <c r="AYV224" s="18"/>
      <c r="AYW224" s="18"/>
      <c r="AYX224" s="18"/>
      <c r="AYY224" s="18"/>
      <c r="AYZ224" s="18"/>
      <c r="AZA224" s="18"/>
      <c r="AZB224" s="18"/>
      <c r="AZC224" s="18"/>
      <c r="AZD224" s="18"/>
      <c r="AZE224" s="18"/>
      <c r="AZF224" s="18"/>
      <c r="AZG224" s="18"/>
      <c r="AZH224" s="18"/>
      <c r="AZI224" s="18"/>
      <c r="AZJ224" s="18"/>
      <c r="AZK224" s="18"/>
      <c r="AZL224" s="18"/>
      <c r="AZM224" s="18"/>
      <c r="AZN224" s="18"/>
      <c r="AZO224" s="18"/>
      <c r="AZP224" s="18"/>
      <c r="AZQ224" s="18"/>
      <c r="AZR224" s="18"/>
      <c r="AZS224" s="18"/>
      <c r="AZT224" s="18"/>
      <c r="AZU224" s="18"/>
      <c r="AZV224" s="18"/>
      <c r="AZW224" s="18"/>
      <c r="AZX224" s="18"/>
      <c r="AZY224" s="18"/>
      <c r="AZZ224" s="18"/>
      <c r="BAA224" s="18"/>
      <c r="BAB224" s="18"/>
      <c r="BAC224" s="18"/>
      <c r="BAD224" s="18"/>
      <c r="BAE224" s="18"/>
      <c r="BAF224" s="18"/>
      <c r="BAG224" s="18"/>
      <c r="BAH224" s="18"/>
      <c r="BAI224" s="18"/>
      <c r="BAJ224" s="18"/>
      <c r="BAK224" s="18"/>
      <c r="BAL224" s="18"/>
      <c r="BAM224" s="18"/>
      <c r="BAN224" s="18"/>
      <c r="BAO224" s="18"/>
      <c r="BAP224" s="18"/>
      <c r="BAQ224" s="18"/>
      <c r="BAR224" s="18"/>
      <c r="BAS224" s="18"/>
      <c r="BAT224" s="18"/>
      <c r="BAU224" s="18"/>
      <c r="BAV224" s="18"/>
      <c r="BAW224" s="18"/>
      <c r="BAX224" s="18"/>
      <c r="BAY224" s="18"/>
      <c r="BAZ224" s="18"/>
      <c r="BBA224" s="18"/>
      <c r="BBB224" s="18"/>
      <c r="BBC224" s="18"/>
      <c r="BBD224" s="18"/>
      <c r="BBE224" s="18"/>
      <c r="BBF224" s="18"/>
      <c r="BBG224" s="18"/>
      <c r="BBH224" s="18"/>
      <c r="BBI224" s="18"/>
      <c r="BBJ224" s="18"/>
      <c r="BBK224" s="18"/>
      <c r="BBL224" s="18"/>
      <c r="BBM224" s="18"/>
      <c r="BBN224" s="18"/>
      <c r="BBO224" s="18"/>
      <c r="BBP224" s="18"/>
      <c r="BBQ224" s="18"/>
      <c r="BBR224" s="18"/>
      <c r="BBS224" s="18"/>
      <c r="BBT224" s="18"/>
      <c r="BBU224" s="18"/>
      <c r="BBV224" s="18"/>
      <c r="BBW224" s="18"/>
      <c r="BBX224" s="18"/>
      <c r="BBY224" s="18"/>
      <c r="BBZ224" s="18"/>
      <c r="BCA224" s="18"/>
      <c r="BCB224" s="18"/>
      <c r="BCC224" s="18"/>
      <c r="BCD224" s="18"/>
      <c r="BCE224" s="18"/>
      <c r="BCF224" s="18"/>
      <c r="BCG224" s="18"/>
      <c r="BCH224" s="18"/>
      <c r="BCI224" s="18"/>
      <c r="BCJ224" s="18"/>
      <c r="BCK224" s="18"/>
      <c r="BCL224" s="18"/>
      <c r="BCM224" s="18"/>
      <c r="BCN224" s="18"/>
      <c r="BCO224" s="18"/>
      <c r="BCP224" s="18"/>
      <c r="BCQ224" s="18"/>
      <c r="BCR224" s="18"/>
      <c r="BCS224" s="18"/>
      <c r="BCT224" s="18"/>
      <c r="BCU224" s="18"/>
      <c r="BCV224" s="18"/>
      <c r="BCW224" s="18"/>
      <c r="BCX224" s="18"/>
      <c r="BCY224" s="18"/>
      <c r="BCZ224" s="18"/>
      <c r="BDA224" s="18"/>
      <c r="BDB224" s="18"/>
      <c r="BDC224" s="18"/>
      <c r="BDD224" s="18"/>
      <c r="BDE224" s="18"/>
      <c r="BDF224" s="18"/>
      <c r="BDG224" s="18"/>
      <c r="BDH224" s="18"/>
      <c r="BDI224" s="18"/>
      <c r="BDJ224" s="18"/>
      <c r="BDK224" s="18"/>
      <c r="BDL224" s="18"/>
      <c r="BDM224" s="18"/>
      <c r="BDN224" s="18"/>
      <c r="BDO224" s="18"/>
      <c r="BDP224" s="18"/>
      <c r="BDQ224" s="18"/>
      <c r="BDR224" s="18"/>
      <c r="BDS224" s="18"/>
      <c r="BDT224" s="18"/>
      <c r="BDU224" s="18"/>
      <c r="BDV224" s="18"/>
      <c r="BDW224" s="18"/>
      <c r="BDX224" s="18"/>
      <c r="BDY224" s="18"/>
      <c r="BDZ224" s="18"/>
      <c r="BEA224" s="18"/>
      <c r="BEB224" s="18"/>
      <c r="BEC224" s="18"/>
      <c r="BED224" s="18"/>
      <c r="BEE224" s="18"/>
      <c r="BEF224" s="18"/>
      <c r="BEG224" s="18"/>
      <c r="BEH224" s="18"/>
      <c r="BEI224" s="18"/>
      <c r="BEJ224" s="18"/>
      <c r="BEK224" s="18"/>
      <c r="BEL224" s="18"/>
      <c r="BEM224" s="18"/>
      <c r="BEN224" s="18"/>
      <c r="BEO224" s="18"/>
      <c r="BEP224" s="18"/>
      <c r="BEQ224" s="18"/>
      <c r="BER224" s="18"/>
      <c r="BES224" s="18"/>
      <c r="BET224" s="18"/>
      <c r="BEU224" s="18"/>
      <c r="BEV224" s="18"/>
      <c r="BEW224" s="18"/>
      <c r="BEX224" s="18"/>
      <c r="BEY224" s="18"/>
      <c r="BEZ224" s="18"/>
      <c r="BFA224" s="18"/>
      <c r="BFB224" s="18"/>
      <c r="BFC224" s="18"/>
      <c r="BFD224" s="18"/>
      <c r="BFE224" s="18"/>
      <c r="BFF224" s="18"/>
      <c r="BFG224" s="18"/>
      <c r="BFH224" s="18"/>
      <c r="BFI224" s="18"/>
      <c r="BFJ224" s="18"/>
      <c r="BFK224" s="18"/>
      <c r="BFL224" s="18"/>
      <c r="BFM224" s="18"/>
      <c r="BFN224" s="18"/>
      <c r="BFO224" s="18"/>
      <c r="BFP224" s="18"/>
      <c r="BFQ224" s="18"/>
      <c r="BFR224" s="18"/>
      <c r="BFS224" s="18"/>
      <c r="BFT224" s="18"/>
      <c r="BFU224" s="18"/>
      <c r="BFV224" s="18"/>
      <c r="BFW224" s="18"/>
      <c r="BFX224" s="18"/>
      <c r="BFY224" s="18"/>
      <c r="BFZ224" s="18"/>
      <c r="BGA224" s="18"/>
      <c r="BGB224" s="18"/>
      <c r="BGC224" s="18"/>
      <c r="BGD224" s="18"/>
      <c r="BGE224" s="18"/>
      <c r="BGF224" s="18"/>
      <c r="BGG224" s="18"/>
      <c r="BGH224" s="18"/>
      <c r="BGI224" s="18"/>
      <c r="BGJ224" s="18"/>
      <c r="BGK224" s="18"/>
      <c r="BGL224" s="18"/>
      <c r="BGM224" s="18"/>
      <c r="BGN224" s="18"/>
      <c r="BGO224" s="18"/>
      <c r="BGP224" s="18"/>
      <c r="BGQ224" s="18"/>
      <c r="BGR224" s="18"/>
      <c r="BGS224" s="18"/>
      <c r="BGT224" s="18"/>
      <c r="BGU224" s="18"/>
      <c r="BGV224" s="18"/>
      <c r="BGW224" s="18"/>
      <c r="BGX224" s="18"/>
      <c r="BGY224" s="18"/>
      <c r="BGZ224" s="18"/>
      <c r="BHA224" s="18"/>
      <c r="BHB224" s="18"/>
      <c r="BHC224" s="18"/>
      <c r="BHD224" s="18"/>
      <c r="BHE224" s="18"/>
      <c r="BHF224" s="18"/>
      <c r="BHG224" s="18"/>
      <c r="BHH224" s="18"/>
      <c r="BHI224" s="18"/>
      <c r="BHJ224" s="18"/>
      <c r="BHK224" s="18"/>
      <c r="BHL224" s="18"/>
      <c r="BHM224" s="18"/>
      <c r="BHN224" s="18"/>
      <c r="BHO224" s="18"/>
      <c r="BHP224" s="18"/>
      <c r="BHQ224" s="18"/>
      <c r="BHR224" s="18"/>
      <c r="BHS224" s="18"/>
      <c r="BHT224" s="18"/>
      <c r="BHU224" s="18"/>
      <c r="BHV224" s="18"/>
      <c r="BHW224" s="18"/>
      <c r="BHX224" s="18"/>
      <c r="BHY224" s="18"/>
      <c r="BHZ224" s="18"/>
      <c r="BIA224" s="18"/>
      <c r="BIB224" s="18"/>
      <c r="BIC224" s="18"/>
      <c r="BID224" s="18"/>
      <c r="BIE224" s="18"/>
      <c r="BIF224" s="18"/>
      <c r="BIG224" s="18"/>
      <c r="BIH224" s="18"/>
      <c r="BII224" s="18"/>
      <c r="BIJ224" s="18"/>
      <c r="BIK224" s="18"/>
      <c r="BIL224" s="18"/>
      <c r="BIM224" s="18"/>
      <c r="BIN224" s="18"/>
      <c r="BIO224" s="18"/>
      <c r="BIP224" s="18"/>
      <c r="BIQ224" s="18"/>
      <c r="BIR224" s="18"/>
      <c r="BIS224" s="18"/>
      <c r="BIT224" s="18"/>
      <c r="BIU224" s="18"/>
      <c r="BIV224" s="18"/>
      <c r="BIW224" s="18"/>
      <c r="BIX224" s="18"/>
      <c r="BIY224" s="18"/>
      <c r="BIZ224" s="18"/>
      <c r="BJA224" s="18"/>
      <c r="BJB224" s="18"/>
      <c r="BJC224" s="18"/>
      <c r="BJD224" s="18"/>
      <c r="BJE224" s="18"/>
      <c r="BJF224" s="18"/>
      <c r="BJG224" s="18"/>
      <c r="BJH224" s="18"/>
      <c r="BJI224" s="18"/>
      <c r="BJJ224" s="18"/>
      <c r="BJK224" s="18"/>
      <c r="BJL224" s="18"/>
      <c r="BJM224" s="18"/>
      <c r="BJN224" s="18"/>
      <c r="BJO224" s="18"/>
      <c r="BJP224" s="18"/>
      <c r="BJQ224" s="18"/>
      <c r="BJR224" s="18"/>
      <c r="BJS224" s="18"/>
      <c r="BJT224" s="18"/>
      <c r="BJU224" s="18"/>
      <c r="BJV224" s="18"/>
      <c r="BJW224" s="18"/>
      <c r="BJX224" s="18"/>
      <c r="BJY224" s="18"/>
      <c r="BJZ224" s="18"/>
      <c r="BKA224" s="18"/>
      <c r="BKB224" s="18"/>
      <c r="BKC224" s="18"/>
      <c r="BKD224" s="18"/>
      <c r="BKE224" s="18"/>
      <c r="BKF224" s="18"/>
      <c r="BKG224" s="18"/>
      <c r="BKH224" s="18"/>
      <c r="BKI224" s="18"/>
      <c r="BKJ224" s="18"/>
      <c r="BKK224" s="18"/>
      <c r="BKL224" s="18"/>
      <c r="BKM224" s="18"/>
      <c r="BKN224" s="18"/>
      <c r="BKO224" s="18"/>
      <c r="BKP224" s="18"/>
      <c r="BKQ224" s="18"/>
      <c r="BKR224" s="18"/>
      <c r="BKS224" s="18"/>
      <c r="BKT224" s="18"/>
      <c r="BKU224" s="18"/>
      <c r="BKV224" s="18"/>
      <c r="BKW224" s="18"/>
      <c r="BKX224" s="18"/>
      <c r="BKY224" s="18"/>
      <c r="BKZ224" s="18"/>
      <c r="BLA224" s="18"/>
      <c r="BLB224" s="18"/>
      <c r="BLC224" s="18"/>
      <c r="BLD224" s="18"/>
      <c r="BLE224" s="18"/>
      <c r="BLF224" s="18"/>
      <c r="BLG224" s="18"/>
      <c r="BLH224" s="18"/>
      <c r="BLI224" s="18"/>
      <c r="BLJ224" s="18"/>
      <c r="BLK224" s="18"/>
      <c r="BLL224" s="18"/>
      <c r="BLM224" s="18"/>
      <c r="BLN224" s="18"/>
      <c r="BLO224" s="18"/>
      <c r="BLP224" s="18"/>
      <c r="BLQ224" s="18"/>
      <c r="BLR224" s="18"/>
      <c r="BLS224" s="18"/>
      <c r="BLT224" s="18"/>
      <c r="BLU224" s="18"/>
      <c r="BLV224" s="18"/>
      <c r="BLW224" s="18"/>
      <c r="BLX224" s="18"/>
      <c r="BLY224" s="18"/>
      <c r="BLZ224" s="18"/>
      <c r="BMA224" s="18"/>
      <c r="BMB224" s="18"/>
      <c r="BMC224" s="18"/>
      <c r="BMD224" s="18"/>
      <c r="BME224" s="18"/>
      <c r="BMF224" s="18"/>
      <c r="BMG224" s="18"/>
      <c r="BMH224" s="18"/>
      <c r="BMI224" s="18"/>
      <c r="BMJ224" s="18"/>
      <c r="BMK224" s="18"/>
      <c r="BML224" s="18"/>
      <c r="BMM224" s="18"/>
      <c r="BMN224" s="18"/>
      <c r="BMO224" s="18"/>
      <c r="BMP224" s="18"/>
      <c r="BMQ224" s="18"/>
      <c r="BMR224" s="18"/>
      <c r="BMS224" s="18"/>
      <c r="BMT224" s="18"/>
      <c r="BMU224" s="18"/>
      <c r="BMV224" s="18"/>
      <c r="BMW224" s="18"/>
      <c r="BMX224" s="18"/>
      <c r="BMY224" s="18"/>
      <c r="BMZ224" s="18"/>
      <c r="BNA224" s="18"/>
      <c r="BNB224" s="18"/>
      <c r="BNC224" s="18"/>
      <c r="BND224" s="18"/>
      <c r="BNE224" s="18"/>
      <c r="BNF224" s="18"/>
      <c r="BNG224" s="18"/>
      <c r="BNH224" s="18"/>
      <c r="BNI224" s="18"/>
      <c r="BNJ224" s="18"/>
      <c r="BNK224" s="18"/>
      <c r="BNL224" s="18"/>
      <c r="BNM224" s="18"/>
      <c r="BNN224" s="18"/>
      <c r="BNO224" s="18"/>
      <c r="BNP224" s="18"/>
      <c r="BNQ224" s="18"/>
      <c r="BNR224" s="18"/>
      <c r="BNS224" s="18"/>
      <c r="BNT224" s="18"/>
      <c r="BNU224" s="18"/>
      <c r="BNV224" s="18"/>
      <c r="BNW224" s="18"/>
      <c r="BNX224" s="18"/>
      <c r="BNY224" s="18"/>
      <c r="BNZ224" s="18"/>
      <c r="BOA224" s="18"/>
      <c r="BOB224" s="18"/>
      <c r="BOC224" s="18"/>
      <c r="BOD224" s="18"/>
      <c r="BOE224" s="18"/>
      <c r="BOF224" s="18"/>
      <c r="BOG224" s="18"/>
      <c r="BOH224" s="18"/>
      <c r="BOI224" s="18"/>
      <c r="BOJ224" s="18"/>
      <c r="BOK224" s="18"/>
      <c r="BOL224" s="18"/>
      <c r="BOM224" s="18"/>
      <c r="BON224" s="18"/>
      <c r="BOO224" s="18"/>
      <c r="BOP224" s="18"/>
      <c r="BOQ224" s="18"/>
      <c r="BOR224" s="18"/>
      <c r="BOS224" s="18"/>
      <c r="BOT224" s="18"/>
      <c r="BOU224" s="18"/>
      <c r="BOV224" s="18"/>
      <c r="BOW224" s="18"/>
      <c r="BOX224" s="18"/>
      <c r="BOY224" s="18"/>
      <c r="BOZ224" s="18"/>
      <c r="BPA224" s="18"/>
      <c r="BPB224" s="18"/>
      <c r="BPC224" s="18"/>
      <c r="BPD224" s="18"/>
      <c r="BPE224" s="18"/>
      <c r="BPF224" s="18"/>
      <c r="BPG224" s="18"/>
      <c r="BPH224" s="18"/>
      <c r="BPI224" s="18"/>
      <c r="BPJ224" s="18"/>
      <c r="BPK224" s="18"/>
      <c r="BPL224" s="18"/>
      <c r="BPM224" s="18"/>
      <c r="BPN224" s="18"/>
      <c r="BPO224" s="18"/>
      <c r="BPP224" s="18"/>
      <c r="BPQ224" s="18"/>
      <c r="BPR224" s="18"/>
      <c r="BPS224" s="18"/>
      <c r="BPT224" s="18"/>
      <c r="BPU224" s="18"/>
      <c r="BPV224" s="18"/>
      <c r="BPW224" s="18"/>
      <c r="BPX224" s="18"/>
      <c r="BPY224" s="18"/>
      <c r="BPZ224" s="18"/>
      <c r="BQA224" s="18"/>
      <c r="BQB224" s="18"/>
      <c r="BQC224" s="18"/>
      <c r="BQD224" s="18"/>
      <c r="BQE224" s="18"/>
      <c r="BQF224" s="18"/>
      <c r="BQG224" s="18"/>
      <c r="BQH224" s="18"/>
      <c r="BQI224" s="18"/>
      <c r="BQJ224" s="18"/>
      <c r="BQK224" s="18"/>
      <c r="BQL224" s="18"/>
      <c r="BQM224" s="18"/>
      <c r="BQN224" s="18"/>
      <c r="BQO224" s="18"/>
      <c r="BQP224" s="18"/>
      <c r="BQQ224" s="18"/>
      <c r="BQR224" s="18"/>
      <c r="BQS224" s="18"/>
      <c r="BQT224" s="18"/>
      <c r="BQU224" s="18"/>
      <c r="BQV224" s="18"/>
      <c r="BQW224" s="18"/>
      <c r="BQX224" s="18"/>
      <c r="BQY224" s="18"/>
      <c r="BQZ224" s="18"/>
      <c r="BRA224" s="18"/>
      <c r="BRB224" s="18"/>
      <c r="BRC224" s="18"/>
      <c r="BRD224" s="18"/>
      <c r="BRE224" s="18"/>
      <c r="BRF224" s="18"/>
      <c r="BRG224" s="18"/>
      <c r="BRH224" s="18"/>
      <c r="BRI224" s="18"/>
      <c r="BRJ224" s="18"/>
      <c r="BRK224" s="18"/>
      <c r="BRL224" s="18"/>
      <c r="BRM224" s="18"/>
      <c r="BRN224" s="18"/>
      <c r="BRO224" s="18"/>
      <c r="BRP224" s="18"/>
      <c r="BRQ224" s="18"/>
      <c r="BRR224" s="18"/>
      <c r="BRS224" s="18"/>
      <c r="BRT224" s="18"/>
      <c r="BRU224" s="18"/>
      <c r="BRV224" s="18"/>
      <c r="BRW224" s="18"/>
      <c r="BRX224" s="18"/>
      <c r="BRY224" s="18"/>
      <c r="BRZ224" s="18"/>
      <c r="BSA224" s="18"/>
      <c r="BSB224" s="18"/>
      <c r="BSC224" s="18"/>
      <c r="BSD224" s="18"/>
      <c r="BSE224" s="18"/>
      <c r="BSF224" s="18"/>
      <c r="BSG224" s="18"/>
      <c r="BSH224" s="18"/>
      <c r="BSI224" s="18"/>
      <c r="BSJ224" s="18"/>
      <c r="BSK224" s="18"/>
      <c r="BSL224" s="18"/>
      <c r="BSM224" s="18"/>
      <c r="BSN224" s="18"/>
      <c r="BSO224" s="18"/>
      <c r="BSP224" s="18"/>
      <c r="BSQ224" s="18"/>
      <c r="BSR224" s="18"/>
      <c r="BSS224" s="18"/>
      <c r="BST224" s="18"/>
      <c r="BSU224" s="18"/>
      <c r="BSV224" s="18"/>
      <c r="BSW224" s="18"/>
      <c r="BSX224" s="18"/>
      <c r="BSY224" s="18"/>
      <c r="BSZ224" s="18"/>
      <c r="BTA224" s="18"/>
      <c r="BTB224" s="18"/>
      <c r="BTC224" s="18"/>
      <c r="BTD224" s="18"/>
      <c r="BTE224" s="18"/>
      <c r="BTF224" s="18"/>
      <c r="BTG224" s="18"/>
      <c r="BTH224" s="18"/>
      <c r="BTI224" s="18"/>
    </row>
    <row r="225" spans="1:1881" s="428" customFormat="1" ht="30.75" customHeight="1" x14ac:dyDescent="0.3">
      <c r="A225" s="100"/>
      <c r="B225" s="750" t="s">
        <v>286</v>
      </c>
      <c r="C225" s="722"/>
      <c r="D225" s="89"/>
      <c r="E225" s="427"/>
      <c r="F225" s="430"/>
      <c r="G225" s="402"/>
      <c r="H225" s="17"/>
      <c r="I225" s="72"/>
      <c r="J225" s="72"/>
      <c r="K225"/>
      <c r="L225" s="550"/>
      <c r="M225"/>
      <c r="N225" s="18"/>
      <c r="O225" s="187"/>
      <c r="P225" s="18"/>
      <c r="Q225" s="18"/>
      <c r="R225" s="18"/>
      <c r="S225" s="18"/>
      <c r="T225" s="18"/>
      <c r="U225" s="18"/>
      <c r="V225" s="18"/>
      <c r="W225" s="18"/>
      <c r="X225" s="18"/>
      <c r="Y225" s="18"/>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c r="GQ225" s="18"/>
      <c r="GR225" s="18"/>
      <c r="GS225" s="18"/>
      <c r="GT225" s="18"/>
      <c r="GU225" s="18"/>
      <c r="GV225" s="18"/>
      <c r="GW225" s="18"/>
      <c r="GX225" s="18"/>
      <c r="GY225" s="18"/>
      <c r="GZ225" s="18"/>
      <c r="HA225" s="18"/>
      <c r="HB225" s="18"/>
      <c r="HC225" s="18"/>
      <c r="HD225" s="18"/>
      <c r="HE225" s="18"/>
      <c r="HF225" s="18"/>
      <c r="HG225" s="18"/>
      <c r="HH225" s="18"/>
      <c r="HI225" s="18"/>
      <c r="HJ225" s="18"/>
      <c r="HK225" s="18"/>
      <c r="HL225" s="18"/>
      <c r="HM225" s="18"/>
      <c r="HN225" s="18"/>
      <c r="HO225" s="18"/>
      <c r="HP225" s="18"/>
      <c r="HQ225" s="18"/>
      <c r="HR225" s="18"/>
      <c r="HS225" s="18"/>
      <c r="HT225" s="18"/>
      <c r="HU225" s="18"/>
      <c r="HV225" s="18"/>
      <c r="HW225" s="18"/>
      <c r="HX225" s="18"/>
      <c r="HY225" s="18"/>
      <c r="HZ225" s="18"/>
      <c r="IA225" s="18"/>
      <c r="IB225" s="18"/>
      <c r="IC225" s="18"/>
      <c r="ID225" s="18"/>
      <c r="IE225" s="18"/>
      <c r="IF225" s="18"/>
      <c r="IG225" s="18"/>
      <c r="IH225" s="18"/>
      <c r="II225" s="18"/>
      <c r="IJ225" s="18"/>
      <c r="IK225" s="18"/>
      <c r="IL225" s="18"/>
      <c r="IM225" s="18"/>
      <c r="IN225" s="18"/>
      <c r="IO225" s="18"/>
      <c r="IP225" s="18"/>
      <c r="IQ225" s="18"/>
      <c r="IR225" s="18"/>
      <c r="IS225" s="18"/>
      <c r="IT225" s="18"/>
      <c r="IU225" s="18"/>
      <c r="IV225" s="18"/>
      <c r="IW225" s="18"/>
      <c r="IX225" s="18"/>
      <c r="IY225" s="18"/>
      <c r="IZ225" s="18"/>
      <c r="JA225" s="18"/>
      <c r="JB225" s="18"/>
      <c r="JC225" s="18"/>
      <c r="JD225" s="18"/>
      <c r="JE225" s="18"/>
      <c r="JF225" s="18"/>
      <c r="JG225" s="18"/>
      <c r="JH225" s="18"/>
      <c r="JI225" s="18"/>
      <c r="JJ225" s="18"/>
      <c r="JK225" s="18"/>
      <c r="JL225" s="18"/>
      <c r="JM225" s="18"/>
      <c r="JN225" s="18"/>
      <c r="JO225" s="18"/>
      <c r="JP225" s="18"/>
      <c r="JQ225" s="18"/>
      <c r="JR225" s="18"/>
      <c r="JS225" s="18"/>
      <c r="JT225" s="18"/>
      <c r="JU225" s="18"/>
      <c r="JV225" s="18"/>
      <c r="JW225" s="18"/>
      <c r="JX225" s="18"/>
      <c r="JY225" s="18"/>
      <c r="JZ225" s="18"/>
      <c r="KA225" s="18"/>
      <c r="KB225" s="18"/>
      <c r="KC225" s="18"/>
      <c r="KD225" s="18"/>
      <c r="KE225" s="18"/>
      <c r="KF225" s="18"/>
      <c r="KG225" s="18"/>
      <c r="KH225" s="18"/>
      <c r="KI225" s="18"/>
      <c r="KJ225" s="18"/>
      <c r="KK225" s="18"/>
      <c r="KL225" s="18"/>
      <c r="KM225" s="18"/>
      <c r="KN225" s="18"/>
      <c r="KO225" s="18"/>
      <c r="KP225" s="18"/>
      <c r="KQ225" s="18"/>
      <c r="KR225" s="18"/>
      <c r="KS225" s="18"/>
      <c r="KT225" s="18"/>
      <c r="KU225" s="18"/>
      <c r="KV225" s="18"/>
      <c r="KW225" s="18"/>
      <c r="KX225" s="18"/>
      <c r="KY225" s="18"/>
      <c r="KZ225" s="18"/>
      <c r="LA225" s="18"/>
      <c r="LB225" s="18"/>
      <c r="LC225" s="18"/>
      <c r="LD225" s="18"/>
      <c r="LE225" s="18"/>
      <c r="LF225" s="18"/>
      <c r="LG225" s="18"/>
      <c r="LH225" s="18"/>
      <c r="LI225" s="18"/>
      <c r="LJ225" s="18"/>
      <c r="LK225" s="18"/>
      <c r="LL225" s="18"/>
      <c r="LM225" s="18"/>
      <c r="LN225" s="18"/>
      <c r="LO225" s="18"/>
      <c r="LP225" s="18"/>
      <c r="LQ225" s="18"/>
      <c r="LR225" s="18"/>
      <c r="LS225" s="18"/>
      <c r="LT225" s="18"/>
      <c r="LU225" s="18"/>
      <c r="LV225" s="18"/>
      <c r="LW225" s="18"/>
      <c r="LX225" s="18"/>
      <c r="LY225" s="18"/>
      <c r="LZ225" s="18"/>
      <c r="MA225" s="18"/>
      <c r="MB225" s="18"/>
      <c r="MC225" s="18"/>
      <c r="MD225" s="18"/>
      <c r="ME225" s="18"/>
      <c r="MF225" s="18"/>
      <c r="MG225" s="18"/>
      <c r="MH225" s="18"/>
      <c r="MI225" s="18"/>
      <c r="MJ225" s="18"/>
      <c r="MK225" s="18"/>
      <c r="ML225" s="18"/>
      <c r="MM225" s="18"/>
      <c r="MN225" s="18"/>
      <c r="MO225" s="18"/>
      <c r="MP225" s="18"/>
      <c r="MQ225" s="18"/>
      <c r="MR225" s="18"/>
      <c r="MS225" s="18"/>
      <c r="MT225" s="18"/>
      <c r="MU225" s="18"/>
      <c r="MV225" s="18"/>
      <c r="MW225" s="18"/>
      <c r="MX225" s="18"/>
      <c r="MY225" s="18"/>
      <c r="MZ225" s="18"/>
      <c r="NA225" s="18"/>
      <c r="NB225" s="18"/>
      <c r="NC225" s="18"/>
      <c r="ND225" s="18"/>
      <c r="NE225" s="18"/>
      <c r="NF225" s="18"/>
      <c r="NG225" s="18"/>
      <c r="NH225" s="18"/>
      <c r="NI225" s="18"/>
      <c r="NJ225" s="18"/>
      <c r="NK225" s="18"/>
      <c r="NL225" s="18"/>
      <c r="NM225" s="18"/>
      <c r="NN225" s="18"/>
      <c r="NO225" s="18"/>
      <c r="NP225" s="18"/>
      <c r="NQ225" s="18"/>
      <c r="NR225" s="18"/>
      <c r="NS225" s="18"/>
      <c r="NT225" s="18"/>
      <c r="NU225" s="18"/>
      <c r="NV225" s="18"/>
      <c r="NW225" s="18"/>
      <c r="NX225" s="18"/>
      <c r="NY225" s="18"/>
      <c r="NZ225" s="18"/>
      <c r="OA225" s="18"/>
      <c r="OB225" s="18"/>
      <c r="OC225" s="18"/>
      <c r="OD225" s="18"/>
      <c r="OE225" s="18"/>
      <c r="OF225" s="18"/>
      <c r="OG225" s="18"/>
      <c r="OH225" s="18"/>
      <c r="OI225" s="18"/>
      <c r="OJ225" s="18"/>
      <c r="OK225" s="18"/>
      <c r="OL225" s="18"/>
      <c r="OM225" s="18"/>
      <c r="ON225" s="18"/>
      <c r="OO225" s="18"/>
      <c r="OP225" s="18"/>
      <c r="OQ225" s="18"/>
      <c r="OR225" s="18"/>
      <c r="OS225" s="18"/>
      <c r="OT225" s="18"/>
      <c r="OU225" s="18"/>
      <c r="OV225" s="18"/>
      <c r="OW225" s="18"/>
      <c r="OX225" s="18"/>
      <c r="OY225" s="18"/>
      <c r="OZ225" s="18"/>
      <c r="PA225" s="18"/>
      <c r="PB225" s="18"/>
      <c r="PC225" s="18"/>
      <c r="PD225" s="18"/>
      <c r="PE225" s="18"/>
      <c r="PF225" s="18"/>
      <c r="PG225" s="18"/>
      <c r="PH225" s="18"/>
      <c r="PI225" s="18"/>
      <c r="PJ225" s="18"/>
      <c r="PK225" s="18"/>
      <c r="PL225" s="18"/>
      <c r="PM225" s="18"/>
      <c r="PN225" s="18"/>
      <c r="PO225" s="18"/>
      <c r="PP225" s="18"/>
      <c r="PQ225" s="18"/>
      <c r="PR225" s="18"/>
      <c r="PS225" s="18"/>
      <c r="PT225" s="18"/>
      <c r="PU225" s="18"/>
      <c r="PV225" s="18"/>
      <c r="PW225" s="18"/>
      <c r="PX225" s="18"/>
      <c r="PY225" s="18"/>
      <c r="PZ225" s="18"/>
      <c r="QA225" s="18"/>
      <c r="QB225" s="18"/>
      <c r="QC225" s="18"/>
      <c r="QD225" s="18"/>
      <c r="QE225" s="18"/>
      <c r="QF225" s="18"/>
      <c r="QG225" s="18"/>
      <c r="QH225" s="18"/>
      <c r="QI225" s="18"/>
      <c r="QJ225" s="18"/>
      <c r="QK225" s="18"/>
      <c r="QL225" s="18"/>
      <c r="QM225" s="18"/>
      <c r="QN225" s="18"/>
      <c r="QO225" s="18"/>
      <c r="QP225" s="18"/>
      <c r="QQ225" s="18"/>
      <c r="QR225" s="18"/>
      <c r="QS225" s="18"/>
      <c r="QT225" s="18"/>
      <c r="QU225" s="18"/>
      <c r="QV225" s="18"/>
      <c r="QW225" s="18"/>
      <c r="QX225" s="18"/>
      <c r="QY225" s="18"/>
      <c r="QZ225" s="18"/>
      <c r="RA225" s="18"/>
      <c r="RB225" s="18"/>
      <c r="RC225" s="18"/>
      <c r="RD225" s="18"/>
      <c r="RE225" s="18"/>
      <c r="RF225" s="18"/>
      <c r="RG225" s="18"/>
      <c r="RH225" s="18"/>
      <c r="RI225" s="18"/>
      <c r="RJ225" s="18"/>
      <c r="RK225" s="18"/>
      <c r="RL225" s="18"/>
      <c r="RM225" s="18"/>
      <c r="RN225" s="18"/>
      <c r="RO225" s="18"/>
      <c r="RP225" s="18"/>
      <c r="RQ225" s="18"/>
      <c r="RR225" s="18"/>
      <c r="RS225" s="18"/>
      <c r="RT225" s="18"/>
      <c r="RU225" s="18"/>
      <c r="RV225" s="18"/>
      <c r="RW225" s="18"/>
      <c r="RX225" s="18"/>
      <c r="RY225" s="18"/>
      <c r="RZ225" s="18"/>
      <c r="SA225" s="18"/>
      <c r="SB225" s="18"/>
      <c r="SC225" s="18"/>
      <c r="SD225" s="18"/>
      <c r="SE225" s="18"/>
      <c r="SF225" s="18"/>
      <c r="SG225" s="18"/>
      <c r="SH225" s="18"/>
      <c r="SI225" s="18"/>
      <c r="SJ225" s="18"/>
      <c r="SK225" s="18"/>
      <c r="SL225" s="18"/>
      <c r="SM225" s="18"/>
      <c r="SN225" s="18"/>
      <c r="SO225" s="18"/>
      <c r="SP225" s="18"/>
      <c r="SQ225" s="18"/>
      <c r="SR225" s="18"/>
      <c r="SS225" s="18"/>
      <c r="ST225" s="18"/>
      <c r="SU225" s="18"/>
      <c r="SV225" s="18"/>
      <c r="SW225" s="18"/>
      <c r="SX225" s="18"/>
      <c r="SY225" s="18"/>
      <c r="SZ225" s="18"/>
      <c r="TA225" s="18"/>
      <c r="TB225" s="18"/>
      <c r="TC225" s="18"/>
      <c r="TD225" s="18"/>
      <c r="TE225" s="18"/>
      <c r="TF225" s="18"/>
      <c r="TG225" s="18"/>
      <c r="TH225" s="18"/>
      <c r="TI225" s="18"/>
      <c r="TJ225" s="18"/>
      <c r="TK225" s="18"/>
      <c r="TL225" s="18"/>
      <c r="TM225" s="18"/>
      <c r="TN225" s="18"/>
      <c r="TO225" s="18"/>
      <c r="TP225" s="18"/>
      <c r="TQ225" s="18"/>
      <c r="TR225" s="18"/>
      <c r="TS225" s="18"/>
      <c r="TT225" s="18"/>
      <c r="TU225" s="18"/>
      <c r="TV225" s="18"/>
      <c r="TW225" s="18"/>
      <c r="TX225" s="18"/>
      <c r="TY225" s="18"/>
      <c r="TZ225" s="18"/>
      <c r="UA225" s="18"/>
      <c r="UB225" s="18"/>
      <c r="UC225" s="18"/>
      <c r="UD225" s="18"/>
      <c r="UE225" s="18"/>
      <c r="UF225" s="18"/>
      <c r="UG225" s="18"/>
      <c r="UH225" s="18"/>
      <c r="UI225" s="18"/>
      <c r="UJ225" s="18"/>
      <c r="UK225" s="18"/>
      <c r="UL225" s="18"/>
      <c r="UM225" s="18"/>
      <c r="UN225" s="18"/>
      <c r="UO225" s="18"/>
      <c r="UP225" s="18"/>
      <c r="UQ225" s="18"/>
      <c r="UR225" s="18"/>
      <c r="US225" s="18"/>
      <c r="UT225" s="18"/>
      <c r="UU225" s="18"/>
      <c r="UV225" s="18"/>
      <c r="UW225" s="18"/>
      <c r="UX225" s="18"/>
      <c r="UY225" s="18"/>
      <c r="UZ225" s="18"/>
      <c r="VA225" s="18"/>
      <c r="VB225" s="18"/>
      <c r="VC225" s="18"/>
      <c r="VD225" s="18"/>
      <c r="VE225" s="18"/>
      <c r="VF225" s="18"/>
      <c r="VG225" s="18"/>
      <c r="VH225" s="18"/>
      <c r="VI225" s="18"/>
      <c r="VJ225" s="18"/>
      <c r="VK225" s="18"/>
      <c r="VL225" s="18"/>
      <c r="VM225" s="18"/>
      <c r="VN225" s="18"/>
      <c r="VO225" s="18"/>
      <c r="VP225" s="18"/>
      <c r="VQ225" s="18"/>
      <c r="VR225" s="18"/>
      <c r="VS225" s="18"/>
      <c r="VT225" s="18"/>
      <c r="VU225" s="18"/>
      <c r="VV225" s="18"/>
      <c r="VW225" s="18"/>
      <c r="VX225" s="18"/>
      <c r="VY225" s="18"/>
      <c r="VZ225" s="18"/>
      <c r="WA225" s="18"/>
      <c r="WB225" s="18"/>
      <c r="WC225" s="18"/>
      <c r="WD225" s="18"/>
      <c r="WE225" s="18"/>
      <c r="WF225" s="18"/>
      <c r="WG225" s="18"/>
      <c r="WH225" s="18"/>
      <c r="WI225" s="18"/>
      <c r="WJ225" s="18"/>
      <c r="WK225" s="18"/>
      <c r="WL225" s="18"/>
      <c r="WM225" s="18"/>
      <c r="WN225" s="18"/>
      <c r="WO225" s="18"/>
      <c r="WP225" s="18"/>
      <c r="WQ225" s="18"/>
      <c r="WR225" s="18"/>
      <c r="WS225" s="18"/>
      <c r="WT225" s="18"/>
      <c r="WU225" s="18"/>
      <c r="WV225" s="18"/>
      <c r="WW225" s="18"/>
      <c r="WX225" s="18"/>
      <c r="WY225" s="18"/>
      <c r="WZ225" s="18"/>
      <c r="XA225" s="18"/>
      <c r="XB225" s="18"/>
      <c r="XC225" s="18"/>
      <c r="XD225" s="18"/>
      <c r="XE225" s="18"/>
      <c r="XF225" s="18"/>
      <c r="XG225" s="18"/>
      <c r="XH225" s="18"/>
      <c r="XI225" s="18"/>
      <c r="XJ225" s="18"/>
      <c r="XK225" s="18"/>
      <c r="XL225" s="18"/>
      <c r="XM225" s="18"/>
      <c r="XN225" s="18"/>
      <c r="XO225" s="18"/>
      <c r="XP225" s="18"/>
      <c r="XQ225" s="18"/>
      <c r="XR225" s="18"/>
      <c r="XS225" s="18"/>
      <c r="XT225" s="18"/>
      <c r="XU225" s="18"/>
      <c r="XV225" s="18"/>
      <c r="XW225" s="18"/>
      <c r="XX225" s="18"/>
      <c r="XY225" s="18"/>
      <c r="XZ225" s="18"/>
      <c r="YA225" s="18"/>
      <c r="YB225" s="18"/>
      <c r="YC225" s="18"/>
      <c r="YD225" s="18"/>
      <c r="YE225" s="18"/>
      <c r="YF225" s="18"/>
      <c r="YG225" s="18"/>
      <c r="YH225" s="18"/>
      <c r="YI225" s="18"/>
      <c r="YJ225" s="18"/>
      <c r="YK225" s="18"/>
      <c r="YL225" s="18"/>
      <c r="YM225" s="18"/>
      <c r="YN225" s="18"/>
      <c r="YO225" s="18"/>
      <c r="YP225" s="18"/>
      <c r="YQ225" s="18"/>
      <c r="YR225" s="18"/>
      <c r="YS225" s="18"/>
      <c r="YT225" s="18"/>
      <c r="YU225" s="18"/>
      <c r="YV225" s="18"/>
      <c r="YW225" s="18"/>
      <c r="YX225" s="18"/>
      <c r="YY225" s="18"/>
      <c r="YZ225" s="18"/>
      <c r="ZA225" s="18"/>
      <c r="ZB225" s="18"/>
      <c r="ZC225" s="18"/>
      <c r="ZD225" s="18"/>
      <c r="ZE225" s="18"/>
      <c r="ZF225" s="18"/>
      <c r="ZG225" s="18"/>
      <c r="ZH225" s="18"/>
      <c r="ZI225" s="18"/>
      <c r="ZJ225" s="18"/>
      <c r="ZK225" s="18"/>
      <c r="ZL225" s="18"/>
      <c r="ZM225" s="18"/>
      <c r="ZN225" s="18"/>
      <c r="ZO225" s="18"/>
      <c r="ZP225" s="18"/>
      <c r="ZQ225" s="18"/>
      <c r="ZR225" s="18"/>
      <c r="ZS225" s="18"/>
      <c r="ZT225" s="18"/>
      <c r="ZU225" s="18"/>
      <c r="ZV225" s="18"/>
      <c r="ZW225" s="18"/>
      <c r="ZX225" s="18"/>
      <c r="ZY225" s="18"/>
      <c r="ZZ225" s="18"/>
      <c r="AAA225" s="18"/>
      <c r="AAB225" s="18"/>
      <c r="AAC225" s="18"/>
      <c r="AAD225" s="18"/>
      <c r="AAE225" s="18"/>
      <c r="AAF225" s="18"/>
      <c r="AAG225" s="18"/>
      <c r="AAH225" s="18"/>
      <c r="AAI225" s="18"/>
      <c r="AAJ225" s="18"/>
      <c r="AAK225" s="18"/>
      <c r="AAL225" s="18"/>
      <c r="AAM225" s="18"/>
      <c r="AAN225" s="18"/>
      <c r="AAO225" s="18"/>
      <c r="AAP225" s="18"/>
      <c r="AAQ225" s="18"/>
      <c r="AAR225" s="18"/>
      <c r="AAS225" s="18"/>
      <c r="AAT225" s="18"/>
      <c r="AAU225" s="18"/>
      <c r="AAV225" s="18"/>
      <c r="AAW225" s="18"/>
      <c r="AAX225" s="18"/>
      <c r="AAY225" s="18"/>
      <c r="AAZ225" s="18"/>
      <c r="ABA225" s="18"/>
      <c r="ABB225" s="18"/>
      <c r="ABC225" s="18"/>
      <c r="ABD225" s="18"/>
      <c r="ABE225" s="18"/>
      <c r="ABF225" s="18"/>
      <c r="ABG225" s="18"/>
      <c r="ABH225" s="18"/>
      <c r="ABI225" s="18"/>
      <c r="ABJ225" s="18"/>
      <c r="ABK225" s="18"/>
      <c r="ABL225" s="18"/>
      <c r="ABM225" s="18"/>
      <c r="ABN225" s="18"/>
      <c r="ABO225" s="18"/>
      <c r="ABP225" s="18"/>
      <c r="ABQ225" s="18"/>
      <c r="ABR225" s="18"/>
      <c r="ABS225" s="18"/>
      <c r="ABT225" s="18"/>
      <c r="ABU225" s="18"/>
      <c r="ABV225" s="18"/>
      <c r="ABW225" s="18"/>
      <c r="ABX225" s="18"/>
      <c r="ABY225" s="18"/>
      <c r="ABZ225" s="18"/>
      <c r="ACA225" s="18"/>
      <c r="ACB225" s="18"/>
      <c r="ACC225" s="18"/>
      <c r="ACD225" s="18"/>
      <c r="ACE225" s="18"/>
      <c r="ACF225" s="18"/>
      <c r="ACG225" s="18"/>
      <c r="ACH225" s="18"/>
      <c r="ACI225" s="18"/>
      <c r="ACJ225" s="18"/>
      <c r="ACK225" s="18"/>
      <c r="ACL225" s="18"/>
      <c r="ACM225" s="18"/>
      <c r="ACN225" s="18"/>
      <c r="ACO225" s="18"/>
      <c r="ACP225" s="18"/>
      <c r="ACQ225" s="18"/>
      <c r="ACR225" s="18"/>
      <c r="ACS225" s="18"/>
      <c r="ACT225" s="18"/>
      <c r="ACU225" s="18"/>
      <c r="ACV225" s="18"/>
      <c r="ACW225" s="18"/>
      <c r="ACX225" s="18"/>
      <c r="ACY225" s="18"/>
      <c r="ACZ225" s="18"/>
      <c r="ADA225" s="18"/>
      <c r="ADB225" s="18"/>
      <c r="ADC225" s="18"/>
      <c r="ADD225" s="18"/>
      <c r="ADE225" s="18"/>
      <c r="ADF225" s="18"/>
      <c r="ADG225" s="18"/>
      <c r="ADH225" s="18"/>
      <c r="ADI225" s="18"/>
      <c r="ADJ225" s="18"/>
      <c r="ADK225" s="18"/>
      <c r="ADL225" s="18"/>
      <c r="ADM225" s="18"/>
      <c r="ADN225" s="18"/>
      <c r="ADO225" s="18"/>
      <c r="ADP225" s="18"/>
      <c r="ADQ225" s="18"/>
      <c r="ADR225" s="18"/>
      <c r="ADS225" s="18"/>
      <c r="ADT225" s="18"/>
      <c r="ADU225" s="18"/>
      <c r="ADV225" s="18"/>
      <c r="ADW225" s="18"/>
      <c r="ADX225" s="18"/>
      <c r="ADY225" s="18"/>
      <c r="ADZ225" s="18"/>
      <c r="AEA225" s="18"/>
      <c r="AEB225" s="18"/>
      <c r="AEC225" s="18"/>
      <c r="AED225" s="18"/>
      <c r="AEE225" s="18"/>
      <c r="AEF225" s="18"/>
      <c r="AEG225" s="18"/>
      <c r="AEH225" s="18"/>
      <c r="AEI225" s="18"/>
      <c r="AEJ225" s="18"/>
      <c r="AEK225" s="18"/>
      <c r="AEL225" s="18"/>
      <c r="AEM225" s="18"/>
      <c r="AEN225" s="18"/>
      <c r="AEO225" s="18"/>
      <c r="AEP225" s="18"/>
      <c r="AEQ225" s="18"/>
      <c r="AER225" s="18"/>
      <c r="AES225" s="18"/>
      <c r="AET225" s="18"/>
      <c r="AEU225" s="18"/>
      <c r="AEV225" s="18"/>
      <c r="AEW225" s="18"/>
      <c r="AEX225" s="18"/>
      <c r="AEY225" s="18"/>
      <c r="AEZ225" s="18"/>
      <c r="AFA225" s="18"/>
      <c r="AFB225" s="18"/>
      <c r="AFC225" s="18"/>
      <c r="AFD225" s="18"/>
      <c r="AFE225" s="18"/>
      <c r="AFF225" s="18"/>
      <c r="AFG225" s="18"/>
      <c r="AFH225" s="18"/>
      <c r="AFI225" s="18"/>
      <c r="AFJ225" s="18"/>
      <c r="AFK225" s="18"/>
      <c r="AFL225" s="18"/>
      <c r="AFM225" s="18"/>
      <c r="AFN225" s="18"/>
      <c r="AFO225" s="18"/>
      <c r="AFP225" s="18"/>
      <c r="AFQ225" s="18"/>
      <c r="AFR225" s="18"/>
      <c r="AFS225" s="18"/>
      <c r="AFT225" s="18"/>
      <c r="AFU225" s="18"/>
      <c r="AFV225" s="18"/>
      <c r="AFW225" s="18"/>
      <c r="AFX225" s="18"/>
      <c r="AFY225" s="18"/>
      <c r="AFZ225" s="18"/>
      <c r="AGA225" s="18"/>
      <c r="AGB225" s="18"/>
      <c r="AGC225" s="18"/>
      <c r="AGD225" s="18"/>
      <c r="AGE225" s="18"/>
      <c r="AGF225" s="18"/>
      <c r="AGG225" s="18"/>
      <c r="AGH225" s="18"/>
      <c r="AGI225" s="18"/>
      <c r="AGJ225" s="18"/>
      <c r="AGK225" s="18"/>
      <c r="AGL225" s="18"/>
      <c r="AGM225" s="18"/>
      <c r="AGN225" s="18"/>
      <c r="AGO225" s="18"/>
      <c r="AGP225" s="18"/>
      <c r="AGQ225" s="18"/>
      <c r="AGR225" s="18"/>
      <c r="AGS225" s="18"/>
      <c r="AGT225" s="18"/>
      <c r="AGU225" s="18"/>
      <c r="AGV225" s="18"/>
      <c r="AGW225" s="18"/>
      <c r="AGX225" s="18"/>
      <c r="AGY225" s="18"/>
      <c r="AGZ225" s="18"/>
      <c r="AHA225" s="18"/>
      <c r="AHB225" s="18"/>
      <c r="AHC225" s="18"/>
      <c r="AHD225" s="18"/>
      <c r="AHE225" s="18"/>
      <c r="AHF225" s="18"/>
      <c r="AHG225" s="18"/>
      <c r="AHH225" s="18"/>
      <c r="AHI225" s="18"/>
      <c r="AHJ225" s="18"/>
      <c r="AHK225" s="18"/>
      <c r="AHL225" s="18"/>
      <c r="AHM225" s="18"/>
      <c r="AHN225" s="18"/>
      <c r="AHO225" s="18"/>
      <c r="AHP225" s="18"/>
      <c r="AHQ225" s="18"/>
      <c r="AHR225" s="18"/>
      <c r="AHS225" s="18"/>
      <c r="AHT225" s="18"/>
      <c r="AHU225" s="18"/>
      <c r="AHV225" s="18"/>
      <c r="AHW225" s="18"/>
      <c r="AHX225" s="18"/>
      <c r="AHY225" s="18"/>
      <c r="AHZ225" s="18"/>
      <c r="AIA225" s="18"/>
      <c r="AIB225" s="18"/>
      <c r="AIC225" s="18"/>
      <c r="AID225" s="18"/>
      <c r="AIE225" s="18"/>
      <c r="AIF225" s="18"/>
      <c r="AIG225" s="18"/>
      <c r="AIH225" s="18"/>
      <c r="AII225" s="18"/>
      <c r="AIJ225" s="18"/>
      <c r="AIK225" s="18"/>
      <c r="AIL225" s="18"/>
      <c r="AIM225" s="18"/>
      <c r="AIN225" s="18"/>
      <c r="AIO225" s="18"/>
      <c r="AIP225" s="18"/>
      <c r="AIQ225" s="18"/>
      <c r="AIR225" s="18"/>
      <c r="AIS225" s="18"/>
      <c r="AIT225" s="18"/>
      <c r="AIU225" s="18"/>
      <c r="AIV225" s="18"/>
      <c r="AIW225" s="18"/>
      <c r="AIX225" s="18"/>
      <c r="AIY225" s="18"/>
      <c r="AIZ225" s="18"/>
      <c r="AJA225" s="18"/>
      <c r="AJB225" s="18"/>
      <c r="AJC225" s="18"/>
      <c r="AJD225" s="18"/>
      <c r="AJE225" s="18"/>
      <c r="AJF225" s="18"/>
      <c r="AJG225" s="18"/>
      <c r="AJH225" s="18"/>
      <c r="AJI225" s="18"/>
      <c r="AJJ225" s="18"/>
      <c r="AJK225" s="18"/>
      <c r="AJL225" s="18"/>
      <c r="AJM225" s="18"/>
      <c r="AJN225" s="18"/>
      <c r="AJO225" s="18"/>
      <c r="AJP225" s="18"/>
      <c r="AJQ225" s="18"/>
      <c r="AJR225" s="18"/>
      <c r="AJS225" s="18"/>
      <c r="AJT225" s="18"/>
      <c r="AJU225" s="18"/>
      <c r="AJV225" s="18"/>
      <c r="AJW225" s="18"/>
      <c r="AJX225" s="18"/>
      <c r="AJY225" s="18"/>
      <c r="AJZ225" s="18"/>
      <c r="AKA225" s="18"/>
      <c r="AKB225" s="18"/>
      <c r="AKC225" s="18"/>
      <c r="AKD225" s="18"/>
      <c r="AKE225" s="18"/>
      <c r="AKF225" s="18"/>
      <c r="AKG225" s="18"/>
      <c r="AKH225" s="18"/>
      <c r="AKI225" s="18"/>
      <c r="AKJ225" s="18"/>
      <c r="AKK225" s="18"/>
      <c r="AKL225" s="18"/>
      <c r="AKM225" s="18"/>
      <c r="AKN225" s="18"/>
      <c r="AKO225" s="18"/>
      <c r="AKP225" s="18"/>
      <c r="AKQ225" s="18"/>
      <c r="AKR225" s="18"/>
      <c r="AKS225" s="18"/>
      <c r="AKT225" s="18"/>
      <c r="AKU225" s="18"/>
      <c r="AKV225" s="18"/>
      <c r="AKW225" s="18"/>
      <c r="AKX225" s="18"/>
      <c r="AKY225" s="18"/>
      <c r="AKZ225" s="18"/>
      <c r="ALA225" s="18"/>
      <c r="ALB225" s="18"/>
      <c r="ALC225" s="18"/>
      <c r="ALD225" s="18"/>
      <c r="ALE225" s="18"/>
      <c r="ALF225" s="18"/>
      <c r="ALG225" s="18"/>
      <c r="ALH225" s="18"/>
      <c r="ALI225" s="18"/>
      <c r="ALJ225" s="18"/>
      <c r="ALK225" s="18"/>
      <c r="ALL225" s="18"/>
      <c r="ALM225" s="18"/>
      <c r="ALN225" s="18"/>
      <c r="ALO225" s="18"/>
      <c r="ALP225" s="18"/>
      <c r="ALQ225" s="18"/>
      <c r="ALR225" s="18"/>
      <c r="ALS225" s="18"/>
      <c r="ALT225" s="18"/>
      <c r="ALU225" s="18"/>
      <c r="ALV225" s="18"/>
      <c r="ALW225" s="18"/>
      <c r="ALX225" s="18"/>
      <c r="ALY225" s="18"/>
      <c r="ALZ225" s="18"/>
      <c r="AMA225" s="18"/>
      <c r="AMB225" s="18"/>
      <c r="AMC225" s="18"/>
      <c r="AMD225" s="18"/>
      <c r="AME225" s="18"/>
      <c r="AMF225" s="18"/>
      <c r="AMG225" s="18"/>
      <c r="AMH225" s="18"/>
      <c r="AMI225" s="18"/>
      <c r="AMJ225" s="18"/>
      <c r="AMK225" s="18"/>
      <c r="AML225" s="18"/>
      <c r="AMM225" s="18"/>
      <c r="AMN225" s="18"/>
      <c r="AMO225" s="18"/>
      <c r="AMP225" s="18"/>
      <c r="AMQ225" s="18"/>
      <c r="AMR225" s="18"/>
      <c r="AMS225" s="18"/>
      <c r="AMT225" s="18"/>
      <c r="AMU225" s="18"/>
      <c r="AMV225" s="18"/>
      <c r="AMW225" s="18"/>
      <c r="AMX225" s="18"/>
      <c r="AMY225" s="18"/>
      <c r="AMZ225" s="18"/>
      <c r="ANA225" s="18"/>
      <c r="ANB225" s="18"/>
      <c r="ANC225" s="18"/>
      <c r="AND225" s="18"/>
      <c r="ANE225" s="18"/>
      <c r="ANF225" s="18"/>
      <c r="ANG225" s="18"/>
      <c r="ANH225" s="18"/>
      <c r="ANI225" s="18"/>
      <c r="ANJ225" s="18"/>
      <c r="ANK225" s="18"/>
      <c r="ANL225" s="18"/>
      <c r="ANM225" s="18"/>
      <c r="ANN225" s="18"/>
      <c r="ANO225" s="18"/>
      <c r="ANP225" s="18"/>
      <c r="ANQ225" s="18"/>
      <c r="ANR225" s="18"/>
      <c r="ANS225" s="18"/>
      <c r="ANT225" s="18"/>
      <c r="ANU225" s="18"/>
      <c r="ANV225" s="18"/>
      <c r="ANW225" s="18"/>
      <c r="ANX225" s="18"/>
      <c r="ANY225" s="18"/>
      <c r="ANZ225" s="18"/>
      <c r="AOA225" s="18"/>
      <c r="AOB225" s="18"/>
      <c r="AOC225" s="18"/>
      <c r="AOD225" s="18"/>
      <c r="AOE225" s="18"/>
      <c r="AOF225" s="18"/>
      <c r="AOG225" s="18"/>
      <c r="AOH225" s="18"/>
      <c r="AOI225" s="18"/>
      <c r="AOJ225" s="18"/>
      <c r="AOK225" s="18"/>
      <c r="AOL225" s="18"/>
      <c r="AOM225" s="18"/>
      <c r="AON225" s="18"/>
      <c r="AOO225" s="18"/>
      <c r="AOP225" s="18"/>
      <c r="AOQ225" s="18"/>
      <c r="AOR225" s="18"/>
      <c r="AOS225" s="18"/>
      <c r="AOT225" s="18"/>
      <c r="AOU225" s="18"/>
      <c r="AOV225" s="18"/>
      <c r="AOW225" s="18"/>
      <c r="AOX225" s="18"/>
      <c r="AOY225" s="18"/>
      <c r="AOZ225" s="18"/>
      <c r="APA225" s="18"/>
      <c r="APB225" s="18"/>
      <c r="APC225" s="18"/>
      <c r="APD225" s="18"/>
      <c r="APE225" s="18"/>
      <c r="APF225" s="18"/>
      <c r="APG225" s="18"/>
      <c r="APH225" s="18"/>
      <c r="API225" s="18"/>
      <c r="APJ225" s="18"/>
      <c r="APK225" s="18"/>
      <c r="APL225" s="18"/>
      <c r="APM225" s="18"/>
      <c r="APN225" s="18"/>
      <c r="APO225" s="18"/>
      <c r="APP225" s="18"/>
      <c r="APQ225" s="18"/>
      <c r="APR225" s="18"/>
      <c r="APS225" s="18"/>
      <c r="APT225" s="18"/>
      <c r="APU225" s="18"/>
      <c r="APV225" s="18"/>
      <c r="APW225" s="18"/>
      <c r="APX225" s="18"/>
      <c r="APY225" s="18"/>
      <c r="APZ225" s="18"/>
      <c r="AQA225" s="18"/>
      <c r="AQB225" s="18"/>
      <c r="AQC225" s="18"/>
      <c r="AQD225" s="18"/>
      <c r="AQE225" s="18"/>
      <c r="AQF225" s="18"/>
      <c r="AQG225" s="18"/>
      <c r="AQH225" s="18"/>
      <c r="AQI225" s="18"/>
      <c r="AQJ225" s="18"/>
      <c r="AQK225" s="18"/>
      <c r="AQL225" s="18"/>
      <c r="AQM225" s="18"/>
      <c r="AQN225" s="18"/>
      <c r="AQO225" s="18"/>
      <c r="AQP225" s="18"/>
      <c r="AQQ225" s="18"/>
      <c r="AQR225" s="18"/>
      <c r="AQS225" s="18"/>
      <c r="AQT225" s="18"/>
      <c r="AQU225" s="18"/>
      <c r="AQV225" s="18"/>
      <c r="AQW225" s="18"/>
      <c r="AQX225" s="18"/>
      <c r="AQY225" s="18"/>
      <c r="AQZ225" s="18"/>
      <c r="ARA225" s="18"/>
      <c r="ARB225" s="18"/>
      <c r="ARC225" s="18"/>
      <c r="ARD225" s="18"/>
      <c r="ARE225" s="18"/>
      <c r="ARF225" s="18"/>
      <c r="ARG225" s="18"/>
      <c r="ARH225" s="18"/>
      <c r="ARI225" s="18"/>
      <c r="ARJ225" s="18"/>
      <c r="ARK225" s="18"/>
      <c r="ARL225" s="18"/>
      <c r="ARM225" s="18"/>
      <c r="ARN225" s="18"/>
      <c r="ARO225" s="18"/>
      <c r="ARP225" s="18"/>
      <c r="ARQ225" s="18"/>
      <c r="ARR225" s="18"/>
      <c r="ARS225" s="18"/>
      <c r="ART225" s="18"/>
      <c r="ARU225" s="18"/>
      <c r="ARV225" s="18"/>
      <c r="ARW225" s="18"/>
      <c r="ARX225" s="18"/>
      <c r="ARY225" s="18"/>
      <c r="ARZ225" s="18"/>
      <c r="ASA225" s="18"/>
      <c r="ASB225" s="18"/>
      <c r="ASC225" s="18"/>
      <c r="ASD225" s="18"/>
      <c r="ASE225" s="18"/>
      <c r="ASF225" s="18"/>
      <c r="ASG225" s="18"/>
      <c r="ASH225" s="18"/>
      <c r="ASI225" s="18"/>
      <c r="ASJ225" s="18"/>
      <c r="ASK225" s="18"/>
      <c r="ASL225" s="18"/>
      <c r="ASM225" s="18"/>
      <c r="ASN225" s="18"/>
      <c r="ASO225" s="18"/>
      <c r="ASP225" s="18"/>
      <c r="ASQ225" s="18"/>
      <c r="ASR225" s="18"/>
      <c r="ASS225" s="18"/>
      <c r="AST225" s="18"/>
      <c r="ASU225" s="18"/>
      <c r="ASV225" s="18"/>
      <c r="ASW225" s="18"/>
      <c r="ASX225" s="18"/>
      <c r="ASY225" s="18"/>
      <c r="ASZ225" s="18"/>
      <c r="ATA225" s="18"/>
      <c r="ATB225" s="18"/>
      <c r="ATC225" s="18"/>
      <c r="ATD225" s="18"/>
      <c r="ATE225" s="18"/>
      <c r="ATF225" s="18"/>
      <c r="ATG225" s="18"/>
      <c r="ATH225" s="18"/>
      <c r="ATI225" s="18"/>
      <c r="ATJ225" s="18"/>
      <c r="ATK225" s="18"/>
      <c r="ATL225" s="18"/>
      <c r="ATM225" s="18"/>
      <c r="ATN225" s="18"/>
      <c r="ATO225" s="18"/>
      <c r="ATP225" s="18"/>
      <c r="ATQ225" s="18"/>
      <c r="ATR225" s="18"/>
      <c r="ATS225" s="18"/>
      <c r="ATT225" s="18"/>
      <c r="ATU225" s="18"/>
      <c r="ATV225" s="18"/>
      <c r="ATW225" s="18"/>
      <c r="ATX225" s="18"/>
      <c r="ATY225" s="18"/>
      <c r="ATZ225" s="18"/>
      <c r="AUA225" s="18"/>
      <c r="AUB225" s="18"/>
      <c r="AUC225" s="18"/>
      <c r="AUD225" s="18"/>
      <c r="AUE225" s="18"/>
      <c r="AUF225" s="18"/>
      <c r="AUG225" s="18"/>
      <c r="AUH225" s="18"/>
      <c r="AUI225" s="18"/>
      <c r="AUJ225" s="18"/>
      <c r="AUK225" s="18"/>
      <c r="AUL225" s="18"/>
      <c r="AUM225" s="18"/>
      <c r="AUN225" s="18"/>
      <c r="AUO225" s="18"/>
      <c r="AUP225" s="18"/>
      <c r="AUQ225" s="18"/>
      <c r="AUR225" s="18"/>
      <c r="AUS225" s="18"/>
      <c r="AUT225" s="18"/>
      <c r="AUU225" s="18"/>
      <c r="AUV225" s="18"/>
      <c r="AUW225" s="18"/>
      <c r="AUX225" s="18"/>
      <c r="AUY225" s="18"/>
      <c r="AUZ225" s="18"/>
      <c r="AVA225" s="18"/>
      <c r="AVB225" s="18"/>
      <c r="AVC225" s="18"/>
      <c r="AVD225" s="18"/>
      <c r="AVE225" s="18"/>
      <c r="AVF225" s="18"/>
      <c r="AVG225" s="18"/>
      <c r="AVH225" s="18"/>
      <c r="AVI225" s="18"/>
      <c r="AVJ225" s="18"/>
      <c r="AVK225" s="18"/>
      <c r="AVL225" s="18"/>
      <c r="AVM225" s="18"/>
      <c r="AVN225" s="18"/>
      <c r="AVO225" s="18"/>
      <c r="AVP225" s="18"/>
      <c r="AVQ225" s="18"/>
      <c r="AVR225" s="18"/>
      <c r="AVS225" s="18"/>
      <c r="AVT225" s="18"/>
      <c r="AVU225" s="18"/>
      <c r="AVV225" s="18"/>
      <c r="AVW225" s="18"/>
      <c r="AVX225" s="18"/>
      <c r="AVY225" s="18"/>
      <c r="AVZ225" s="18"/>
      <c r="AWA225" s="18"/>
      <c r="AWB225" s="18"/>
      <c r="AWC225" s="18"/>
      <c r="AWD225" s="18"/>
      <c r="AWE225" s="18"/>
      <c r="AWF225" s="18"/>
      <c r="AWG225" s="18"/>
      <c r="AWH225" s="18"/>
      <c r="AWI225" s="18"/>
      <c r="AWJ225" s="18"/>
      <c r="AWK225" s="18"/>
      <c r="AWL225" s="18"/>
      <c r="AWM225" s="18"/>
      <c r="AWN225" s="18"/>
      <c r="AWO225" s="18"/>
      <c r="AWP225" s="18"/>
      <c r="AWQ225" s="18"/>
      <c r="AWR225" s="18"/>
      <c r="AWS225" s="18"/>
      <c r="AWT225" s="18"/>
      <c r="AWU225" s="18"/>
      <c r="AWV225" s="18"/>
      <c r="AWW225" s="18"/>
      <c r="AWX225" s="18"/>
      <c r="AWY225" s="18"/>
      <c r="AWZ225" s="18"/>
      <c r="AXA225" s="18"/>
      <c r="AXB225" s="18"/>
      <c r="AXC225" s="18"/>
      <c r="AXD225" s="18"/>
      <c r="AXE225" s="18"/>
      <c r="AXF225" s="18"/>
      <c r="AXG225" s="18"/>
      <c r="AXH225" s="18"/>
      <c r="AXI225" s="18"/>
      <c r="AXJ225" s="18"/>
      <c r="AXK225" s="18"/>
      <c r="AXL225" s="18"/>
      <c r="AXM225" s="18"/>
      <c r="AXN225" s="18"/>
      <c r="AXO225" s="18"/>
      <c r="AXP225" s="18"/>
      <c r="AXQ225" s="18"/>
      <c r="AXR225" s="18"/>
      <c r="AXS225" s="18"/>
      <c r="AXT225" s="18"/>
      <c r="AXU225" s="18"/>
      <c r="AXV225" s="18"/>
      <c r="AXW225" s="18"/>
      <c r="AXX225" s="18"/>
      <c r="AXY225" s="18"/>
      <c r="AXZ225" s="18"/>
      <c r="AYA225" s="18"/>
      <c r="AYB225" s="18"/>
      <c r="AYC225" s="18"/>
      <c r="AYD225" s="18"/>
      <c r="AYE225" s="18"/>
      <c r="AYF225" s="18"/>
      <c r="AYG225" s="18"/>
      <c r="AYH225" s="18"/>
      <c r="AYI225" s="18"/>
      <c r="AYJ225" s="18"/>
      <c r="AYK225" s="18"/>
      <c r="AYL225" s="18"/>
      <c r="AYM225" s="18"/>
      <c r="AYN225" s="18"/>
      <c r="AYO225" s="18"/>
      <c r="AYP225" s="18"/>
      <c r="AYQ225" s="18"/>
      <c r="AYR225" s="18"/>
      <c r="AYS225" s="18"/>
      <c r="AYT225" s="18"/>
      <c r="AYU225" s="18"/>
      <c r="AYV225" s="18"/>
      <c r="AYW225" s="18"/>
      <c r="AYX225" s="18"/>
      <c r="AYY225" s="18"/>
      <c r="AYZ225" s="18"/>
      <c r="AZA225" s="18"/>
      <c r="AZB225" s="18"/>
      <c r="AZC225" s="18"/>
      <c r="AZD225" s="18"/>
      <c r="AZE225" s="18"/>
      <c r="AZF225" s="18"/>
      <c r="AZG225" s="18"/>
      <c r="AZH225" s="18"/>
      <c r="AZI225" s="18"/>
      <c r="AZJ225" s="18"/>
      <c r="AZK225" s="18"/>
      <c r="AZL225" s="18"/>
      <c r="AZM225" s="18"/>
      <c r="AZN225" s="18"/>
      <c r="AZO225" s="18"/>
      <c r="AZP225" s="18"/>
      <c r="AZQ225" s="18"/>
      <c r="AZR225" s="18"/>
      <c r="AZS225" s="18"/>
      <c r="AZT225" s="18"/>
      <c r="AZU225" s="18"/>
      <c r="AZV225" s="18"/>
      <c r="AZW225" s="18"/>
      <c r="AZX225" s="18"/>
      <c r="AZY225" s="18"/>
      <c r="AZZ225" s="18"/>
      <c r="BAA225" s="18"/>
      <c r="BAB225" s="18"/>
      <c r="BAC225" s="18"/>
      <c r="BAD225" s="18"/>
      <c r="BAE225" s="18"/>
      <c r="BAF225" s="18"/>
      <c r="BAG225" s="18"/>
      <c r="BAH225" s="18"/>
      <c r="BAI225" s="18"/>
      <c r="BAJ225" s="18"/>
      <c r="BAK225" s="18"/>
      <c r="BAL225" s="18"/>
      <c r="BAM225" s="18"/>
      <c r="BAN225" s="18"/>
      <c r="BAO225" s="18"/>
      <c r="BAP225" s="18"/>
      <c r="BAQ225" s="18"/>
      <c r="BAR225" s="18"/>
      <c r="BAS225" s="18"/>
      <c r="BAT225" s="18"/>
      <c r="BAU225" s="18"/>
      <c r="BAV225" s="18"/>
      <c r="BAW225" s="18"/>
      <c r="BAX225" s="18"/>
      <c r="BAY225" s="18"/>
      <c r="BAZ225" s="18"/>
      <c r="BBA225" s="18"/>
      <c r="BBB225" s="18"/>
      <c r="BBC225" s="18"/>
      <c r="BBD225" s="18"/>
      <c r="BBE225" s="18"/>
      <c r="BBF225" s="18"/>
      <c r="BBG225" s="18"/>
      <c r="BBH225" s="18"/>
      <c r="BBI225" s="18"/>
      <c r="BBJ225" s="18"/>
      <c r="BBK225" s="18"/>
      <c r="BBL225" s="18"/>
      <c r="BBM225" s="18"/>
      <c r="BBN225" s="18"/>
      <c r="BBO225" s="18"/>
      <c r="BBP225" s="18"/>
      <c r="BBQ225" s="18"/>
      <c r="BBR225" s="18"/>
      <c r="BBS225" s="18"/>
      <c r="BBT225" s="18"/>
      <c r="BBU225" s="18"/>
      <c r="BBV225" s="18"/>
      <c r="BBW225" s="18"/>
      <c r="BBX225" s="18"/>
      <c r="BBY225" s="18"/>
      <c r="BBZ225" s="18"/>
      <c r="BCA225" s="18"/>
      <c r="BCB225" s="18"/>
      <c r="BCC225" s="18"/>
      <c r="BCD225" s="18"/>
      <c r="BCE225" s="18"/>
      <c r="BCF225" s="18"/>
      <c r="BCG225" s="18"/>
      <c r="BCH225" s="18"/>
      <c r="BCI225" s="18"/>
      <c r="BCJ225" s="18"/>
      <c r="BCK225" s="18"/>
      <c r="BCL225" s="18"/>
      <c r="BCM225" s="18"/>
      <c r="BCN225" s="18"/>
      <c r="BCO225" s="18"/>
      <c r="BCP225" s="18"/>
      <c r="BCQ225" s="18"/>
      <c r="BCR225" s="18"/>
      <c r="BCS225" s="18"/>
      <c r="BCT225" s="18"/>
      <c r="BCU225" s="18"/>
      <c r="BCV225" s="18"/>
      <c r="BCW225" s="18"/>
      <c r="BCX225" s="18"/>
      <c r="BCY225" s="18"/>
      <c r="BCZ225" s="18"/>
      <c r="BDA225" s="18"/>
      <c r="BDB225" s="18"/>
      <c r="BDC225" s="18"/>
      <c r="BDD225" s="18"/>
      <c r="BDE225" s="18"/>
      <c r="BDF225" s="18"/>
      <c r="BDG225" s="18"/>
      <c r="BDH225" s="18"/>
      <c r="BDI225" s="18"/>
      <c r="BDJ225" s="18"/>
      <c r="BDK225" s="18"/>
      <c r="BDL225" s="18"/>
      <c r="BDM225" s="18"/>
      <c r="BDN225" s="18"/>
      <c r="BDO225" s="18"/>
      <c r="BDP225" s="18"/>
      <c r="BDQ225" s="18"/>
      <c r="BDR225" s="18"/>
      <c r="BDS225" s="18"/>
      <c r="BDT225" s="18"/>
      <c r="BDU225" s="18"/>
      <c r="BDV225" s="18"/>
      <c r="BDW225" s="18"/>
      <c r="BDX225" s="18"/>
      <c r="BDY225" s="18"/>
      <c r="BDZ225" s="18"/>
      <c r="BEA225" s="18"/>
      <c r="BEB225" s="18"/>
      <c r="BEC225" s="18"/>
      <c r="BED225" s="18"/>
      <c r="BEE225" s="18"/>
      <c r="BEF225" s="18"/>
      <c r="BEG225" s="18"/>
      <c r="BEH225" s="18"/>
      <c r="BEI225" s="18"/>
      <c r="BEJ225" s="18"/>
      <c r="BEK225" s="18"/>
      <c r="BEL225" s="18"/>
      <c r="BEM225" s="18"/>
      <c r="BEN225" s="18"/>
      <c r="BEO225" s="18"/>
      <c r="BEP225" s="18"/>
      <c r="BEQ225" s="18"/>
      <c r="BER225" s="18"/>
      <c r="BES225" s="18"/>
      <c r="BET225" s="18"/>
      <c r="BEU225" s="18"/>
      <c r="BEV225" s="18"/>
      <c r="BEW225" s="18"/>
      <c r="BEX225" s="18"/>
      <c r="BEY225" s="18"/>
      <c r="BEZ225" s="18"/>
      <c r="BFA225" s="18"/>
      <c r="BFB225" s="18"/>
      <c r="BFC225" s="18"/>
      <c r="BFD225" s="18"/>
      <c r="BFE225" s="18"/>
      <c r="BFF225" s="18"/>
      <c r="BFG225" s="18"/>
      <c r="BFH225" s="18"/>
      <c r="BFI225" s="18"/>
      <c r="BFJ225" s="18"/>
      <c r="BFK225" s="18"/>
      <c r="BFL225" s="18"/>
      <c r="BFM225" s="18"/>
      <c r="BFN225" s="18"/>
      <c r="BFO225" s="18"/>
      <c r="BFP225" s="18"/>
      <c r="BFQ225" s="18"/>
      <c r="BFR225" s="18"/>
      <c r="BFS225" s="18"/>
      <c r="BFT225" s="18"/>
      <c r="BFU225" s="18"/>
      <c r="BFV225" s="18"/>
      <c r="BFW225" s="18"/>
      <c r="BFX225" s="18"/>
      <c r="BFY225" s="18"/>
      <c r="BFZ225" s="18"/>
      <c r="BGA225" s="18"/>
      <c r="BGB225" s="18"/>
      <c r="BGC225" s="18"/>
      <c r="BGD225" s="18"/>
      <c r="BGE225" s="18"/>
      <c r="BGF225" s="18"/>
      <c r="BGG225" s="18"/>
      <c r="BGH225" s="18"/>
      <c r="BGI225" s="18"/>
      <c r="BGJ225" s="18"/>
      <c r="BGK225" s="18"/>
      <c r="BGL225" s="18"/>
      <c r="BGM225" s="18"/>
      <c r="BGN225" s="18"/>
      <c r="BGO225" s="18"/>
      <c r="BGP225" s="18"/>
      <c r="BGQ225" s="18"/>
      <c r="BGR225" s="18"/>
      <c r="BGS225" s="18"/>
      <c r="BGT225" s="18"/>
      <c r="BGU225" s="18"/>
      <c r="BGV225" s="18"/>
      <c r="BGW225" s="18"/>
      <c r="BGX225" s="18"/>
      <c r="BGY225" s="18"/>
      <c r="BGZ225" s="18"/>
      <c r="BHA225" s="18"/>
      <c r="BHB225" s="18"/>
      <c r="BHC225" s="18"/>
      <c r="BHD225" s="18"/>
      <c r="BHE225" s="18"/>
      <c r="BHF225" s="18"/>
      <c r="BHG225" s="18"/>
      <c r="BHH225" s="18"/>
      <c r="BHI225" s="18"/>
      <c r="BHJ225" s="18"/>
      <c r="BHK225" s="18"/>
      <c r="BHL225" s="18"/>
      <c r="BHM225" s="18"/>
      <c r="BHN225" s="18"/>
      <c r="BHO225" s="18"/>
      <c r="BHP225" s="18"/>
      <c r="BHQ225" s="18"/>
      <c r="BHR225" s="18"/>
      <c r="BHS225" s="18"/>
      <c r="BHT225" s="18"/>
      <c r="BHU225" s="18"/>
      <c r="BHV225" s="18"/>
      <c r="BHW225" s="18"/>
      <c r="BHX225" s="18"/>
      <c r="BHY225" s="18"/>
      <c r="BHZ225" s="18"/>
      <c r="BIA225" s="18"/>
      <c r="BIB225" s="18"/>
      <c r="BIC225" s="18"/>
      <c r="BID225" s="18"/>
      <c r="BIE225" s="18"/>
      <c r="BIF225" s="18"/>
      <c r="BIG225" s="18"/>
      <c r="BIH225" s="18"/>
      <c r="BII225" s="18"/>
      <c r="BIJ225" s="18"/>
      <c r="BIK225" s="18"/>
      <c r="BIL225" s="18"/>
      <c r="BIM225" s="18"/>
      <c r="BIN225" s="18"/>
      <c r="BIO225" s="18"/>
      <c r="BIP225" s="18"/>
      <c r="BIQ225" s="18"/>
      <c r="BIR225" s="18"/>
      <c r="BIS225" s="18"/>
      <c r="BIT225" s="18"/>
      <c r="BIU225" s="18"/>
      <c r="BIV225" s="18"/>
      <c r="BIW225" s="18"/>
      <c r="BIX225" s="18"/>
      <c r="BIY225" s="18"/>
      <c r="BIZ225" s="18"/>
      <c r="BJA225" s="18"/>
      <c r="BJB225" s="18"/>
      <c r="BJC225" s="18"/>
      <c r="BJD225" s="18"/>
      <c r="BJE225" s="18"/>
      <c r="BJF225" s="18"/>
      <c r="BJG225" s="18"/>
      <c r="BJH225" s="18"/>
      <c r="BJI225" s="18"/>
      <c r="BJJ225" s="18"/>
      <c r="BJK225" s="18"/>
      <c r="BJL225" s="18"/>
      <c r="BJM225" s="18"/>
      <c r="BJN225" s="18"/>
      <c r="BJO225" s="18"/>
      <c r="BJP225" s="18"/>
      <c r="BJQ225" s="18"/>
      <c r="BJR225" s="18"/>
      <c r="BJS225" s="18"/>
      <c r="BJT225" s="18"/>
      <c r="BJU225" s="18"/>
      <c r="BJV225" s="18"/>
      <c r="BJW225" s="18"/>
      <c r="BJX225" s="18"/>
      <c r="BJY225" s="18"/>
      <c r="BJZ225" s="18"/>
      <c r="BKA225" s="18"/>
      <c r="BKB225" s="18"/>
      <c r="BKC225" s="18"/>
      <c r="BKD225" s="18"/>
      <c r="BKE225" s="18"/>
      <c r="BKF225" s="18"/>
      <c r="BKG225" s="18"/>
      <c r="BKH225" s="18"/>
      <c r="BKI225" s="18"/>
      <c r="BKJ225" s="18"/>
      <c r="BKK225" s="18"/>
      <c r="BKL225" s="18"/>
      <c r="BKM225" s="18"/>
      <c r="BKN225" s="18"/>
      <c r="BKO225" s="18"/>
      <c r="BKP225" s="18"/>
      <c r="BKQ225" s="18"/>
      <c r="BKR225" s="18"/>
      <c r="BKS225" s="18"/>
      <c r="BKT225" s="18"/>
      <c r="BKU225" s="18"/>
      <c r="BKV225" s="18"/>
      <c r="BKW225" s="18"/>
      <c r="BKX225" s="18"/>
      <c r="BKY225" s="18"/>
      <c r="BKZ225" s="18"/>
      <c r="BLA225" s="18"/>
      <c r="BLB225" s="18"/>
      <c r="BLC225" s="18"/>
      <c r="BLD225" s="18"/>
      <c r="BLE225" s="18"/>
      <c r="BLF225" s="18"/>
      <c r="BLG225" s="18"/>
      <c r="BLH225" s="18"/>
      <c r="BLI225" s="18"/>
      <c r="BLJ225" s="18"/>
      <c r="BLK225" s="18"/>
      <c r="BLL225" s="18"/>
      <c r="BLM225" s="18"/>
      <c r="BLN225" s="18"/>
      <c r="BLO225" s="18"/>
      <c r="BLP225" s="18"/>
      <c r="BLQ225" s="18"/>
      <c r="BLR225" s="18"/>
      <c r="BLS225" s="18"/>
      <c r="BLT225" s="18"/>
      <c r="BLU225" s="18"/>
      <c r="BLV225" s="18"/>
      <c r="BLW225" s="18"/>
      <c r="BLX225" s="18"/>
      <c r="BLY225" s="18"/>
      <c r="BLZ225" s="18"/>
      <c r="BMA225" s="18"/>
      <c r="BMB225" s="18"/>
      <c r="BMC225" s="18"/>
      <c r="BMD225" s="18"/>
      <c r="BME225" s="18"/>
      <c r="BMF225" s="18"/>
      <c r="BMG225" s="18"/>
      <c r="BMH225" s="18"/>
      <c r="BMI225" s="18"/>
      <c r="BMJ225" s="18"/>
      <c r="BMK225" s="18"/>
      <c r="BML225" s="18"/>
      <c r="BMM225" s="18"/>
      <c r="BMN225" s="18"/>
      <c r="BMO225" s="18"/>
      <c r="BMP225" s="18"/>
      <c r="BMQ225" s="18"/>
      <c r="BMR225" s="18"/>
      <c r="BMS225" s="18"/>
      <c r="BMT225" s="18"/>
      <c r="BMU225" s="18"/>
      <c r="BMV225" s="18"/>
      <c r="BMW225" s="18"/>
      <c r="BMX225" s="18"/>
      <c r="BMY225" s="18"/>
      <c r="BMZ225" s="18"/>
      <c r="BNA225" s="18"/>
      <c r="BNB225" s="18"/>
      <c r="BNC225" s="18"/>
      <c r="BND225" s="18"/>
      <c r="BNE225" s="18"/>
      <c r="BNF225" s="18"/>
      <c r="BNG225" s="18"/>
      <c r="BNH225" s="18"/>
      <c r="BNI225" s="18"/>
      <c r="BNJ225" s="18"/>
      <c r="BNK225" s="18"/>
      <c r="BNL225" s="18"/>
      <c r="BNM225" s="18"/>
      <c r="BNN225" s="18"/>
      <c r="BNO225" s="18"/>
      <c r="BNP225" s="18"/>
      <c r="BNQ225" s="18"/>
      <c r="BNR225" s="18"/>
      <c r="BNS225" s="18"/>
      <c r="BNT225" s="18"/>
      <c r="BNU225" s="18"/>
      <c r="BNV225" s="18"/>
      <c r="BNW225" s="18"/>
      <c r="BNX225" s="18"/>
      <c r="BNY225" s="18"/>
      <c r="BNZ225" s="18"/>
      <c r="BOA225" s="18"/>
      <c r="BOB225" s="18"/>
      <c r="BOC225" s="18"/>
      <c r="BOD225" s="18"/>
      <c r="BOE225" s="18"/>
      <c r="BOF225" s="18"/>
      <c r="BOG225" s="18"/>
      <c r="BOH225" s="18"/>
      <c r="BOI225" s="18"/>
      <c r="BOJ225" s="18"/>
      <c r="BOK225" s="18"/>
      <c r="BOL225" s="18"/>
      <c r="BOM225" s="18"/>
      <c r="BON225" s="18"/>
      <c r="BOO225" s="18"/>
      <c r="BOP225" s="18"/>
      <c r="BOQ225" s="18"/>
      <c r="BOR225" s="18"/>
      <c r="BOS225" s="18"/>
      <c r="BOT225" s="18"/>
      <c r="BOU225" s="18"/>
      <c r="BOV225" s="18"/>
      <c r="BOW225" s="18"/>
      <c r="BOX225" s="18"/>
      <c r="BOY225" s="18"/>
      <c r="BOZ225" s="18"/>
      <c r="BPA225" s="18"/>
      <c r="BPB225" s="18"/>
      <c r="BPC225" s="18"/>
      <c r="BPD225" s="18"/>
      <c r="BPE225" s="18"/>
      <c r="BPF225" s="18"/>
      <c r="BPG225" s="18"/>
      <c r="BPH225" s="18"/>
      <c r="BPI225" s="18"/>
      <c r="BPJ225" s="18"/>
      <c r="BPK225" s="18"/>
      <c r="BPL225" s="18"/>
      <c r="BPM225" s="18"/>
      <c r="BPN225" s="18"/>
      <c r="BPO225" s="18"/>
      <c r="BPP225" s="18"/>
      <c r="BPQ225" s="18"/>
      <c r="BPR225" s="18"/>
      <c r="BPS225" s="18"/>
      <c r="BPT225" s="18"/>
      <c r="BPU225" s="18"/>
      <c r="BPV225" s="18"/>
      <c r="BPW225" s="18"/>
      <c r="BPX225" s="18"/>
      <c r="BPY225" s="18"/>
      <c r="BPZ225" s="18"/>
      <c r="BQA225" s="18"/>
      <c r="BQB225" s="18"/>
      <c r="BQC225" s="18"/>
      <c r="BQD225" s="18"/>
      <c r="BQE225" s="18"/>
      <c r="BQF225" s="18"/>
      <c r="BQG225" s="18"/>
      <c r="BQH225" s="18"/>
      <c r="BQI225" s="18"/>
      <c r="BQJ225" s="18"/>
      <c r="BQK225" s="18"/>
      <c r="BQL225" s="18"/>
      <c r="BQM225" s="18"/>
      <c r="BQN225" s="18"/>
      <c r="BQO225" s="18"/>
      <c r="BQP225" s="18"/>
      <c r="BQQ225" s="18"/>
      <c r="BQR225" s="18"/>
      <c r="BQS225" s="18"/>
      <c r="BQT225" s="18"/>
      <c r="BQU225" s="18"/>
      <c r="BQV225" s="18"/>
      <c r="BQW225" s="18"/>
      <c r="BQX225" s="18"/>
      <c r="BQY225" s="18"/>
      <c r="BQZ225" s="18"/>
      <c r="BRA225" s="18"/>
      <c r="BRB225" s="18"/>
      <c r="BRC225" s="18"/>
      <c r="BRD225" s="18"/>
      <c r="BRE225" s="18"/>
      <c r="BRF225" s="18"/>
      <c r="BRG225" s="18"/>
      <c r="BRH225" s="18"/>
      <c r="BRI225" s="18"/>
      <c r="BRJ225" s="18"/>
      <c r="BRK225" s="18"/>
      <c r="BRL225" s="18"/>
      <c r="BRM225" s="18"/>
      <c r="BRN225" s="18"/>
      <c r="BRO225" s="18"/>
      <c r="BRP225" s="18"/>
      <c r="BRQ225" s="18"/>
      <c r="BRR225" s="18"/>
      <c r="BRS225" s="18"/>
      <c r="BRT225" s="18"/>
      <c r="BRU225" s="18"/>
      <c r="BRV225" s="18"/>
      <c r="BRW225" s="18"/>
      <c r="BRX225" s="18"/>
      <c r="BRY225" s="18"/>
      <c r="BRZ225" s="18"/>
      <c r="BSA225" s="18"/>
      <c r="BSB225" s="18"/>
      <c r="BSC225" s="18"/>
      <c r="BSD225" s="18"/>
      <c r="BSE225" s="18"/>
      <c r="BSF225" s="18"/>
      <c r="BSG225" s="18"/>
      <c r="BSH225" s="18"/>
      <c r="BSI225" s="18"/>
      <c r="BSJ225" s="18"/>
      <c r="BSK225" s="18"/>
      <c r="BSL225" s="18"/>
      <c r="BSM225" s="18"/>
      <c r="BSN225" s="18"/>
      <c r="BSO225" s="18"/>
      <c r="BSP225" s="18"/>
      <c r="BSQ225" s="18"/>
      <c r="BSR225" s="18"/>
      <c r="BSS225" s="18"/>
      <c r="BST225" s="18"/>
      <c r="BSU225" s="18"/>
      <c r="BSV225" s="18"/>
      <c r="BSW225" s="18"/>
      <c r="BSX225" s="18"/>
      <c r="BSY225" s="18"/>
      <c r="BSZ225" s="18"/>
      <c r="BTA225" s="18"/>
      <c r="BTB225" s="18"/>
      <c r="BTC225" s="18"/>
      <c r="BTD225" s="18"/>
      <c r="BTE225" s="18"/>
      <c r="BTF225" s="18"/>
      <c r="BTG225" s="18"/>
      <c r="BTH225" s="18"/>
      <c r="BTI225" s="18"/>
    </row>
    <row r="226" spans="1:1881" s="428" customFormat="1" ht="81.75" customHeight="1" x14ac:dyDescent="0.3">
      <c r="A226" s="100">
        <v>598</v>
      </c>
      <c r="B226" s="375" t="s">
        <v>58</v>
      </c>
      <c r="C226" s="375" t="s">
        <v>287</v>
      </c>
      <c r="D226" s="385" t="s">
        <v>340</v>
      </c>
      <c r="E226" s="373" t="e">
        <f>INDEX('PY1 Data(H)'!$A$1:$CZ$265,MATCH('Unit Data from Audit Worksheet'!$A226,'PY1 Data(H)'!$A$1:$A$258,0),MATCH('Unit Data from Audit Worksheet'!$D$2,'PY1 Data(H)'!$A$1:$CZ$1,0))</f>
        <v>#N/A</v>
      </c>
      <c r="F226" s="816">
        <v>0</v>
      </c>
      <c r="G226" s="403">
        <f>IF(F226&lt;0,"Error: Enter as positive.",)</f>
        <v>0</v>
      </c>
      <c r="H226" s="403"/>
      <c r="I226" s="426"/>
      <c r="J226" s="426"/>
      <c r="K226"/>
      <c r="L226" s="550"/>
      <c r="M226"/>
      <c r="N226" s="18"/>
      <c r="O226" s="187"/>
      <c r="P226" s="18"/>
      <c r="Q226" s="18"/>
      <c r="R226" s="18"/>
      <c r="S226" s="18"/>
      <c r="T226" s="18"/>
      <c r="U226" s="18"/>
      <c r="V226" s="18"/>
      <c r="W226" s="18"/>
      <c r="X226" s="18"/>
      <c r="Y226" s="18"/>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c r="GQ226" s="18"/>
      <c r="GR226" s="18"/>
      <c r="GS226" s="18"/>
      <c r="GT226" s="18"/>
      <c r="GU226" s="18"/>
      <c r="GV226" s="18"/>
      <c r="GW226" s="18"/>
      <c r="GX226" s="18"/>
      <c r="GY226" s="18"/>
      <c r="GZ226" s="18"/>
      <c r="HA226" s="18"/>
      <c r="HB226" s="18"/>
      <c r="HC226" s="18"/>
      <c r="HD226" s="18"/>
      <c r="HE226" s="18"/>
      <c r="HF226" s="18"/>
      <c r="HG226" s="18"/>
      <c r="HH226" s="18"/>
      <c r="HI226" s="18"/>
      <c r="HJ226" s="18"/>
      <c r="HK226" s="18"/>
      <c r="HL226" s="18"/>
      <c r="HM226" s="18"/>
      <c r="HN226" s="18"/>
      <c r="HO226" s="18"/>
      <c r="HP226" s="18"/>
      <c r="HQ226" s="18"/>
      <c r="HR226" s="18"/>
      <c r="HS226" s="18"/>
      <c r="HT226" s="18"/>
      <c r="HU226" s="18"/>
      <c r="HV226" s="18"/>
      <c r="HW226" s="18"/>
      <c r="HX226" s="18"/>
      <c r="HY226" s="18"/>
      <c r="HZ226" s="18"/>
      <c r="IA226" s="18"/>
      <c r="IB226" s="18"/>
      <c r="IC226" s="18"/>
      <c r="ID226" s="18"/>
      <c r="IE226" s="18"/>
      <c r="IF226" s="18"/>
      <c r="IG226" s="18"/>
      <c r="IH226" s="18"/>
      <c r="II226" s="18"/>
      <c r="IJ226" s="18"/>
      <c r="IK226" s="18"/>
      <c r="IL226" s="18"/>
      <c r="IM226" s="18"/>
      <c r="IN226" s="18"/>
      <c r="IO226" s="18"/>
      <c r="IP226" s="18"/>
      <c r="IQ226" s="18"/>
      <c r="IR226" s="18"/>
      <c r="IS226" s="18"/>
      <c r="IT226" s="18"/>
      <c r="IU226" s="18"/>
      <c r="IV226" s="18"/>
      <c r="IW226" s="18"/>
      <c r="IX226" s="18"/>
      <c r="IY226" s="18"/>
      <c r="IZ226" s="18"/>
      <c r="JA226" s="18"/>
      <c r="JB226" s="18"/>
      <c r="JC226" s="18"/>
      <c r="JD226" s="18"/>
      <c r="JE226" s="18"/>
      <c r="JF226" s="18"/>
      <c r="JG226" s="18"/>
      <c r="JH226" s="18"/>
      <c r="JI226" s="18"/>
      <c r="JJ226" s="18"/>
      <c r="JK226" s="18"/>
      <c r="JL226" s="18"/>
      <c r="JM226" s="18"/>
      <c r="JN226" s="18"/>
      <c r="JO226" s="18"/>
      <c r="JP226" s="18"/>
      <c r="JQ226" s="18"/>
      <c r="JR226" s="18"/>
      <c r="JS226" s="18"/>
      <c r="JT226" s="18"/>
      <c r="JU226" s="18"/>
      <c r="JV226" s="18"/>
      <c r="JW226" s="18"/>
      <c r="JX226" s="18"/>
      <c r="JY226" s="18"/>
      <c r="JZ226" s="18"/>
      <c r="KA226" s="18"/>
      <c r="KB226" s="18"/>
      <c r="KC226" s="18"/>
      <c r="KD226" s="18"/>
      <c r="KE226" s="18"/>
      <c r="KF226" s="18"/>
      <c r="KG226" s="18"/>
      <c r="KH226" s="18"/>
      <c r="KI226" s="18"/>
      <c r="KJ226" s="18"/>
      <c r="KK226" s="18"/>
      <c r="KL226" s="18"/>
      <c r="KM226" s="18"/>
      <c r="KN226" s="18"/>
      <c r="KO226" s="18"/>
      <c r="KP226" s="18"/>
      <c r="KQ226" s="18"/>
      <c r="KR226" s="18"/>
      <c r="KS226" s="18"/>
      <c r="KT226" s="18"/>
      <c r="KU226" s="18"/>
      <c r="KV226" s="18"/>
      <c r="KW226" s="18"/>
      <c r="KX226" s="18"/>
      <c r="KY226" s="18"/>
      <c r="KZ226" s="18"/>
      <c r="LA226" s="18"/>
      <c r="LB226" s="18"/>
      <c r="LC226" s="18"/>
      <c r="LD226" s="18"/>
      <c r="LE226" s="18"/>
      <c r="LF226" s="18"/>
      <c r="LG226" s="18"/>
      <c r="LH226" s="18"/>
      <c r="LI226" s="18"/>
      <c r="LJ226" s="18"/>
      <c r="LK226" s="18"/>
      <c r="LL226" s="18"/>
      <c r="LM226" s="18"/>
      <c r="LN226" s="18"/>
      <c r="LO226" s="18"/>
      <c r="LP226" s="18"/>
      <c r="LQ226" s="18"/>
      <c r="LR226" s="18"/>
      <c r="LS226" s="18"/>
      <c r="LT226" s="18"/>
      <c r="LU226" s="18"/>
      <c r="LV226" s="18"/>
      <c r="LW226" s="18"/>
      <c r="LX226" s="18"/>
      <c r="LY226" s="18"/>
      <c r="LZ226" s="18"/>
      <c r="MA226" s="18"/>
      <c r="MB226" s="18"/>
      <c r="MC226" s="18"/>
      <c r="MD226" s="18"/>
      <c r="ME226" s="18"/>
      <c r="MF226" s="18"/>
      <c r="MG226" s="18"/>
      <c r="MH226" s="18"/>
      <c r="MI226" s="18"/>
      <c r="MJ226" s="18"/>
      <c r="MK226" s="18"/>
      <c r="ML226" s="18"/>
      <c r="MM226" s="18"/>
      <c r="MN226" s="18"/>
      <c r="MO226" s="18"/>
      <c r="MP226" s="18"/>
      <c r="MQ226" s="18"/>
      <c r="MR226" s="18"/>
      <c r="MS226" s="18"/>
      <c r="MT226" s="18"/>
      <c r="MU226" s="18"/>
      <c r="MV226" s="18"/>
      <c r="MW226" s="18"/>
      <c r="MX226" s="18"/>
      <c r="MY226" s="18"/>
      <c r="MZ226" s="18"/>
      <c r="NA226" s="18"/>
      <c r="NB226" s="18"/>
      <c r="NC226" s="18"/>
      <c r="ND226" s="18"/>
      <c r="NE226" s="18"/>
      <c r="NF226" s="18"/>
      <c r="NG226" s="18"/>
      <c r="NH226" s="18"/>
      <c r="NI226" s="18"/>
      <c r="NJ226" s="18"/>
      <c r="NK226" s="18"/>
      <c r="NL226" s="18"/>
      <c r="NM226" s="18"/>
      <c r="NN226" s="18"/>
      <c r="NO226" s="18"/>
      <c r="NP226" s="18"/>
      <c r="NQ226" s="18"/>
      <c r="NR226" s="18"/>
      <c r="NS226" s="18"/>
      <c r="NT226" s="18"/>
      <c r="NU226" s="18"/>
      <c r="NV226" s="18"/>
      <c r="NW226" s="18"/>
      <c r="NX226" s="18"/>
      <c r="NY226" s="18"/>
      <c r="NZ226" s="18"/>
      <c r="OA226" s="18"/>
      <c r="OB226" s="18"/>
      <c r="OC226" s="18"/>
      <c r="OD226" s="18"/>
      <c r="OE226" s="18"/>
      <c r="OF226" s="18"/>
      <c r="OG226" s="18"/>
      <c r="OH226" s="18"/>
      <c r="OI226" s="18"/>
      <c r="OJ226" s="18"/>
      <c r="OK226" s="18"/>
      <c r="OL226" s="18"/>
      <c r="OM226" s="18"/>
      <c r="ON226" s="18"/>
      <c r="OO226" s="18"/>
      <c r="OP226" s="18"/>
      <c r="OQ226" s="18"/>
      <c r="OR226" s="18"/>
      <c r="OS226" s="18"/>
      <c r="OT226" s="18"/>
      <c r="OU226" s="18"/>
      <c r="OV226" s="18"/>
      <c r="OW226" s="18"/>
      <c r="OX226" s="18"/>
      <c r="OY226" s="18"/>
      <c r="OZ226" s="18"/>
      <c r="PA226" s="18"/>
      <c r="PB226" s="18"/>
      <c r="PC226" s="18"/>
      <c r="PD226" s="18"/>
      <c r="PE226" s="18"/>
      <c r="PF226" s="18"/>
      <c r="PG226" s="18"/>
      <c r="PH226" s="18"/>
      <c r="PI226" s="18"/>
      <c r="PJ226" s="18"/>
      <c r="PK226" s="18"/>
      <c r="PL226" s="18"/>
      <c r="PM226" s="18"/>
      <c r="PN226" s="18"/>
      <c r="PO226" s="18"/>
      <c r="PP226" s="18"/>
      <c r="PQ226" s="18"/>
      <c r="PR226" s="18"/>
      <c r="PS226" s="18"/>
      <c r="PT226" s="18"/>
      <c r="PU226" s="18"/>
      <c r="PV226" s="18"/>
      <c r="PW226" s="18"/>
      <c r="PX226" s="18"/>
      <c r="PY226" s="18"/>
      <c r="PZ226" s="18"/>
      <c r="QA226" s="18"/>
      <c r="QB226" s="18"/>
      <c r="QC226" s="18"/>
      <c r="QD226" s="18"/>
      <c r="QE226" s="18"/>
      <c r="QF226" s="18"/>
      <c r="QG226" s="18"/>
      <c r="QH226" s="18"/>
      <c r="QI226" s="18"/>
      <c r="QJ226" s="18"/>
      <c r="QK226" s="18"/>
      <c r="QL226" s="18"/>
      <c r="QM226" s="18"/>
      <c r="QN226" s="18"/>
      <c r="QO226" s="18"/>
      <c r="QP226" s="18"/>
      <c r="QQ226" s="18"/>
      <c r="QR226" s="18"/>
      <c r="QS226" s="18"/>
      <c r="QT226" s="18"/>
      <c r="QU226" s="18"/>
      <c r="QV226" s="18"/>
      <c r="QW226" s="18"/>
      <c r="QX226" s="18"/>
      <c r="QY226" s="18"/>
      <c r="QZ226" s="18"/>
      <c r="RA226" s="18"/>
      <c r="RB226" s="18"/>
      <c r="RC226" s="18"/>
      <c r="RD226" s="18"/>
      <c r="RE226" s="18"/>
      <c r="RF226" s="18"/>
      <c r="RG226" s="18"/>
      <c r="RH226" s="18"/>
      <c r="RI226" s="18"/>
      <c r="RJ226" s="18"/>
      <c r="RK226" s="18"/>
      <c r="RL226" s="18"/>
      <c r="RM226" s="18"/>
      <c r="RN226" s="18"/>
      <c r="RO226" s="18"/>
      <c r="RP226" s="18"/>
      <c r="RQ226" s="18"/>
      <c r="RR226" s="18"/>
      <c r="RS226" s="18"/>
      <c r="RT226" s="18"/>
      <c r="RU226" s="18"/>
      <c r="RV226" s="18"/>
      <c r="RW226" s="18"/>
      <c r="RX226" s="18"/>
      <c r="RY226" s="18"/>
      <c r="RZ226" s="18"/>
      <c r="SA226" s="18"/>
      <c r="SB226" s="18"/>
      <c r="SC226" s="18"/>
      <c r="SD226" s="18"/>
      <c r="SE226" s="18"/>
      <c r="SF226" s="18"/>
      <c r="SG226" s="18"/>
      <c r="SH226" s="18"/>
      <c r="SI226" s="18"/>
      <c r="SJ226" s="18"/>
      <c r="SK226" s="18"/>
      <c r="SL226" s="18"/>
      <c r="SM226" s="18"/>
      <c r="SN226" s="18"/>
      <c r="SO226" s="18"/>
      <c r="SP226" s="18"/>
      <c r="SQ226" s="18"/>
      <c r="SR226" s="18"/>
      <c r="SS226" s="18"/>
      <c r="ST226" s="18"/>
      <c r="SU226" s="18"/>
      <c r="SV226" s="18"/>
      <c r="SW226" s="18"/>
      <c r="SX226" s="18"/>
      <c r="SY226" s="18"/>
      <c r="SZ226" s="18"/>
      <c r="TA226" s="18"/>
      <c r="TB226" s="18"/>
      <c r="TC226" s="18"/>
      <c r="TD226" s="18"/>
      <c r="TE226" s="18"/>
      <c r="TF226" s="18"/>
      <c r="TG226" s="18"/>
      <c r="TH226" s="18"/>
      <c r="TI226" s="18"/>
      <c r="TJ226" s="18"/>
      <c r="TK226" s="18"/>
      <c r="TL226" s="18"/>
      <c r="TM226" s="18"/>
      <c r="TN226" s="18"/>
      <c r="TO226" s="18"/>
      <c r="TP226" s="18"/>
      <c r="TQ226" s="18"/>
      <c r="TR226" s="18"/>
      <c r="TS226" s="18"/>
      <c r="TT226" s="18"/>
      <c r="TU226" s="18"/>
      <c r="TV226" s="18"/>
      <c r="TW226" s="18"/>
      <c r="TX226" s="18"/>
      <c r="TY226" s="18"/>
      <c r="TZ226" s="18"/>
      <c r="UA226" s="18"/>
      <c r="UB226" s="18"/>
      <c r="UC226" s="18"/>
      <c r="UD226" s="18"/>
      <c r="UE226" s="18"/>
      <c r="UF226" s="18"/>
      <c r="UG226" s="18"/>
      <c r="UH226" s="18"/>
      <c r="UI226" s="18"/>
      <c r="UJ226" s="18"/>
      <c r="UK226" s="18"/>
      <c r="UL226" s="18"/>
      <c r="UM226" s="18"/>
      <c r="UN226" s="18"/>
      <c r="UO226" s="18"/>
      <c r="UP226" s="18"/>
      <c r="UQ226" s="18"/>
      <c r="UR226" s="18"/>
      <c r="US226" s="18"/>
      <c r="UT226" s="18"/>
      <c r="UU226" s="18"/>
      <c r="UV226" s="18"/>
      <c r="UW226" s="18"/>
      <c r="UX226" s="18"/>
      <c r="UY226" s="18"/>
      <c r="UZ226" s="18"/>
      <c r="VA226" s="18"/>
      <c r="VB226" s="18"/>
      <c r="VC226" s="18"/>
      <c r="VD226" s="18"/>
      <c r="VE226" s="18"/>
      <c r="VF226" s="18"/>
      <c r="VG226" s="18"/>
      <c r="VH226" s="18"/>
      <c r="VI226" s="18"/>
      <c r="VJ226" s="18"/>
      <c r="VK226" s="18"/>
      <c r="VL226" s="18"/>
      <c r="VM226" s="18"/>
      <c r="VN226" s="18"/>
      <c r="VO226" s="18"/>
      <c r="VP226" s="18"/>
      <c r="VQ226" s="18"/>
      <c r="VR226" s="18"/>
      <c r="VS226" s="18"/>
      <c r="VT226" s="18"/>
      <c r="VU226" s="18"/>
      <c r="VV226" s="18"/>
      <c r="VW226" s="18"/>
      <c r="VX226" s="18"/>
      <c r="VY226" s="18"/>
      <c r="VZ226" s="18"/>
      <c r="WA226" s="18"/>
      <c r="WB226" s="18"/>
      <c r="WC226" s="18"/>
      <c r="WD226" s="18"/>
      <c r="WE226" s="18"/>
      <c r="WF226" s="18"/>
      <c r="WG226" s="18"/>
      <c r="WH226" s="18"/>
      <c r="WI226" s="18"/>
      <c r="WJ226" s="18"/>
      <c r="WK226" s="18"/>
      <c r="WL226" s="18"/>
      <c r="WM226" s="18"/>
      <c r="WN226" s="18"/>
      <c r="WO226" s="18"/>
      <c r="WP226" s="18"/>
      <c r="WQ226" s="18"/>
      <c r="WR226" s="18"/>
      <c r="WS226" s="18"/>
      <c r="WT226" s="18"/>
      <c r="WU226" s="18"/>
      <c r="WV226" s="18"/>
      <c r="WW226" s="18"/>
      <c r="WX226" s="18"/>
      <c r="WY226" s="18"/>
      <c r="WZ226" s="18"/>
      <c r="XA226" s="18"/>
      <c r="XB226" s="18"/>
      <c r="XC226" s="18"/>
      <c r="XD226" s="18"/>
      <c r="XE226" s="18"/>
      <c r="XF226" s="18"/>
      <c r="XG226" s="18"/>
      <c r="XH226" s="18"/>
      <c r="XI226" s="18"/>
      <c r="XJ226" s="18"/>
      <c r="XK226" s="18"/>
      <c r="XL226" s="18"/>
      <c r="XM226" s="18"/>
      <c r="XN226" s="18"/>
      <c r="XO226" s="18"/>
      <c r="XP226" s="18"/>
      <c r="XQ226" s="18"/>
      <c r="XR226" s="18"/>
      <c r="XS226" s="18"/>
      <c r="XT226" s="18"/>
      <c r="XU226" s="18"/>
      <c r="XV226" s="18"/>
      <c r="XW226" s="18"/>
      <c r="XX226" s="18"/>
      <c r="XY226" s="18"/>
      <c r="XZ226" s="18"/>
      <c r="YA226" s="18"/>
      <c r="YB226" s="18"/>
      <c r="YC226" s="18"/>
      <c r="YD226" s="18"/>
      <c r="YE226" s="18"/>
      <c r="YF226" s="18"/>
      <c r="YG226" s="18"/>
      <c r="YH226" s="18"/>
      <c r="YI226" s="18"/>
      <c r="YJ226" s="18"/>
      <c r="YK226" s="18"/>
      <c r="YL226" s="18"/>
      <c r="YM226" s="18"/>
      <c r="YN226" s="18"/>
      <c r="YO226" s="18"/>
      <c r="YP226" s="18"/>
      <c r="YQ226" s="18"/>
      <c r="YR226" s="18"/>
      <c r="YS226" s="18"/>
      <c r="YT226" s="18"/>
      <c r="YU226" s="18"/>
      <c r="YV226" s="18"/>
      <c r="YW226" s="18"/>
      <c r="YX226" s="18"/>
      <c r="YY226" s="18"/>
      <c r="YZ226" s="18"/>
      <c r="ZA226" s="18"/>
      <c r="ZB226" s="18"/>
      <c r="ZC226" s="18"/>
      <c r="ZD226" s="18"/>
      <c r="ZE226" s="18"/>
      <c r="ZF226" s="18"/>
      <c r="ZG226" s="18"/>
      <c r="ZH226" s="18"/>
      <c r="ZI226" s="18"/>
      <c r="ZJ226" s="18"/>
      <c r="ZK226" s="18"/>
      <c r="ZL226" s="18"/>
      <c r="ZM226" s="18"/>
      <c r="ZN226" s="18"/>
      <c r="ZO226" s="18"/>
      <c r="ZP226" s="18"/>
      <c r="ZQ226" s="18"/>
      <c r="ZR226" s="18"/>
      <c r="ZS226" s="18"/>
      <c r="ZT226" s="18"/>
      <c r="ZU226" s="18"/>
      <c r="ZV226" s="18"/>
      <c r="ZW226" s="18"/>
      <c r="ZX226" s="18"/>
      <c r="ZY226" s="18"/>
      <c r="ZZ226" s="18"/>
      <c r="AAA226" s="18"/>
      <c r="AAB226" s="18"/>
      <c r="AAC226" s="18"/>
      <c r="AAD226" s="18"/>
      <c r="AAE226" s="18"/>
      <c r="AAF226" s="18"/>
      <c r="AAG226" s="18"/>
      <c r="AAH226" s="18"/>
      <c r="AAI226" s="18"/>
      <c r="AAJ226" s="18"/>
      <c r="AAK226" s="18"/>
      <c r="AAL226" s="18"/>
      <c r="AAM226" s="18"/>
      <c r="AAN226" s="18"/>
      <c r="AAO226" s="18"/>
      <c r="AAP226" s="18"/>
      <c r="AAQ226" s="18"/>
      <c r="AAR226" s="18"/>
      <c r="AAS226" s="18"/>
      <c r="AAT226" s="18"/>
      <c r="AAU226" s="18"/>
      <c r="AAV226" s="18"/>
      <c r="AAW226" s="18"/>
      <c r="AAX226" s="18"/>
      <c r="AAY226" s="18"/>
      <c r="AAZ226" s="18"/>
      <c r="ABA226" s="18"/>
      <c r="ABB226" s="18"/>
      <c r="ABC226" s="18"/>
      <c r="ABD226" s="18"/>
      <c r="ABE226" s="18"/>
      <c r="ABF226" s="18"/>
      <c r="ABG226" s="18"/>
      <c r="ABH226" s="18"/>
      <c r="ABI226" s="18"/>
      <c r="ABJ226" s="18"/>
      <c r="ABK226" s="18"/>
      <c r="ABL226" s="18"/>
      <c r="ABM226" s="18"/>
      <c r="ABN226" s="18"/>
      <c r="ABO226" s="18"/>
      <c r="ABP226" s="18"/>
      <c r="ABQ226" s="18"/>
      <c r="ABR226" s="18"/>
      <c r="ABS226" s="18"/>
      <c r="ABT226" s="18"/>
      <c r="ABU226" s="18"/>
      <c r="ABV226" s="18"/>
      <c r="ABW226" s="18"/>
      <c r="ABX226" s="18"/>
      <c r="ABY226" s="18"/>
      <c r="ABZ226" s="18"/>
      <c r="ACA226" s="18"/>
      <c r="ACB226" s="18"/>
      <c r="ACC226" s="18"/>
      <c r="ACD226" s="18"/>
      <c r="ACE226" s="18"/>
      <c r="ACF226" s="18"/>
      <c r="ACG226" s="18"/>
      <c r="ACH226" s="18"/>
      <c r="ACI226" s="18"/>
      <c r="ACJ226" s="18"/>
      <c r="ACK226" s="18"/>
      <c r="ACL226" s="18"/>
      <c r="ACM226" s="18"/>
      <c r="ACN226" s="18"/>
      <c r="ACO226" s="18"/>
      <c r="ACP226" s="18"/>
      <c r="ACQ226" s="18"/>
      <c r="ACR226" s="18"/>
      <c r="ACS226" s="18"/>
      <c r="ACT226" s="18"/>
      <c r="ACU226" s="18"/>
      <c r="ACV226" s="18"/>
      <c r="ACW226" s="18"/>
      <c r="ACX226" s="18"/>
      <c r="ACY226" s="18"/>
      <c r="ACZ226" s="18"/>
      <c r="ADA226" s="18"/>
      <c r="ADB226" s="18"/>
      <c r="ADC226" s="18"/>
      <c r="ADD226" s="18"/>
      <c r="ADE226" s="18"/>
      <c r="ADF226" s="18"/>
      <c r="ADG226" s="18"/>
      <c r="ADH226" s="18"/>
      <c r="ADI226" s="18"/>
      <c r="ADJ226" s="18"/>
      <c r="ADK226" s="18"/>
      <c r="ADL226" s="18"/>
      <c r="ADM226" s="18"/>
      <c r="ADN226" s="18"/>
      <c r="ADO226" s="18"/>
      <c r="ADP226" s="18"/>
      <c r="ADQ226" s="18"/>
      <c r="ADR226" s="18"/>
      <c r="ADS226" s="18"/>
      <c r="ADT226" s="18"/>
      <c r="ADU226" s="18"/>
      <c r="ADV226" s="18"/>
      <c r="ADW226" s="18"/>
      <c r="ADX226" s="18"/>
      <c r="ADY226" s="18"/>
      <c r="ADZ226" s="18"/>
      <c r="AEA226" s="18"/>
      <c r="AEB226" s="18"/>
      <c r="AEC226" s="18"/>
      <c r="AED226" s="18"/>
      <c r="AEE226" s="18"/>
      <c r="AEF226" s="18"/>
      <c r="AEG226" s="18"/>
      <c r="AEH226" s="18"/>
      <c r="AEI226" s="18"/>
      <c r="AEJ226" s="18"/>
      <c r="AEK226" s="18"/>
      <c r="AEL226" s="18"/>
      <c r="AEM226" s="18"/>
      <c r="AEN226" s="18"/>
      <c r="AEO226" s="18"/>
      <c r="AEP226" s="18"/>
      <c r="AEQ226" s="18"/>
      <c r="AER226" s="18"/>
      <c r="AES226" s="18"/>
      <c r="AET226" s="18"/>
      <c r="AEU226" s="18"/>
      <c r="AEV226" s="18"/>
      <c r="AEW226" s="18"/>
      <c r="AEX226" s="18"/>
      <c r="AEY226" s="18"/>
      <c r="AEZ226" s="18"/>
      <c r="AFA226" s="18"/>
      <c r="AFB226" s="18"/>
      <c r="AFC226" s="18"/>
      <c r="AFD226" s="18"/>
      <c r="AFE226" s="18"/>
      <c r="AFF226" s="18"/>
      <c r="AFG226" s="18"/>
      <c r="AFH226" s="18"/>
      <c r="AFI226" s="18"/>
      <c r="AFJ226" s="18"/>
      <c r="AFK226" s="18"/>
      <c r="AFL226" s="18"/>
      <c r="AFM226" s="18"/>
      <c r="AFN226" s="18"/>
      <c r="AFO226" s="18"/>
      <c r="AFP226" s="18"/>
      <c r="AFQ226" s="18"/>
      <c r="AFR226" s="18"/>
      <c r="AFS226" s="18"/>
      <c r="AFT226" s="18"/>
      <c r="AFU226" s="18"/>
      <c r="AFV226" s="18"/>
      <c r="AFW226" s="18"/>
      <c r="AFX226" s="18"/>
      <c r="AFY226" s="18"/>
      <c r="AFZ226" s="18"/>
      <c r="AGA226" s="18"/>
      <c r="AGB226" s="18"/>
      <c r="AGC226" s="18"/>
      <c r="AGD226" s="18"/>
      <c r="AGE226" s="18"/>
      <c r="AGF226" s="18"/>
      <c r="AGG226" s="18"/>
      <c r="AGH226" s="18"/>
      <c r="AGI226" s="18"/>
      <c r="AGJ226" s="18"/>
      <c r="AGK226" s="18"/>
      <c r="AGL226" s="18"/>
      <c r="AGM226" s="18"/>
      <c r="AGN226" s="18"/>
      <c r="AGO226" s="18"/>
      <c r="AGP226" s="18"/>
      <c r="AGQ226" s="18"/>
      <c r="AGR226" s="18"/>
      <c r="AGS226" s="18"/>
      <c r="AGT226" s="18"/>
      <c r="AGU226" s="18"/>
      <c r="AGV226" s="18"/>
      <c r="AGW226" s="18"/>
      <c r="AGX226" s="18"/>
      <c r="AGY226" s="18"/>
      <c r="AGZ226" s="18"/>
      <c r="AHA226" s="18"/>
      <c r="AHB226" s="18"/>
      <c r="AHC226" s="18"/>
      <c r="AHD226" s="18"/>
      <c r="AHE226" s="18"/>
      <c r="AHF226" s="18"/>
      <c r="AHG226" s="18"/>
      <c r="AHH226" s="18"/>
      <c r="AHI226" s="18"/>
      <c r="AHJ226" s="18"/>
      <c r="AHK226" s="18"/>
      <c r="AHL226" s="18"/>
      <c r="AHM226" s="18"/>
      <c r="AHN226" s="18"/>
      <c r="AHO226" s="18"/>
      <c r="AHP226" s="18"/>
      <c r="AHQ226" s="18"/>
      <c r="AHR226" s="18"/>
      <c r="AHS226" s="18"/>
      <c r="AHT226" s="18"/>
      <c r="AHU226" s="18"/>
      <c r="AHV226" s="18"/>
      <c r="AHW226" s="18"/>
      <c r="AHX226" s="18"/>
      <c r="AHY226" s="18"/>
      <c r="AHZ226" s="18"/>
      <c r="AIA226" s="18"/>
      <c r="AIB226" s="18"/>
      <c r="AIC226" s="18"/>
      <c r="AID226" s="18"/>
      <c r="AIE226" s="18"/>
      <c r="AIF226" s="18"/>
      <c r="AIG226" s="18"/>
      <c r="AIH226" s="18"/>
      <c r="AII226" s="18"/>
      <c r="AIJ226" s="18"/>
      <c r="AIK226" s="18"/>
      <c r="AIL226" s="18"/>
      <c r="AIM226" s="18"/>
      <c r="AIN226" s="18"/>
      <c r="AIO226" s="18"/>
      <c r="AIP226" s="18"/>
      <c r="AIQ226" s="18"/>
      <c r="AIR226" s="18"/>
      <c r="AIS226" s="18"/>
      <c r="AIT226" s="18"/>
      <c r="AIU226" s="18"/>
      <c r="AIV226" s="18"/>
      <c r="AIW226" s="18"/>
      <c r="AIX226" s="18"/>
      <c r="AIY226" s="18"/>
      <c r="AIZ226" s="18"/>
      <c r="AJA226" s="18"/>
      <c r="AJB226" s="18"/>
      <c r="AJC226" s="18"/>
      <c r="AJD226" s="18"/>
      <c r="AJE226" s="18"/>
      <c r="AJF226" s="18"/>
      <c r="AJG226" s="18"/>
      <c r="AJH226" s="18"/>
      <c r="AJI226" s="18"/>
      <c r="AJJ226" s="18"/>
      <c r="AJK226" s="18"/>
      <c r="AJL226" s="18"/>
      <c r="AJM226" s="18"/>
      <c r="AJN226" s="18"/>
      <c r="AJO226" s="18"/>
      <c r="AJP226" s="18"/>
      <c r="AJQ226" s="18"/>
      <c r="AJR226" s="18"/>
      <c r="AJS226" s="18"/>
      <c r="AJT226" s="18"/>
      <c r="AJU226" s="18"/>
      <c r="AJV226" s="18"/>
      <c r="AJW226" s="18"/>
      <c r="AJX226" s="18"/>
      <c r="AJY226" s="18"/>
      <c r="AJZ226" s="18"/>
      <c r="AKA226" s="18"/>
      <c r="AKB226" s="18"/>
      <c r="AKC226" s="18"/>
      <c r="AKD226" s="18"/>
      <c r="AKE226" s="18"/>
      <c r="AKF226" s="18"/>
      <c r="AKG226" s="18"/>
      <c r="AKH226" s="18"/>
      <c r="AKI226" s="18"/>
      <c r="AKJ226" s="18"/>
      <c r="AKK226" s="18"/>
      <c r="AKL226" s="18"/>
      <c r="AKM226" s="18"/>
      <c r="AKN226" s="18"/>
      <c r="AKO226" s="18"/>
      <c r="AKP226" s="18"/>
      <c r="AKQ226" s="18"/>
      <c r="AKR226" s="18"/>
      <c r="AKS226" s="18"/>
      <c r="AKT226" s="18"/>
      <c r="AKU226" s="18"/>
      <c r="AKV226" s="18"/>
      <c r="AKW226" s="18"/>
      <c r="AKX226" s="18"/>
      <c r="AKY226" s="18"/>
      <c r="AKZ226" s="18"/>
      <c r="ALA226" s="18"/>
      <c r="ALB226" s="18"/>
      <c r="ALC226" s="18"/>
      <c r="ALD226" s="18"/>
      <c r="ALE226" s="18"/>
      <c r="ALF226" s="18"/>
      <c r="ALG226" s="18"/>
      <c r="ALH226" s="18"/>
      <c r="ALI226" s="18"/>
      <c r="ALJ226" s="18"/>
      <c r="ALK226" s="18"/>
      <c r="ALL226" s="18"/>
      <c r="ALM226" s="18"/>
      <c r="ALN226" s="18"/>
      <c r="ALO226" s="18"/>
      <c r="ALP226" s="18"/>
      <c r="ALQ226" s="18"/>
      <c r="ALR226" s="18"/>
      <c r="ALS226" s="18"/>
      <c r="ALT226" s="18"/>
      <c r="ALU226" s="18"/>
      <c r="ALV226" s="18"/>
      <c r="ALW226" s="18"/>
      <c r="ALX226" s="18"/>
      <c r="ALY226" s="18"/>
      <c r="ALZ226" s="18"/>
      <c r="AMA226" s="18"/>
      <c r="AMB226" s="18"/>
      <c r="AMC226" s="18"/>
      <c r="AMD226" s="18"/>
      <c r="AME226" s="18"/>
      <c r="AMF226" s="18"/>
      <c r="AMG226" s="18"/>
      <c r="AMH226" s="18"/>
      <c r="AMI226" s="18"/>
      <c r="AMJ226" s="18"/>
      <c r="AMK226" s="18"/>
      <c r="AML226" s="18"/>
      <c r="AMM226" s="18"/>
      <c r="AMN226" s="18"/>
      <c r="AMO226" s="18"/>
      <c r="AMP226" s="18"/>
      <c r="AMQ226" s="18"/>
      <c r="AMR226" s="18"/>
      <c r="AMS226" s="18"/>
      <c r="AMT226" s="18"/>
      <c r="AMU226" s="18"/>
      <c r="AMV226" s="18"/>
      <c r="AMW226" s="18"/>
      <c r="AMX226" s="18"/>
      <c r="AMY226" s="18"/>
      <c r="AMZ226" s="18"/>
      <c r="ANA226" s="18"/>
      <c r="ANB226" s="18"/>
      <c r="ANC226" s="18"/>
      <c r="AND226" s="18"/>
      <c r="ANE226" s="18"/>
      <c r="ANF226" s="18"/>
      <c r="ANG226" s="18"/>
      <c r="ANH226" s="18"/>
      <c r="ANI226" s="18"/>
      <c r="ANJ226" s="18"/>
      <c r="ANK226" s="18"/>
      <c r="ANL226" s="18"/>
      <c r="ANM226" s="18"/>
      <c r="ANN226" s="18"/>
      <c r="ANO226" s="18"/>
      <c r="ANP226" s="18"/>
      <c r="ANQ226" s="18"/>
      <c r="ANR226" s="18"/>
      <c r="ANS226" s="18"/>
      <c r="ANT226" s="18"/>
      <c r="ANU226" s="18"/>
      <c r="ANV226" s="18"/>
      <c r="ANW226" s="18"/>
      <c r="ANX226" s="18"/>
      <c r="ANY226" s="18"/>
      <c r="ANZ226" s="18"/>
      <c r="AOA226" s="18"/>
      <c r="AOB226" s="18"/>
      <c r="AOC226" s="18"/>
      <c r="AOD226" s="18"/>
      <c r="AOE226" s="18"/>
      <c r="AOF226" s="18"/>
      <c r="AOG226" s="18"/>
      <c r="AOH226" s="18"/>
      <c r="AOI226" s="18"/>
      <c r="AOJ226" s="18"/>
      <c r="AOK226" s="18"/>
      <c r="AOL226" s="18"/>
      <c r="AOM226" s="18"/>
      <c r="AON226" s="18"/>
      <c r="AOO226" s="18"/>
      <c r="AOP226" s="18"/>
      <c r="AOQ226" s="18"/>
      <c r="AOR226" s="18"/>
      <c r="AOS226" s="18"/>
      <c r="AOT226" s="18"/>
      <c r="AOU226" s="18"/>
      <c r="AOV226" s="18"/>
      <c r="AOW226" s="18"/>
      <c r="AOX226" s="18"/>
      <c r="AOY226" s="18"/>
      <c r="AOZ226" s="18"/>
      <c r="APA226" s="18"/>
      <c r="APB226" s="18"/>
      <c r="APC226" s="18"/>
      <c r="APD226" s="18"/>
      <c r="APE226" s="18"/>
      <c r="APF226" s="18"/>
      <c r="APG226" s="18"/>
      <c r="APH226" s="18"/>
      <c r="API226" s="18"/>
      <c r="APJ226" s="18"/>
      <c r="APK226" s="18"/>
      <c r="APL226" s="18"/>
      <c r="APM226" s="18"/>
      <c r="APN226" s="18"/>
      <c r="APO226" s="18"/>
      <c r="APP226" s="18"/>
      <c r="APQ226" s="18"/>
      <c r="APR226" s="18"/>
      <c r="APS226" s="18"/>
      <c r="APT226" s="18"/>
      <c r="APU226" s="18"/>
      <c r="APV226" s="18"/>
      <c r="APW226" s="18"/>
      <c r="APX226" s="18"/>
      <c r="APY226" s="18"/>
      <c r="APZ226" s="18"/>
      <c r="AQA226" s="18"/>
      <c r="AQB226" s="18"/>
      <c r="AQC226" s="18"/>
      <c r="AQD226" s="18"/>
      <c r="AQE226" s="18"/>
      <c r="AQF226" s="18"/>
      <c r="AQG226" s="18"/>
      <c r="AQH226" s="18"/>
      <c r="AQI226" s="18"/>
      <c r="AQJ226" s="18"/>
      <c r="AQK226" s="18"/>
      <c r="AQL226" s="18"/>
      <c r="AQM226" s="18"/>
      <c r="AQN226" s="18"/>
      <c r="AQO226" s="18"/>
      <c r="AQP226" s="18"/>
      <c r="AQQ226" s="18"/>
      <c r="AQR226" s="18"/>
      <c r="AQS226" s="18"/>
      <c r="AQT226" s="18"/>
      <c r="AQU226" s="18"/>
      <c r="AQV226" s="18"/>
      <c r="AQW226" s="18"/>
      <c r="AQX226" s="18"/>
      <c r="AQY226" s="18"/>
      <c r="AQZ226" s="18"/>
      <c r="ARA226" s="18"/>
      <c r="ARB226" s="18"/>
      <c r="ARC226" s="18"/>
      <c r="ARD226" s="18"/>
      <c r="ARE226" s="18"/>
      <c r="ARF226" s="18"/>
      <c r="ARG226" s="18"/>
      <c r="ARH226" s="18"/>
      <c r="ARI226" s="18"/>
      <c r="ARJ226" s="18"/>
      <c r="ARK226" s="18"/>
      <c r="ARL226" s="18"/>
      <c r="ARM226" s="18"/>
      <c r="ARN226" s="18"/>
      <c r="ARO226" s="18"/>
      <c r="ARP226" s="18"/>
      <c r="ARQ226" s="18"/>
      <c r="ARR226" s="18"/>
      <c r="ARS226" s="18"/>
      <c r="ART226" s="18"/>
      <c r="ARU226" s="18"/>
      <c r="ARV226" s="18"/>
      <c r="ARW226" s="18"/>
      <c r="ARX226" s="18"/>
      <c r="ARY226" s="18"/>
      <c r="ARZ226" s="18"/>
      <c r="ASA226" s="18"/>
      <c r="ASB226" s="18"/>
      <c r="ASC226" s="18"/>
      <c r="ASD226" s="18"/>
      <c r="ASE226" s="18"/>
      <c r="ASF226" s="18"/>
      <c r="ASG226" s="18"/>
      <c r="ASH226" s="18"/>
      <c r="ASI226" s="18"/>
      <c r="ASJ226" s="18"/>
      <c r="ASK226" s="18"/>
      <c r="ASL226" s="18"/>
      <c r="ASM226" s="18"/>
      <c r="ASN226" s="18"/>
      <c r="ASO226" s="18"/>
      <c r="ASP226" s="18"/>
      <c r="ASQ226" s="18"/>
      <c r="ASR226" s="18"/>
      <c r="ASS226" s="18"/>
      <c r="AST226" s="18"/>
      <c r="ASU226" s="18"/>
      <c r="ASV226" s="18"/>
      <c r="ASW226" s="18"/>
      <c r="ASX226" s="18"/>
      <c r="ASY226" s="18"/>
      <c r="ASZ226" s="18"/>
      <c r="ATA226" s="18"/>
      <c r="ATB226" s="18"/>
      <c r="ATC226" s="18"/>
      <c r="ATD226" s="18"/>
      <c r="ATE226" s="18"/>
      <c r="ATF226" s="18"/>
      <c r="ATG226" s="18"/>
      <c r="ATH226" s="18"/>
      <c r="ATI226" s="18"/>
      <c r="ATJ226" s="18"/>
      <c r="ATK226" s="18"/>
      <c r="ATL226" s="18"/>
      <c r="ATM226" s="18"/>
      <c r="ATN226" s="18"/>
      <c r="ATO226" s="18"/>
      <c r="ATP226" s="18"/>
      <c r="ATQ226" s="18"/>
      <c r="ATR226" s="18"/>
      <c r="ATS226" s="18"/>
      <c r="ATT226" s="18"/>
      <c r="ATU226" s="18"/>
      <c r="ATV226" s="18"/>
      <c r="ATW226" s="18"/>
      <c r="ATX226" s="18"/>
      <c r="ATY226" s="18"/>
      <c r="ATZ226" s="18"/>
      <c r="AUA226" s="18"/>
      <c r="AUB226" s="18"/>
      <c r="AUC226" s="18"/>
      <c r="AUD226" s="18"/>
      <c r="AUE226" s="18"/>
      <c r="AUF226" s="18"/>
      <c r="AUG226" s="18"/>
      <c r="AUH226" s="18"/>
      <c r="AUI226" s="18"/>
      <c r="AUJ226" s="18"/>
      <c r="AUK226" s="18"/>
      <c r="AUL226" s="18"/>
      <c r="AUM226" s="18"/>
      <c r="AUN226" s="18"/>
      <c r="AUO226" s="18"/>
      <c r="AUP226" s="18"/>
      <c r="AUQ226" s="18"/>
      <c r="AUR226" s="18"/>
      <c r="AUS226" s="18"/>
      <c r="AUT226" s="18"/>
      <c r="AUU226" s="18"/>
      <c r="AUV226" s="18"/>
      <c r="AUW226" s="18"/>
      <c r="AUX226" s="18"/>
      <c r="AUY226" s="18"/>
      <c r="AUZ226" s="18"/>
      <c r="AVA226" s="18"/>
      <c r="AVB226" s="18"/>
      <c r="AVC226" s="18"/>
      <c r="AVD226" s="18"/>
      <c r="AVE226" s="18"/>
      <c r="AVF226" s="18"/>
      <c r="AVG226" s="18"/>
      <c r="AVH226" s="18"/>
      <c r="AVI226" s="18"/>
      <c r="AVJ226" s="18"/>
      <c r="AVK226" s="18"/>
      <c r="AVL226" s="18"/>
      <c r="AVM226" s="18"/>
      <c r="AVN226" s="18"/>
      <c r="AVO226" s="18"/>
      <c r="AVP226" s="18"/>
      <c r="AVQ226" s="18"/>
      <c r="AVR226" s="18"/>
      <c r="AVS226" s="18"/>
      <c r="AVT226" s="18"/>
      <c r="AVU226" s="18"/>
      <c r="AVV226" s="18"/>
      <c r="AVW226" s="18"/>
      <c r="AVX226" s="18"/>
      <c r="AVY226" s="18"/>
      <c r="AVZ226" s="18"/>
      <c r="AWA226" s="18"/>
      <c r="AWB226" s="18"/>
      <c r="AWC226" s="18"/>
      <c r="AWD226" s="18"/>
      <c r="AWE226" s="18"/>
      <c r="AWF226" s="18"/>
      <c r="AWG226" s="18"/>
      <c r="AWH226" s="18"/>
      <c r="AWI226" s="18"/>
      <c r="AWJ226" s="18"/>
      <c r="AWK226" s="18"/>
      <c r="AWL226" s="18"/>
      <c r="AWM226" s="18"/>
      <c r="AWN226" s="18"/>
      <c r="AWO226" s="18"/>
      <c r="AWP226" s="18"/>
      <c r="AWQ226" s="18"/>
      <c r="AWR226" s="18"/>
      <c r="AWS226" s="18"/>
      <c r="AWT226" s="18"/>
      <c r="AWU226" s="18"/>
      <c r="AWV226" s="18"/>
      <c r="AWW226" s="18"/>
      <c r="AWX226" s="18"/>
      <c r="AWY226" s="18"/>
      <c r="AWZ226" s="18"/>
      <c r="AXA226" s="18"/>
      <c r="AXB226" s="18"/>
      <c r="AXC226" s="18"/>
      <c r="AXD226" s="18"/>
      <c r="AXE226" s="18"/>
      <c r="AXF226" s="18"/>
      <c r="AXG226" s="18"/>
      <c r="AXH226" s="18"/>
      <c r="AXI226" s="18"/>
      <c r="AXJ226" s="18"/>
      <c r="AXK226" s="18"/>
      <c r="AXL226" s="18"/>
      <c r="AXM226" s="18"/>
      <c r="AXN226" s="18"/>
      <c r="AXO226" s="18"/>
      <c r="AXP226" s="18"/>
      <c r="AXQ226" s="18"/>
      <c r="AXR226" s="18"/>
      <c r="AXS226" s="18"/>
      <c r="AXT226" s="18"/>
      <c r="AXU226" s="18"/>
      <c r="AXV226" s="18"/>
      <c r="AXW226" s="18"/>
      <c r="AXX226" s="18"/>
      <c r="AXY226" s="18"/>
      <c r="AXZ226" s="18"/>
      <c r="AYA226" s="18"/>
      <c r="AYB226" s="18"/>
      <c r="AYC226" s="18"/>
      <c r="AYD226" s="18"/>
      <c r="AYE226" s="18"/>
      <c r="AYF226" s="18"/>
      <c r="AYG226" s="18"/>
      <c r="AYH226" s="18"/>
      <c r="AYI226" s="18"/>
      <c r="AYJ226" s="18"/>
      <c r="AYK226" s="18"/>
      <c r="AYL226" s="18"/>
      <c r="AYM226" s="18"/>
      <c r="AYN226" s="18"/>
      <c r="AYO226" s="18"/>
      <c r="AYP226" s="18"/>
      <c r="AYQ226" s="18"/>
      <c r="AYR226" s="18"/>
      <c r="AYS226" s="18"/>
      <c r="AYT226" s="18"/>
      <c r="AYU226" s="18"/>
      <c r="AYV226" s="18"/>
      <c r="AYW226" s="18"/>
      <c r="AYX226" s="18"/>
      <c r="AYY226" s="18"/>
      <c r="AYZ226" s="18"/>
      <c r="AZA226" s="18"/>
      <c r="AZB226" s="18"/>
      <c r="AZC226" s="18"/>
      <c r="AZD226" s="18"/>
      <c r="AZE226" s="18"/>
      <c r="AZF226" s="18"/>
      <c r="AZG226" s="18"/>
      <c r="AZH226" s="18"/>
      <c r="AZI226" s="18"/>
      <c r="AZJ226" s="18"/>
      <c r="AZK226" s="18"/>
      <c r="AZL226" s="18"/>
      <c r="AZM226" s="18"/>
      <c r="AZN226" s="18"/>
      <c r="AZO226" s="18"/>
      <c r="AZP226" s="18"/>
      <c r="AZQ226" s="18"/>
      <c r="AZR226" s="18"/>
      <c r="AZS226" s="18"/>
      <c r="AZT226" s="18"/>
      <c r="AZU226" s="18"/>
      <c r="AZV226" s="18"/>
      <c r="AZW226" s="18"/>
      <c r="AZX226" s="18"/>
      <c r="AZY226" s="18"/>
      <c r="AZZ226" s="18"/>
      <c r="BAA226" s="18"/>
      <c r="BAB226" s="18"/>
      <c r="BAC226" s="18"/>
      <c r="BAD226" s="18"/>
      <c r="BAE226" s="18"/>
      <c r="BAF226" s="18"/>
      <c r="BAG226" s="18"/>
      <c r="BAH226" s="18"/>
      <c r="BAI226" s="18"/>
      <c r="BAJ226" s="18"/>
      <c r="BAK226" s="18"/>
      <c r="BAL226" s="18"/>
      <c r="BAM226" s="18"/>
      <c r="BAN226" s="18"/>
      <c r="BAO226" s="18"/>
      <c r="BAP226" s="18"/>
      <c r="BAQ226" s="18"/>
      <c r="BAR226" s="18"/>
      <c r="BAS226" s="18"/>
      <c r="BAT226" s="18"/>
      <c r="BAU226" s="18"/>
      <c r="BAV226" s="18"/>
      <c r="BAW226" s="18"/>
      <c r="BAX226" s="18"/>
      <c r="BAY226" s="18"/>
      <c r="BAZ226" s="18"/>
      <c r="BBA226" s="18"/>
      <c r="BBB226" s="18"/>
      <c r="BBC226" s="18"/>
      <c r="BBD226" s="18"/>
      <c r="BBE226" s="18"/>
      <c r="BBF226" s="18"/>
      <c r="BBG226" s="18"/>
      <c r="BBH226" s="18"/>
      <c r="BBI226" s="18"/>
      <c r="BBJ226" s="18"/>
      <c r="BBK226" s="18"/>
      <c r="BBL226" s="18"/>
      <c r="BBM226" s="18"/>
      <c r="BBN226" s="18"/>
      <c r="BBO226" s="18"/>
      <c r="BBP226" s="18"/>
      <c r="BBQ226" s="18"/>
      <c r="BBR226" s="18"/>
      <c r="BBS226" s="18"/>
      <c r="BBT226" s="18"/>
      <c r="BBU226" s="18"/>
      <c r="BBV226" s="18"/>
      <c r="BBW226" s="18"/>
      <c r="BBX226" s="18"/>
      <c r="BBY226" s="18"/>
      <c r="BBZ226" s="18"/>
      <c r="BCA226" s="18"/>
      <c r="BCB226" s="18"/>
      <c r="BCC226" s="18"/>
      <c r="BCD226" s="18"/>
      <c r="BCE226" s="18"/>
      <c r="BCF226" s="18"/>
      <c r="BCG226" s="18"/>
      <c r="BCH226" s="18"/>
      <c r="BCI226" s="18"/>
      <c r="BCJ226" s="18"/>
      <c r="BCK226" s="18"/>
      <c r="BCL226" s="18"/>
      <c r="BCM226" s="18"/>
      <c r="BCN226" s="18"/>
      <c r="BCO226" s="18"/>
      <c r="BCP226" s="18"/>
      <c r="BCQ226" s="18"/>
      <c r="BCR226" s="18"/>
      <c r="BCS226" s="18"/>
      <c r="BCT226" s="18"/>
      <c r="BCU226" s="18"/>
      <c r="BCV226" s="18"/>
      <c r="BCW226" s="18"/>
      <c r="BCX226" s="18"/>
      <c r="BCY226" s="18"/>
      <c r="BCZ226" s="18"/>
      <c r="BDA226" s="18"/>
      <c r="BDB226" s="18"/>
      <c r="BDC226" s="18"/>
      <c r="BDD226" s="18"/>
      <c r="BDE226" s="18"/>
      <c r="BDF226" s="18"/>
      <c r="BDG226" s="18"/>
      <c r="BDH226" s="18"/>
      <c r="BDI226" s="18"/>
      <c r="BDJ226" s="18"/>
      <c r="BDK226" s="18"/>
      <c r="BDL226" s="18"/>
      <c r="BDM226" s="18"/>
      <c r="BDN226" s="18"/>
      <c r="BDO226" s="18"/>
      <c r="BDP226" s="18"/>
      <c r="BDQ226" s="18"/>
      <c r="BDR226" s="18"/>
      <c r="BDS226" s="18"/>
      <c r="BDT226" s="18"/>
      <c r="BDU226" s="18"/>
      <c r="BDV226" s="18"/>
      <c r="BDW226" s="18"/>
      <c r="BDX226" s="18"/>
      <c r="BDY226" s="18"/>
      <c r="BDZ226" s="18"/>
      <c r="BEA226" s="18"/>
      <c r="BEB226" s="18"/>
      <c r="BEC226" s="18"/>
      <c r="BED226" s="18"/>
      <c r="BEE226" s="18"/>
      <c r="BEF226" s="18"/>
      <c r="BEG226" s="18"/>
      <c r="BEH226" s="18"/>
      <c r="BEI226" s="18"/>
      <c r="BEJ226" s="18"/>
      <c r="BEK226" s="18"/>
      <c r="BEL226" s="18"/>
      <c r="BEM226" s="18"/>
      <c r="BEN226" s="18"/>
      <c r="BEO226" s="18"/>
      <c r="BEP226" s="18"/>
      <c r="BEQ226" s="18"/>
      <c r="BER226" s="18"/>
      <c r="BES226" s="18"/>
      <c r="BET226" s="18"/>
      <c r="BEU226" s="18"/>
      <c r="BEV226" s="18"/>
      <c r="BEW226" s="18"/>
      <c r="BEX226" s="18"/>
      <c r="BEY226" s="18"/>
      <c r="BEZ226" s="18"/>
      <c r="BFA226" s="18"/>
      <c r="BFB226" s="18"/>
      <c r="BFC226" s="18"/>
      <c r="BFD226" s="18"/>
      <c r="BFE226" s="18"/>
      <c r="BFF226" s="18"/>
      <c r="BFG226" s="18"/>
      <c r="BFH226" s="18"/>
      <c r="BFI226" s="18"/>
      <c r="BFJ226" s="18"/>
      <c r="BFK226" s="18"/>
      <c r="BFL226" s="18"/>
      <c r="BFM226" s="18"/>
      <c r="BFN226" s="18"/>
      <c r="BFO226" s="18"/>
      <c r="BFP226" s="18"/>
      <c r="BFQ226" s="18"/>
      <c r="BFR226" s="18"/>
      <c r="BFS226" s="18"/>
      <c r="BFT226" s="18"/>
      <c r="BFU226" s="18"/>
      <c r="BFV226" s="18"/>
      <c r="BFW226" s="18"/>
      <c r="BFX226" s="18"/>
      <c r="BFY226" s="18"/>
      <c r="BFZ226" s="18"/>
      <c r="BGA226" s="18"/>
      <c r="BGB226" s="18"/>
      <c r="BGC226" s="18"/>
      <c r="BGD226" s="18"/>
      <c r="BGE226" s="18"/>
      <c r="BGF226" s="18"/>
      <c r="BGG226" s="18"/>
      <c r="BGH226" s="18"/>
      <c r="BGI226" s="18"/>
      <c r="BGJ226" s="18"/>
      <c r="BGK226" s="18"/>
      <c r="BGL226" s="18"/>
      <c r="BGM226" s="18"/>
      <c r="BGN226" s="18"/>
      <c r="BGO226" s="18"/>
      <c r="BGP226" s="18"/>
      <c r="BGQ226" s="18"/>
      <c r="BGR226" s="18"/>
      <c r="BGS226" s="18"/>
      <c r="BGT226" s="18"/>
      <c r="BGU226" s="18"/>
      <c r="BGV226" s="18"/>
      <c r="BGW226" s="18"/>
      <c r="BGX226" s="18"/>
      <c r="BGY226" s="18"/>
      <c r="BGZ226" s="18"/>
      <c r="BHA226" s="18"/>
      <c r="BHB226" s="18"/>
      <c r="BHC226" s="18"/>
      <c r="BHD226" s="18"/>
      <c r="BHE226" s="18"/>
      <c r="BHF226" s="18"/>
      <c r="BHG226" s="18"/>
      <c r="BHH226" s="18"/>
      <c r="BHI226" s="18"/>
      <c r="BHJ226" s="18"/>
      <c r="BHK226" s="18"/>
      <c r="BHL226" s="18"/>
      <c r="BHM226" s="18"/>
      <c r="BHN226" s="18"/>
      <c r="BHO226" s="18"/>
      <c r="BHP226" s="18"/>
      <c r="BHQ226" s="18"/>
      <c r="BHR226" s="18"/>
      <c r="BHS226" s="18"/>
      <c r="BHT226" s="18"/>
      <c r="BHU226" s="18"/>
      <c r="BHV226" s="18"/>
      <c r="BHW226" s="18"/>
      <c r="BHX226" s="18"/>
      <c r="BHY226" s="18"/>
      <c r="BHZ226" s="18"/>
      <c r="BIA226" s="18"/>
      <c r="BIB226" s="18"/>
      <c r="BIC226" s="18"/>
      <c r="BID226" s="18"/>
      <c r="BIE226" s="18"/>
      <c r="BIF226" s="18"/>
      <c r="BIG226" s="18"/>
      <c r="BIH226" s="18"/>
      <c r="BII226" s="18"/>
      <c r="BIJ226" s="18"/>
      <c r="BIK226" s="18"/>
      <c r="BIL226" s="18"/>
      <c r="BIM226" s="18"/>
      <c r="BIN226" s="18"/>
      <c r="BIO226" s="18"/>
      <c r="BIP226" s="18"/>
      <c r="BIQ226" s="18"/>
      <c r="BIR226" s="18"/>
      <c r="BIS226" s="18"/>
      <c r="BIT226" s="18"/>
      <c r="BIU226" s="18"/>
      <c r="BIV226" s="18"/>
      <c r="BIW226" s="18"/>
      <c r="BIX226" s="18"/>
      <c r="BIY226" s="18"/>
      <c r="BIZ226" s="18"/>
      <c r="BJA226" s="18"/>
      <c r="BJB226" s="18"/>
      <c r="BJC226" s="18"/>
      <c r="BJD226" s="18"/>
      <c r="BJE226" s="18"/>
      <c r="BJF226" s="18"/>
      <c r="BJG226" s="18"/>
      <c r="BJH226" s="18"/>
      <c r="BJI226" s="18"/>
      <c r="BJJ226" s="18"/>
      <c r="BJK226" s="18"/>
      <c r="BJL226" s="18"/>
      <c r="BJM226" s="18"/>
      <c r="BJN226" s="18"/>
      <c r="BJO226" s="18"/>
      <c r="BJP226" s="18"/>
      <c r="BJQ226" s="18"/>
      <c r="BJR226" s="18"/>
      <c r="BJS226" s="18"/>
      <c r="BJT226" s="18"/>
      <c r="BJU226" s="18"/>
      <c r="BJV226" s="18"/>
      <c r="BJW226" s="18"/>
      <c r="BJX226" s="18"/>
      <c r="BJY226" s="18"/>
      <c r="BJZ226" s="18"/>
      <c r="BKA226" s="18"/>
      <c r="BKB226" s="18"/>
      <c r="BKC226" s="18"/>
      <c r="BKD226" s="18"/>
      <c r="BKE226" s="18"/>
      <c r="BKF226" s="18"/>
      <c r="BKG226" s="18"/>
      <c r="BKH226" s="18"/>
      <c r="BKI226" s="18"/>
      <c r="BKJ226" s="18"/>
      <c r="BKK226" s="18"/>
      <c r="BKL226" s="18"/>
      <c r="BKM226" s="18"/>
      <c r="BKN226" s="18"/>
      <c r="BKO226" s="18"/>
      <c r="BKP226" s="18"/>
      <c r="BKQ226" s="18"/>
      <c r="BKR226" s="18"/>
      <c r="BKS226" s="18"/>
      <c r="BKT226" s="18"/>
      <c r="BKU226" s="18"/>
      <c r="BKV226" s="18"/>
      <c r="BKW226" s="18"/>
      <c r="BKX226" s="18"/>
      <c r="BKY226" s="18"/>
      <c r="BKZ226" s="18"/>
      <c r="BLA226" s="18"/>
      <c r="BLB226" s="18"/>
      <c r="BLC226" s="18"/>
      <c r="BLD226" s="18"/>
      <c r="BLE226" s="18"/>
      <c r="BLF226" s="18"/>
      <c r="BLG226" s="18"/>
      <c r="BLH226" s="18"/>
      <c r="BLI226" s="18"/>
      <c r="BLJ226" s="18"/>
      <c r="BLK226" s="18"/>
      <c r="BLL226" s="18"/>
      <c r="BLM226" s="18"/>
      <c r="BLN226" s="18"/>
      <c r="BLO226" s="18"/>
      <c r="BLP226" s="18"/>
      <c r="BLQ226" s="18"/>
      <c r="BLR226" s="18"/>
      <c r="BLS226" s="18"/>
      <c r="BLT226" s="18"/>
      <c r="BLU226" s="18"/>
      <c r="BLV226" s="18"/>
      <c r="BLW226" s="18"/>
      <c r="BLX226" s="18"/>
      <c r="BLY226" s="18"/>
      <c r="BLZ226" s="18"/>
      <c r="BMA226" s="18"/>
      <c r="BMB226" s="18"/>
      <c r="BMC226" s="18"/>
      <c r="BMD226" s="18"/>
      <c r="BME226" s="18"/>
      <c r="BMF226" s="18"/>
      <c r="BMG226" s="18"/>
      <c r="BMH226" s="18"/>
      <c r="BMI226" s="18"/>
      <c r="BMJ226" s="18"/>
      <c r="BMK226" s="18"/>
      <c r="BML226" s="18"/>
      <c r="BMM226" s="18"/>
      <c r="BMN226" s="18"/>
      <c r="BMO226" s="18"/>
      <c r="BMP226" s="18"/>
      <c r="BMQ226" s="18"/>
      <c r="BMR226" s="18"/>
      <c r="BMS226" s="18"/>
      <c r="BMT226" s="18"/>
      <c r="BMU226" s="18"/>
      <c r="BMV226" s="18"/>
      <c r="BMW226" s="18"/>
      <c r="BMX226" s="18"/>
      <c r="BMY226" s="18"/>
      <c r="BMZ226" s="18"/>
      <c r="BNA226" s="18"/>
      <c r="BNB226" s="18"/>
      <c r="BNC226" s="18"/>
      <c r="BND226" s="18"/>
      <c r="BNE226" s="18"/>
      <c r="BNF226" s="18"/>
      <c r="BNG226" s="18"/>
      <c r="BNH226" s="18"/>
      <c r="BNI226" s="18"/>
      <c r="BNJ226" s="18"/>
      <c r="BNK226" s="18"/>
      <c r="BNL226" s="18"/>
      <c r="BNM226" s="18"/>
      <c r="BNN226" s="18"/>
      <c r="BNO226" s="18"/>
      <c r="BNP226" s="18"/>
      <c r="BNQ226" s="18"/>
      <c r="BNR226" s="18"/>
      <c r="BNS226" s="18"/>
      <c r="BNT226" s="18"/>
      <c r="BNU226" s="18"/>
      <c r="BNV226" s="18"/>
      <c r="BNW226" s="18"/>
      <c r="BNX226" s="18"/>
      <c r="BNY226" s="18"/>
      <c r="BNZ226" s="18"/>
      <c r="BOA226" s="18"/>
      <c r="BOB226" s="18"/>
      <c r="BOC226" s="18"/>
      <c r="BOD226" s="18"/>
      <c r="BOE226" s="18"/>
      <c r="BOF226" s="18"/>
      <c r="BOG226" s="18"/>
      <c r="BOH226" s="18"/>
      <c r="BOI226" s="18"/>
      <c r="BOJ226" s="18"/>
      <c r="BOK226" s="18"/>
      <c r="BOL226" s="18"/>
      <c r="BOM226" s="18"/>
      <c r="BON226" s="18"/>
      <c r="BOO226" s="18"/>
      <c r="BOP226" s="18"/>
      <c r="BOQ226" s="18"/>
      <c r="BOR226" s="18"/>
      <c r="BOS226" s="18"/>
      <c r="BOT226" s="18"/>
      <c r="BOU226" s="18"/>
      <c r="BOV226" s="18"/>
      <c r="BOW226" s="18"/>
      <c r="BOX226" s="18"/>
      <c r="BOY226" s="18"/>
      <c r="BOZ226" s="18"/>
      <c r="BPA226" s="18"/>
      <c r="BPB226" s="18"/>
      <c r="BPC226" s="18"/>
      <c r="BPD226" s="18"/>
      <c r="BPE226" s="18"/>
      <c r="BPF226" s="18"/>
      <c r="BPG226" s="18"/>
      <c r="BPH226" s="18"/>
      <c r="BPI226" s="18"/>
      <c r="BPJ226" s="18"/>
      <c r="BPK226" s="18"/>
      <c r="BPL226" s="18"/>
      <c r="BPM226" s="18"/>
      <c r="BPN226" s="18"/>
      <c r="BPO226" s="18"/>
      <c r="BPP226" s="18"/>
      <c r="BPQ226" s="18"/>
      <c r="BPR226" s="18"/>
      <c r="BPS226" s="18"/>
      <c r="BPT226" s="18"/>
      <c r="BPU226" s="18"/>
      <c r="BPV226" s="18"/>
      <c r="BPW226" s="18"/>
      <c r="BPX226" s="18"/>
      <c r="BPY226" s="18"/>
      <c r="BPZ226" s="18"/>
      <c r="BQA226" s="18"/>
      <c r="BQB226" s="18"/>
      <c r="BQC226" s="18"/>
      <c r="BQD226" s="18"/>
      <c r="BQE226" s="18"/>
      <c r="BQF226" s="18"/>
      <c r="BQG226" s="18"/>
      <c r="BQH226" s="18"/>
      <c r="BQI226" s="18"/>
      <c r="BQJ226" s="18"/>
      <c r="BQK226" s="18"/>
      <c r="BQL226" s="18"/>
      <c r="BQM226" s="18"/>
      <c r="BQN226" s="18"/>
      <c r="BQO226" s="18"/>
      <c r="BQP226" s="18"/>
      <c r="BQQ226" s="18"/>
      <c r="BQR226" s="18"/>
      <c r="BQS226" s="18"/>
      <c r="BQT226" s="18"/>
      <c r="BQU226" s="18"/>
      <c r="BQV226" s="18"/>
      <c r="BQW226" s="18"/>
      <c r="BQX226" s="18"/>
      <c r="BQY226" s="18"/>
      <c r="BQZ226" s="18"/>
      <c r="BRA226" s="18"/>
      <c r="BRB226" s="18"/>
      <c r="BRC226" s="18"/>
      <c r="BRD226" s="18"/>
      <c r="BRE226" s="18"/>
      <c r="BRF226" s="18"/>
      <c r="BRG226" s="18"/>
      <c r="BRH226" s="18"/>
      <c r="BRI226" s="18"/>
      <c r="BRJ226" s="18"/>
      <c r="BRK226" s="18"/>
      <c r="BRL226" s="18"/>
      <c r="BRM226" s="18"/>
      <c r="BRN226" s="18"/>
      <c r="BRO226" s="18"/>
      <c r="BRP226" s="18"/>
      <c r="BRQ226" s="18"/>
      <c r="BRR226" s="18"/>
      <c r="BRS226" s="18"/>
      <c r="BRT226" s="18"/>
      <c r="BRU226" s="18"/>
      <c r="BRV226" s="18"/>
      <c r="BRW226" s="18"/>
      <c r="BRX226" s="18"/>
      <c r="BRY226" s="18"/>
      <c r="BRZ226" s="18"/>
      <c r="BSA226" s="18"/>
      <c r="BSB226" s="18"/>
      <c r="BSC226" s="18"/>
      <c r="BSD226" s="18"/>
      <c r="BSE226" s="18"/>
      <c r="BSF226" s="18"/>
      <c r="BSG226" s="18"/>
      <c r="BSH226" s="18"/>
      <c r="BSI226" s="18"/>
      <c r="BSJ226" s="18"/>
      <c r="BSK226" s="18"/>
      <c r="BSL226" s="18"/>
      <c r="BSM226" s="18"/>
      <c r="BSN226" s="18"/>
      <c r="BSO226" s="18"/>
      <c r="BSP226" s="18"/>
      <c r="BSQ226" s="18"/>
      <c r="BSR226" s="18"/>
      <c r="BSS226" s="18"/>
      <c r="BST226" s="18"/>
      <c r="BSU226" s="18"/>
      <c r="BSV226" s="18"/>
      <c r="BSW226" s="18"/>
      <c r="BSX226" s="18"/>
      <c r="BSY226" s="18"/>
      <c r="BSZ226" s="18"/>
      <c r="BTA226" s="18"/>
      <c r="BTB226" s="18"/>
      <c r="BTC226" s="18"/>
      <c r="BTD226" s="18"/>
      <c r="BTE226" s="18"/>
      <c r="BTF226" s="18"/>
      <c r="BTG226" s="18"/>
      <c r="BTH226" s="18"/>
      <c r="BTI226" s="18"/>
    </row>
    <row r="227" spans="1:1881" s="428" customFormat="1" ht="53.25" customHeight="1" x14ac:dyDescent="0.3">
      <c r="A227" s="100">
        <v>599</v>
      </c>
      <c r="B227" s="375" t="s">
        <v>58</v>
      </c>
      <c r="C227" s="375" t="s">
        <v>287</v>
      </c>
      <c r="D227" s="26" t="s">
        <v>341</v>
      </c>
      <c r="E227" s="373" t="e">
        <f>INDEX('PY1 Data(H)'!$A$1:$CZ$265,MATCH('Unit Data from Audit Worksheet'!$A227,'PY1 Data(H)'!$A$1:$A$258,0),MATCH('Unit Data from Audit Worksheet'!$D$2,'PY1 Data(H)'!$A$1:$CZ$1,0))</f>
        <v>#N/A</v>
      </c>
      <c r="F227" s="816">
        <v>0</v>
      </c>
      <c r="G227" s="432" t="str">
        <f>IF(ISBLANK(F227),"Please do not leave blank","")</f>
        <v/>
      </c>
      <c r="H227" s="403">
        <f>IF(F227&lt;0,"Error: Enter as positive.",)</f>
        <v>0</v>
      </c>
      <c r="I227" s="72"/>
      <c r="J227" s="72"/>
      <c r="K227"/>
      <c r="L227" s="550"/>
      <c r="M227"/>
      <c r="N227" s="18"/>
      <c r="O227" s="187"/>
      <c r="P227" s="18"/>
      <c r="Q227" s="18"/>
      <c r="R227" s="18"/>
      <c r="S227" s="18"/>
      <c r="T227" s="18"/>
      <c r="U227" s="18"/>
      <c r="V227" s="18"/>
      <c r="W227" s="18"/>
      <c r="X227" s="18"/>
      <c r="Y227" s="18"/>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c r="GQ227" s="18"/>
      <c r="GR227" s="18"/>
      <c r="GS227" s="18"/>
      <c r="GT227" s="18"/>
      <c r="GU227" s="18"/>
      <c r="GV227" s="18"/>
      <c r="GW227" s="18"/>
      <c r="GX227" s="18"/>
      <c r="GY227" s="18"/>
      <c r="GZ227" s="18"/>
      <c r="HA227" s="18"/>
      <c r="HB227" s="18"/>
      <c r="HC227" s="18"/>
      <c r="HD227" s="18"/>
      <c r="HE227" s="18"/>
      <c r="HF227" s="18"/>
      <c r="HG227" s="18"/>
      <c r="HH227" s="18"/>
      <c r="HI227" s="18"/>
      <c r="HJ227" s="18"/>
      <c r="HK227" s="18"/>
      <c r="HL227" s="18"/>
      <c r="HM227" s="18"/>
      <c r="HN227" s="18"/>
      <c r="HO227" s="18"/>
      <c r="HP227" s="18"/>
      <c r="HQ227" s="18"/>
      <c r="HR227" s="18"/>
      <c r="HS227" s="18"/>
      <c r="HT227" s="18"/>
      <c r="HU227" s="18"/>
      <c r="HV227" s="18"/>
      <c r="HW227" s="18"/>
      <c r="HX227" s="18"/>
      <c r="HY227" s="18"/>
      <c r="HZ227" s="18"/>
      <c r="IA227" s="18"/>
      <c r="IB227" s="18"/>
      <c r="IC227" s="18"/>
      <c r="ID227" s="18"/>
      <c r="IE227" s="18"/>
      <c r="IF227" s="18"/>
      <c r="IG227" s="18"/>
      <c r="IH227" s="18"/>
      <c r="II227" s="18"/>
      <c r="IJ227" s="18"/>
      <c r="IK227" s="18"/>
      <c r="IL227" s="18"/>
      <c r="IM227" s="18"/>
      <c r="IN227" s="18"/>
      <c r="IO227" s="18"/>
      <c r="IP227" s="18"/>
      <c r="IQ227" s="18"/>
      <c r="IR227" s="18"/>
      <c r="IS227" s="18"/>
      <c r="IT227" s="18"/>
      <c r="IU227" s="18"/>
      <c r="IV227" s="18"/>
      <c r="IW227" s="18"/>
      <c r="IX227" s="18"/>
      <c r="IY227" s="18"/>
      <c r="IZ227" s="18"/>
      <c r="JA227" s="18"/>
      <c r="JB227" s="18"/>
      <c r="JC227" s="18"/>
      <c r="JD227" s="18"/>
      <c r="JE227" s="18"/>
      <c r="JF227" s="18"/>
      <c r="JG227" s="18"/>
      <c r="JH227" s="18"/>
      <c r="JI227" s="18"/>
      <c r="JJ227" s="18"/>
      <c r="JK227" s="18"/>
      <c r="JL227" s="18"/>
      <c r="JM227" s="18"/>
      <c r="JN227" s="18"/>
      <c r="JO227" s="18"/>
      <c r="JP227" s="18"/>
      <c r="JQ227" s="18"/>
      <c r="JR227" s="18"/>
      <c r="JS227" s="18"/>
      <c r="JT227" s="18"/>
      <c r="JU227" s="18"/>
      <c r="JV227" s="18"/>
      <c r="JW227" s="18"/>
      <c r="JX227" s="18"/>
      <c r="JY227" s="18"/>
      <c r="JZ227" s="18"/>
      <c r="KA227" s="18"/>
      <c r="KB227" s="18"/>
      <c r="KC227" s="18"/>
      <c r="KD227" s="18"/>
      <c r="KE227" s="18"/>
      <c r="KF227" s="18"/>
      <c r="KG227" s="18"/>
      <c r="KH227" s="18"/>
      <c r="KI227" s="18"/>
      <c r="KJ227" s="18"/>
      <c r="KK227" s="18"/>
      <c r="KL227" s="18"/>
      <c r="KM227" s="18"/>
      <c r="KN227" s="18"/>
      <c r="KO227" s="18"/>
      <c r="KP227" s="18"/>
      <c r="KQ227" s="18"/>
      <c r="KR227" s="18"/>
      <c r="KS227" s="18"/>
      <c r="KT227" s="18"/>
      <c r="KU227" s="18"/>
      <c r="KV227" s="18"/>
      <c r="KW227" s="18"/>
      <c r="KX227" s="18"/>
      <c r="KY227" s="18"/>
      <c r="KZ227" s="18"/>
      <c r="LA227" s="18"/>
      <c r="LB227" s="18"/>
      <c r="LC227" s="18"/>
      <c r="LD227" s="18"/>
      <c r="LE227" s="18"/>
      <c r="LF227" s="18"/>
      <c r="LG227" s="18"/>
      <c r="LH227" s="18"/>
      <c r="LI227" s="18"/>
      <c r="LJ227" s="18"/>
      <c r="LK227" s="18"/>
      <c r="LL227" s="18"/>
      <c r="LM227" s="18"/>
      <c r="LN227" s="18"/>
      <c r="LO227" s="18"/>
      <c r="LP227" s="18"/>
      <c r="LQ227" s="18"/>
      <c r="LR227" s="18"/>
      <c r="LS227" s="18"/>
      <c r="LT227" s="18"/>
      <c r="LU227" s="18"/>
      <c r="LV227" s="18"/>
      <c r="LW227" s="18"/>
      <c r="LX227" s="18"/>
      <c r="LY227" s="18"/>
      <c r="LZ227" s="18"/>
      <c r="MA227" s="18"/>
      <c r="MB227" s="18"/>
      <c r="MC227" s="18"/>
      <c r="MD227" s="18"/>
      <c r="ME227" s="18"/>
      <c r="MF227" s="18"/>
      <c r="MG227" s="18"/>
      <c r="MH227" s="18"/>
      <c r="MI227" s="18"/>
      <c r="MJ227" s="18"/>
      <c r="MK227" s="18"/>
      <c r="ML227" s="18"/>
      <c r="MM227" s="18"/>
      <c r="MN227" s="18"/>
      <c r="MO227" s="18"/>
      <c r="MP227" s="18"/>
      <c r="MQ227" s="18"/>
      <c r="MR227" s="18"/>
      <c r="MS227" s="18"/>
      <c r="MT227" s="18"/>
      <c r="MU227" s="18"/>
      <c r="MV227" s="18"/>
      <c r="MW227" s="18"/>
      <c r="MX227" s="18"/>
      <c r="MY227" s="18"/>
      <c r="MZ227" s="18"/>
      <c r="NA227" s="18"/>
      <c r="NB227" s="18"/>
      <c r="NC227" s="18"/>
      <c r="ND227" s="18"/>
      <c r="NE227" s="18"/>
      <c r="NF227" s="18"/>
      <c r="NG227" s="18"/>
      <c r="NH227" s="18"/>
      <c r="NI227" s="18"/>
      <c r="NJ227" s="18"/>
      <c r="NK227" s="18"/>
      <c r="NL227" s="18"/>
      <c r="NM227" s="18"/>
      <c r="NN227" s="18"/>
      <c r="NO227" s="18"/>
      <c r="NP227" s="18"/>
      <c r="NQ227" s="18"/>
      <c r="NR227" s="18"/>
      <c r="NS227" s="18"/>
      <c r="NT227" s="18"/>
      <c r="NU227" s="18"/>
      <c r="NV227" s="18"/>
      <c r="NW227" s="18"/>
      <c r="NX227" s="18"/>
      <c r="NY227" s="18"/>
      <c r="NZ227" s="18"/>
      <c r="OA227" s="18"/>
      <c r="OB227" s="18"/>
      <c r="OC227" s="18"/>
      <c r="OD227" s="18"/>
      <c r="OE227" s="18"/>
      <c r="OF227" s="18"/>
      <c r="OG227" s="18"/>
      <c r="OH227" s="18"/>
      <c r="OI227" s="18"/>
      <c r="OJ227" s="18"/>
      <c r="OK227" s="18"/>
      <c r="OL227" s="18"/>
      <c r="OM227" s="18"/>
      <c r="ON227" s="18"/>
      <c r="OO227" s="18"/>
      <c r="OP227" s="18"/>
      <c r="OQ227" s="18"/>
      <c r="OR227" s="18"/>
      <c r="OS227" s="18"/>
      <c r="OT227" s="18"/>
      <c r="OU227" s="18"/>
      <c r="OV227" s="18"/>
      <c r="OW227" s="18"/>
      <c r="OX227" s="18"/>
      <c r="OY227" s="18"/>
      <c r="OZ227" s="18"/>
      <c r="PA227" s="18"/>
      <c r="PB227" s="18"/>
      <c r="PC227" s="18"/>
      <c r="PD227" s="18"/>
      <c r="PE227" s="18"/>
      <c r="PF227" s="18"/>
      <c r="PG227" s="18"/>
      <c r="PH227" s="18"/>
      <c r="PI227" s="18"/>
      <c r="PJ227" s="18"/>
      <c r="PK227" s="18"/>
      <c r="PL227" s="18"/>
      <c r="PM227" s="18"/>
      <c r="PN227" s="18"/>
      <c r="PO227" s="18"/>
      <c r="PP227" s="18"/>
      <c r="PQ227" s="18"/>
      <c r="PR227" s="18"/>
      <c r="PS227" s="18"/>
      <c r="PT227" s="18"/>
      <c r="PU227" s="18"/>
      <c r="PV227" s="18"/>
      <c r="PW227" s="18"/>
      <c r="PX227" s="18"/>
      <c r="PY227" s="18"/>
      <c r="PZ227" s="18"/>
      <c r="QA227" s="18"/>
      <c r="QB227" s="18"/>
      <c r="QC227" s="18"/>
      <c r="QD227" s="18"/>
      <c r="QE227" s="18"/>
      <c r="QF227" s="18"/>
      <c r="QG227" s="18"/>
      <c r="QH227" s="18"/>
      <c r="QI227" s="18"/>
      <c r="QJ227" s="18"/>
      <c r="QK227" s="18"/>
      <c r="QL227" s="18"/>
      <c r="QM227" s="18"/>
      <c r="QN227" s="18"/>
      <c r="QO227" s="18"/>
      <c r="QP227" s="18"/>
      <c r="QQ227" s="18"/>
      <c r="QR227" s="18"/>
      <c r="QS227" s="18"/>
      <c r="QT227" s="18"/>
      <c r="QU227" s="18"/>
      <c r="QV227" s="18"/>
      <c r="QW227" s="18"/>
      <c r="QX227" s="18"/>
      <c r="QY227" s="18"/>
      <c r="QZ227" s="18"/>
      <c r="RA227" s="18"/>
      <c r="RB227" s="18"/>
      <c r="RC227" s="18"/>
      <c r="RD227" s="18"/>
      <c r="RE227" s="18"/>
      <c r="RF227" s="18"/>
      <c r="RG227" s="18"/>
      <c r="RH227" s="18"/>
      <c r="RI227" s="18"/>
      <c r="RJ227" s="18"/>
      <c r="RK227" s="18"/>
      <c r="RL227" s="18"/>
      <c r="RM227" s="18"/>
      <c r="RN227" s="18"/>
      <c r="RO227" s="18"/>
      <c r="RP227" s="18"/>
      <c r="RQ227" s="18"/>
      <c r="RR227" s="18"/>
      <c r="RS227" s="18"/>
      <c r="RT227" s="18"/>
      <c r="RU227" s="18"/>
      <c r="RV227" s="18"/>
      <c r="RW227" s="18"/>
      <c r="RX227" s="18"/>
      <c r="RY227" s="18"/>
      <c r="RZ227" s="18"/>
      <c r="SA227" s="18"/>
      <c r="SB227" s="18"/>
      <c r="SC227" s="18"/>
      <c r="SD227" s="18"/>
      <c r="SE227" s="18"/>
      <c r="SF227" s="18"/>
      <c r="SG227" s="18"/>
      <c r="SH227" s="18"/>
      <c r="SI227" s="18"/>
      <c r="SJ227" s="18"/>
      <c r="SK227" s="18"/>
      <c r="SL227" s="18"/>
      <c r="SM227" s="18"/>
      <c r="SN227" s="18"/>
      <c r="SO227" s="18"/>
      <c r="SP227" s="18"/>
      <c r="SQ227" s="18"/>
      <c r="SR227" s="18"/>
      <c r="SS227" s="18"/>
      <c r="ST227" s="18"/>
      <c r="SU227" s="18"/>
      <c r="SV227" s="18"/>
      <c r="SW227" s="18"/>
      <c r="SX227" s="18"/>
      <c r="SY227" s="18"/>
      <c r="SZ227" s="18"/>
      <c r="TA227" s="18"/>
      <c r="TB227" s="18"/>
      <c r="TC227" s="18"/>
      <c r="TD227" s="18"/>
      <c r="TE227" s="18"/>
      <c r="TF227" s="18"/>
      <c r="TG227" s="18"/>
      <c r="TH227" s="18"/>
      <c r="TI227" s="18"/>
      <c r="TJ227" s="18"/>
      <c r="TK227" s="18"/>
      <c r="TL227" s="18"/>
      <c r="TM227" s="18"/>
      <c r="TN227" s="18"/>
      <c r="TO227" s="18"/>
      <c r="TP227" s="18"/>
      <c r="TQ227" s="18"/>
      <c r="TR227" s="18"/>
      <c r="TS227" s="18"/>
      <c r="TT227" s="18"/>
      <c r="TU227" s="18"/>
      <c r="TV227" s="18"/>
      <c r="TW227" s="18"/>
      <c r="TX227" s="18"/>
      <c r="TY227" s="18"/>
      <c r="TZ227" s="18"/>
      <c r="UA227" s="18"/>
      <c r="UB227" s="18"/>
      <c r="UC227" s="18"/>
      <c r="UD227" s="18"/>
      <c r="UE227" s="18"/>
      <c r="UF227" s="18"/>
      <c r="UG227" s="18"/>
      <c r="UH227" s="18"/>
      <c r="UI227" s="18"/>
      <c r="UJ227" s="18"/>
      <c r="UK227" s="18"/>
      <c r="UL227" s="18"/>
      <c r="UM227" s="18"/>
      <c r="UN227" s="18"/>
      <c r="UO227" s="18"/>
      <c r="UP227" s="18"/>
      <c r="UQ227" s="18"/>
      <c r="UR227" s="18"/>
      <c r="US227" s="18"/>
      <c r="UT227" s="18"/>
      <c r="UU227" s="18"/>
      <c r="UV227" s="18"/>
      <c r="UW227" s="18"/>
      <c r="UX227" s="18"/>
      <c r="UY227" s="18"/>
      <c r="UZ227" s="18"/>
      <c r="VA227" s="18"/>
      <c r="VB227" s="18"/>
      <c r="VC227" s="18"/>
      <c r="VD227" s="18"/>
      <c r="VE227" s="18"/>
      <c r="VF227" s="18"/>
      <c r="VG227" s="18"/>
      <c r="VH227" s="18"/>
      <c r="VI227" s="18"/>
      <c r="VJ227" s="18"/>
      <c r="VK227" s="18"/>
      <c r="VL227" s="18"/>
      <c r="VM227" s="18"/>
      <c r="VN227" s="18"/>
      <c r="VO227" s="18"/>
      <c r="VP227" s="18"/>
      <c r="VQ227" s="18"/>
      <c r="VR227" s="18"/>
      <c r="VS227" s="18"/>
      <c r="VT227" s="18"/>
      <c r="VU227" s="18"/>
      <c r="VV227" s="18"/>
      <c r="VW227" s="18"/>
      <c r="VX227" s="18"/>
      <c r="VY227" s="18"/>
      <c r="VZ227" s="18"/>
      <c r="WA227" s="18"/>
      <c r="WB227" s="18"/>
      <c r="WC227" s="18"/>
      <c r="WD227" s="18"/>
      <c r="WE227" s="18"/>
      <c r="WF227" s="18"/>
      <c r="WG227" s="18"/>
      <c r="WH227" s="18"/>
      <c r="WI227" s="18"/>
      <c r="WJ227" s="18"/>
      <c r="WK227" s="18"/>
      <c r="WL227" s="18"/>
      <c r="WM227" s="18"/>
      <c r="WN227" s="18"/>
      <c r="WO227" s="18"/>
      <c r="WP227" s="18"/>
      <c r="WQ227" s="18"/>
      <c r="WR227" s="18"/>
      <c r="WS227" s="18"/>
      <c r="WT227" s="18"/>
      <c r="WU227" s="18"/>
      <c r="WV227" s="18"/>
      <c r="WW227" s="18"/>
      <c r="WX227" s="18"/>
      <c r="WY227" s="18"/>
      <c r="WZ227" s="18"/>
      <c r="XA227" s="18"/>
      <c r="XB227" s="18"/>
      <c r="XC227" s="18"/>
      <c r="XD227" s="18"/>
      <c r="XE227" s="18"/>
      <c r="XF227" s="18"/>
      <c r="XG227" s="18"/>
      <c r="XH227" s="18"/>
      <c r="XI227" s="18"/>
      <c r="XJ227" s="18"/>
      <c r="XK227" s="18"/>
      <c r="XL227" s="18"/>
      <c r="XM227" s="18"/>
      <c r="XN227" s="18"/>
      <c r="XO227" s="18"/>
      <c r="XP227" s="18"/>
      <c r="XQ227" s="18"/>
      <c r="XR227" s="18"/>
      <c r="XS227" s="18"/>
      <c r="XT227" s="18"/>
      <c r="XU227" s="18"/>
      <c r="XV227" s="18"/>
      <c r="XW227" s="18"/>
      <c r="XX227" s="18"/>
      <c r="XY227" s="18"/>
      <c r="XZ227" s="18"/>
      <c r="YA227" s="18"/>
      <c r="YB227" s="18"/>
      <c r="YC227" s="18"/>
      <c r="YD227" s="18"/>
      <c r="YE227" s="18"/>
      <c r="YF227" s="18"/>
      <c r="YG227" s="18"/>
      <c r="YH227" s="18"/>
      <c r="YI227" s="18"/>
      <c r="YJ227" s="18"/>
      <c r="YK227" s="18"/>
      <c r="YL227" s="18"/>
      <c r="YM227" s="18"/>
      <c r="YN227" s="18"/>
      <c r="YO227" s="18"/>
      <c r="YP227" s="18"/>
      <c r="YQ227" s="18"/>
      <c r="YR227" s="18"/>
      <c r="YS227" s="18"/>
      <c r="YT227" s="18"/>
      <c r="YU227" s="18"/>
      <c r="YV227" s="18"/>
      <c r="YW227" s="18"/>
      <c r="YX227" s="18"/>
      <c r="YY227" s="18"/>
      <c r="YZ227" s="18"/>
      <c r="ZA227" s="18"/>
      <c r="ZB227" s="18"/>
      <c r="ZC227" s="18"/>
      <c r="ZD227" s="18"/>
      <c r="ZE227" s="18"/>
      <c r="ZF227" s="18"/>
      <c r="ZG227" s="18"/>
      <c r="ZH227" s="18"/>
      <c r="ZI227" s="18"/>
      <c r="ZJ227" s="18"/>
      <c r="ZK227" s="18"/>
      <c r="ZL227" s="18"/>
      <c r="ZM227" s="18"/>
      <c r="ZN227" s="18"/>
      <c r="ZO227" s="18"/>
      <c r="ZP227" s="18"/>
      <c r="ZQ227" s="18"/>
      <c r="ZR227" s="18"/>
      <c r="ZS227" s="18"/>
      <c r="ZT227" s="18"/>
      <c r="ZU227" s="18"/>
      <c r="ZV227" s="18"/>
      <c r="ZW227" s="18"/>
      <c r="ZX227" s="18"/>
      <c r="ZY227" s="18"/>
      <c r="ZZ227" s="18"/>
      <c r="AAA227" s="18"/>
      <c r="AAB227" s="18"/>
      <c r="AAC227" s="18"/>
      <c r="AAD227" s="18"/>
      <c r="AAE227" s="18"/>
      <c r="AAF227" s="18"/>
      <c r="AAG227" s="18"/>
      <c r="AAH227" s="18"/>
      <c r="AAI227" s="18"/>
      <c r="AAJ227" s="18"/>
      <c r="AAK227" s="18"/>
      <c r="AAL227" s="18"/>
      <c r="AAM227" s="18"/>
      <c r="AAN227" s="18"/>
      <c r="AAO227" s="18"/>
      <c r="AAP227" s="18"/>
      <c r="AAQ227" s="18"/>
      <c r="AAR227" s="18"/>
      <c r="AAS227" s="18"/>
      <c r="AAT227" s="18"/>
      <c r="AAU227" s="18"/>
      <c r="AAV227" s="18"/>
      <c r="AAW227" s="18"/>
      <c r="AAX227" s="18"/>
      <c r="AAY227" s="18"/>
      <c r="AAZ227" s="18"/>
      <c r="ABA227" s="18"/>
      <c r="ABB227" s="18"/>
      <c r="ABC227" s="18"/>
      <c r="ABD227" s="18"/>
      <c r="ABE227" s="18"/>
      <c r="ABF227" s="18"/>
      <c r="ABG227" s="18"/>
      <c r="ABH227" s="18"/>
      <c r="ABI227" s="18"/>
      <c r="ABJ227" s="18"/>
      <c r="ABK227" s="18"/>
      <c r="ABL227" s="18"/>
      <c r="ABM227" s="18"/>
      <c r="ABN227" s="18"/>
      <c r="ABO227" s="18"/>
      <c r="ABP227" s="18"/>
      <c r="ABQ227" s="18"/>
      <c r="ABR227" s="18"/>
      <c r="ABS227" s="18"/>
      <c r="ABT227" s="18"/>
      <c r="ABU227" s="18"/>
      <c r="ABV227" s="18"/>
      <c r="ABW227" s="18"/>
      <c r="ABX227" s="18"/>
      <c r="ABY227" s="18"/>
      <c r="ABZ227" s="18"/>
      <c r="ACA227" s="18"/>
      <c r="ACB227" s="18"/>
      <c r="ACC227" s="18"/>
      <c r="ACD227" s="18"/>
      <c r="ACE227" s="18"/>
      <c r="ACF227" s="18"/>
      <c r="ACG227" s="18"/>
      <c r="ACH227" s="18"/>
      <c r="ACI227" s="18"/>
      <c r="ACJ227" s="18"/>
      <c r="ACK227" s="18"/>
      <c r="ACL227" s="18"/>
      <c r="ACM227" s="18"/>
      <c r="ACN227" s="18"/>
      <c r="ACO227" s="18"/>
      <c r="ACP227" s="18"/>
      <c r="ACQ227" s="18"/>
      <c r="ACR227" s="18"/>
      <c r="ACS227" s="18"/>
      <c r="ACT227" s="18"/>
      <c r="ACU227" s="18"/>
      <c r="ACV227" s="18"/>
      <c r="ACW227" s="18"/>
      <c r="ACX227" s="18"/>
      <c r="ACY227" s="18"/>
      <c r="ACZ227" s="18"/>
      <c r="ADA227" s="18"/>
      <c r="ADB227" s="18"/>
      <c r="ADC227" s="18"/>
      <c r="ADD227" s="18"/>
      <c r="ADE227" s="18"/>
      <c r="ADF227" s="18"/>
      <c r="ADG227" s="18"/>
      <c r="ADH227" s="18"/>
      <c r="ADI227" s="18"/>
      <c r="ADJ227" s="18"/>
      <c r="ADK227" s="18"/>
      <c r="ADL227" s="18"/>
      <c r="ADM227" s="18"/>
      <c r="ADN227" s="18"/>
      <c r="ADO227" s="18"/>
      <c r="ADP227" s="18"/>
      <c r="ADQ227" s="18"/>
      <c r="ADR227" s="18"/>
      <c r="ADS227" s="18"/>
      <c r="ADT227" s="18"/>
      <c r="ADU227" s="18"/>
      <c r="ADV227" s="18"/>
      <c r="ADW227" s="18"/>
      <c r="ADX227" s="18"/>
      <c r="ADY227" s="18"/>
      <c r="ADZ227" s="18"/>
      <c r="AEA227" s="18"/>
      <c r="AEB227" s="18"/>
      <c r="AEC227" s="18"/>
      <c r="AED227" s="18"/>
      <c r="AEE227" s="18"/>
      <c r="AEF227" s="18"/>
      <c r="AEG227" s="18"/>
      <c r="AEH227" s="18"/>
      <c r="AEI227" s="18"/>
      <c r="AEJ227" s="18"/>
      <c r="AEK227" s="18"/>
      <c r="AEL227" s="18"/>
      <c r="AEM227" s="18"/>
      <c r="AEN227" s="18"/>
      <c r="AEO227" s="18"/>
      <c r="AEP227" s="18"/>
      <c r="AEQ227" s="18"/>
      <c r="AER227" s="18"/>
      <c r="AES227" s="18"/>
      <c r="AET227" s="18"/>
      <c r="AEU227" s="18"/>
      <c r="AEV227" s="18"/>
      <c r="AEW227" s="18"/>
      <c r="AEX227" s="18"/>
      <c r="AEY227" s="18"/>
      <c r="AEZ227" s="18"/>
      <c r="AFA227" s="18"/>
      <c r="AFB227" s="18"/>
      <c r="AFC227" s="18"/>
      <c r="AFD227" s="18"/>
      <c r="AFE227" s="18"/>
      <c r="AFF227" s="18"/>
      <c r="AFG227" s="18"/>
      <c r="AFH227" s="18"/>
      <c r="AFI227" s="18"/>
      <c r="AFJ227" s="18"/>
      <c r="AFK227" s="18"/>
      <c r="AFL227" s="18"/>
      <c r="AFM227" s="18"/>
      <c r="AFN227" s="18"/>
      <c r="AFO227" s="18"/>
      <c r="AFP227" s="18"/>
      <c r="AFQ227" s="18"/>
      <c r="AFR227" s="18"/>
      <c r="AFS227" s="18"/>
      <c r="AFT227" s="18"/>
      <c r="AFU227" s="18"/>
      <c r="AFV227" s="18"/>
      <c r="AFW227" s="18"/>
      <c r="AFX227" s="18"/>
      <c r="AFY227" s="18"/>
      <c r="AFZ227" s="18"/>
      <c r="AGA227" s="18"/>
      <c r="AGB227" s="18"/>
      <c r="AGC227" s="18"/>
      <c r="AGD227" s="18"/>
      <c r="AGE227" s="18"/>
      <c r="AGF227" s="18"/>
      <c r="AGG227" s="18"/>
      <c r="AGH227" s="18"/>
      <c r="AGI227" s="18"/>
      <c r="AGJ227" s="18"/>
      <c r="AGK227" s="18"/>
      <c r="AGL227" s="18"/>
      <c r="AGM227" s="18"/>
      <c r="AGN227" s="18"/>
      <c r="AGO227" s="18"/>
      <c r="AGP227" s="18"/>
      <c r="AGQ227" s="18"/>
      <c r="AGR227" s="18"/>
      <c r="AGS227" s="18"/>
      <c r="AGT227" s="18"/>
      <c r="AGU227" s="18"/>
      <c r="AGV227" s="18"/>
      <c r="AGW227" s="18"/>
      <c r="AGX227" s="18"/>
      <c r="AGY227" s="18"/>
      <c r="AGZ227" s="18"/>
      <c r="AHA227" s="18"/>
      <c r="AHB227" s="18"/>
      <c r="AHC227" s="18"/>
      <c r="AHD227" s="18"/>
      <c r="AHE227" s="18"/>
      <c r="AHF227" s="18"/>
      <c r="AHG227" s="18"/>
      <c r="AHH227" s="18"/>
      <c r="AHI227" s="18"/>
      <c r="AHJ227" s="18"/>
      <c r="AHK227" s="18"/>
      <c r="AHL227" s="18"/>
      <c r="AHM227" s="18"/>
      <c r="AHN227" s="18"/>
      <c r="AHO227" s="18"/>
      <c r="AHP227" s="18"/>
      <c r="AHQ227" s="18"/>
      <c r="AHR227" s="18"/>
      <c r="AHS227" s="18"/>
      <c r="AHT227" s="18"/>
      <c r="AHU227" s="18"/>
      <c r="AHV227" s="18"/>
      <c r="AHW227" s="18"/>
      <c r="AHX227" s="18"/>
      <c r="AHY227" s="18"/>
      <c r="AHZ227" s="18"/>
      <c r="AIA227" s="18"/>
      <c r="AIB227" s="18"/>
      <c r="AIC227" s="18"/>
      <c r="AID227" s="18"/>
      <c r="AIE227" s="18"/>
      <c r="AIF227" s="18"/>
      <c r="AIG227" s="18"/>
      <c r="AIH227" s="18"/>
      <c r="AII227" s="18"/>
      <c r="AIJ227" s="18"/>
      <c r="AIK227" s="18"/>
      <c r="AIL227" s="18"/>
      <c r="AIM227" s="18"/>
      <c r="AIN227" s="18"/>
      <c r="AIO227" s="18"/>
      <c r="AIP227" s="18"/>
      <c r="AIQ227" s="18"/>
      <c r="AIR227" s="18"/>
      <c r="AIS227" s="18"/>
      <c r="AIT227" s="18"/>
      <c r="AIU227" s="18"/>
      <c r="AIV227" s="18"/>
      <c r="AIW227" s="18"/>
      <c r="AIX227" s="18"/>
      <c r="AIY227" s="18"/>
      <c r="AIZ227" s="18"/>
      <c r="AJA227" s="18"/>
      <c r="AJB227" s="18"/>
      <c r="AJC227" s="18"/>
      <c r="AJD227" s="18"/>
      <c r="AJE227" s="18"/>
      <c r="AJF227" s="18"/>
      <c r="AJG227" s="18"/>
      <c r="AJH227" s="18"/>
      <c r="AJI227" s="18"/>
      <c r="AJJ227" s="18"/>
      <c r="AJK227" s="18"/>
      <c r="AJL227" s="18"/>
      <c r="AJM227" s="18"/>
      <c r="AJN227" s="18"/>
      <c r="AJO227" s="18"/>
      <c r="AJP227" s="18"/>
      <c r="AJQ227" s="18"/>
      <c r="AJR227" s="18"/>
      <c r="AJS227" s="18"/>
      <c r="AJT227" s="18"/>
      <c r="AJU227" s="18"/>
      <c r="AJV227" s="18"/>
      <c r="AJW227" s="18"/>
      <c r="AJX227" s="18"/>
      <c r="AJY227" s="18"/>
      <c r="AJZ227" s="18"/>
      <c r="AKA227" s="18"/>
      <c r="AKB227" s="18"/>
      <c r="AKC227" s="18"/>
      <c r="AKD227" s="18"/>
      <c r="AKE227" s="18"/>
      <c r="AKF227" s="18"/>
      <c r="AKG227" s="18"/>
      <c r="AKH227" s="18"/>
      <c r="AKI227" s="18"/>
      <c r="AKJ227" s="18"/>
      <c r="AKK227" s="18"/>
      <c r="AKL227" s="18"/>
      <c r="AKM227" s="18"/>
      <c r="AKN227" s="18"/>
      <c r="AKO227" s="18"/>
      <c r="AKP227" s="18"/>
      <c r="AKQ227" s="18"/>
      <c r="AKR227" s="18"/>
      <c r="AKS227" s="18"/>
      <c r="AKT227" s="18"/>
      <c r="AKU227" s="18"/>
      <c r="AKV227" s="18"/>
      <c r="AKW227" s="18"/>
      <c r="AKX227" s="18"/>
      <c r="AKY227" s="18"/>
      <c r="AKZ227" s="18"/>
      <c r="ALA227" s="18"/>
      <c r="ALB227" s="18"/>
      <c r="ALC227" s="18"/>
      <c r="ALD227" s="18"/>
      <c r="ALE227" s="18"/>
      <c r="ALF227" s="18"/>
      <c r="ALG227" s="18"/>
      <c r="ALH227" s="18"/>
      <c r="ALI227" s="18"/>
      <c r="ALJ227" s="18"/>
      <c r="ALK227" s="18"/>
      <c r="ALL227" s="18"/>
      <c r="ALM227" s="18"/>
      <c r="ALN227" s="18"/>
      <c r="ALO227" s="18"/>
      <c r="ALP227" s="18"/>
      <c r="ALQ227" s="18"/>
      <c r="ALR227" s="18"/>
      <c r="ALS227" s="18"/>
      <c r="ALT227" s="18"/>
      <c r="ALU227" s="18"/>
      <c r="ALV227" s="18"/>
      <c r="ALW227" s="18"/>
      <c r="ALX227" s="18"/>
      <c r="ALY227" s="18"/>
      <c r="ALZ227" s="18"/>
      <c r="AMA227" s="18"/>
      <c r="AMB227" s="18"/>
      <c r="AMC227" s="18"/>
      <c r="AMD227" s="18"/>
      <c r="AME227" s="18"/>
      <c r="AMF227" s="18"/>
      <c r="AMG227" s="18"/>
      <c r="AMH227" s="18"/>
      <c r="AMI227" s="18"/>
      <c r="AMJ227" s="18"/>
      <c r="AMK227" s="18"/>
      <c r="AML227" s="18"/>
      <c r="AMM227" s="18"/>
      <c r="AMN227" s="18"/>
      <c r="AMO227" s="18"/>
      <c r="AMP227" s="18"/>
      <c r="AMQ227" s="18"/>
      <c r="AMR227" s="18"/>
      <c r="AMS227" s="18"/>
      <c r="AMT227" s="18"/>
      <c r="AMU227" s="18"/>
      <c r="AMV227" s="18"/>
      <c r="AMW227" s="18"/>
      <c r="AMX227" s="18"/>
      <c r="AMY227" s="18"/>
      <c r="AMZ227" s="18"/>
      <c r="ANA227" s="18"/>
      <c r="ANB227" s="18"/>
      <c r="ANC227" s="18"/>
      <c r="AND227" s="18"/>
      <c r="ANE227" s="18"/>
      <c r="ANF227" s="18"/>
      <c r="ANG227" s="18"/>
      <c r="ANH227" s="18"/>
      <c r="ANI227" s="18"/>
      <c r="ANJ227" s="18"/>
      <c r="ANK227" s="18"/>
      <c r="ANL227" s="18"/>
      <c r="ANM227" s="18"/>
      <c r="ANN227" s="18"/>
      <c r="ANO227" s="18"/>
      <c r="ANP227" s="18"/>
      <c r="ANQ227" s="18"/>
      <c r="ANR227" s="18"/>
      <c r="ANS227" s="18"/>
      <c r="ANT227" s="18"/>
      <c r="ANU227" s="18"/>
      <c r="ANV227" s="18"/>
      <c r="ANW227" s="18"/>
      <c r="ANX227" s="18"/>
      <c r="ANY227" s="18"/>
      <c r="ANZ227" s="18"/>
      <c r="AOA227" s="18"/>
      <c r="AOB227" s="18"/>
      <c r="AOC227" s="18"/>
      <c r="AOD227" s="18"/>
      <c r="AOE227" s="18"/>
      <c r="AOF227" s="18"/>
      <c r="AOG227" s="18"/>
      <c r="AOH227" s="18"/>
      <c r="AOI227" s="18"/>
      <c r="AOJ227" s="18"/>
      <c r="AOK227" s="18"/>
      <c r="AOL227" s="18"/>
      <c r="AOM227" s="18"/>
      <c r="AON227" s="18"/>
      <c r="AOO227" s="18"/>
      <c r="AOP227" s="18"/>
      <c r="AOQ227" s="18"/>
      <c r="AOR227" s="18"/>
      <c r="AOS227" s="18"/>
      <c r="AOT227" s="18"/>
      <c r="AOU227" s="18"/>
      <c r="AOV227" s="18"/>
      <c r="AOW227" s="18"/>
      <c r="AOX227" s="18"/>
      <c r="AOY227" s="18"/>
      <c r="AOZ227" s="18"/>
      <c r="APA227" s="18"/>
      <c r="APB227" s="18"/>
      <c r="APC227" s="18"/>
      <c r="APD227" s="18"/>
      <c r="APE227" s="18"/>
      <c r="APF227" s="18"/>
      <c r="APG227" s="18"/>
      <c r="APH227" s="18"/>
      <c r="API227" s="18"/>
      <c r="APJ227" s="18"/>
      <c r="APK227" s="18"/>
      <c r="APL227" s="18"/>
      <c r="APM227" s="18"/>
      <c r="APN227" s="18"/>
      <c r="APO227" s="18"/>
      <c r="APP227" s="18"/>
      <c r="APQ227" s="18"/>
      <c r="APR227" s="18"/>
      <c r="APS227" s="18"/>
      <c r="APT227" s="18"/>
      <c r="APU227" s="18"/>
      <c r="APV227" s="18"/>
      <c r="APW227" s="18"/>
      <c r="APX227" s="18"/>
      <c r="APY227" s="18"/>
      <c r="APZ227" s="18"/>
      <c r="AQA227" s="18"/>
      <c r="AQB227" s="18"/>
      <c r="AQC227" s="18"/>
      <c r="AQD227" s="18"/>
      <c r="AQE227" s="18"/>
      <c r="AQF227" s="18"/>
      <c r="AQG227" s="18"/>
      <c r="AQH227" s="18"/>
      <c r="AQI227" s="18"/>
      <c r="AQJ227" s="18"/>
      <c r="AQK227" s="18"/>
      <c r="AQL227" s="18"/>
      <c r="AQM227" s="18"/>
      <c r="AQN227" s="18"/>
      <c r="AQO227" s="18"/>
      <c r="AQP227" s="18"/>
      <c r="AQQ227" s="18"/>
      <c r="AQR227" s="18"/>
      <c r="AQS227" s="18"/>
      <c r="AQT227" s="18"/>
      <c r="AQU227" s="18"/>
      <c r="AQV227" s="18"/>
      <c r="AQW227" s="18"/>
      <c r="AQX227" s="18"/>
      <c r="AQY227" s="18"/>
      <c r="AQZ227" s="18"/>
      <c r="ARA227" s="18"/>
      <c r="ARB227" s="18"/>
      <c r="ARC227" s="18"/>
      <c r="ARD227" s="18"/>
      <c r="ARE227" s="18"/>
      <c r="ARF227" s="18"/>
      <c r="ARG227" s="18"/>
      <c r="ARH227" s="18"/>
      <c r="ARI227" s="18"/>
      <c r="ARJ227" s="18"/>
      <c r="ARK227" s="18"/>
      <c r="ARL227" s="18"/>
      <c r="ARM227" s="18"/>
      <c r="ARN227" s="18"/>
      <c r="ARO227" s="18"/>
      <c r="ARP227" s="18"/>
      <c r="ARQ227" s="18"/>
      <c r="ARR227" s="18"/>
      <c r="ARS227" s="18"/>
      <c r="ART227" s="18"/>
      <c r="ARU227" s="18"/>
      <c r="ARV227" s="18"/>
      <c r="ARW227" s="18"/>
      <c r="ARX227" s="18"/>
      <c r="ARY227" s="18"/>
      <c r="ARZ227" s="18"/>
      <c r="ASA227" s="18"/>
      <c r="ASB227" s="18"/>
      <c r="ASC227" s="18"/>
      <c r="ASD227" s="18"/>
      <c r="ASE227" s="18"/>
      <c r="ASF227" s="18"/>
      <c r="ASG227" s="18"/>
      <c r="ASH227" s="18"/>
      <c r="ASI227" s="18"/>
      <c r="ASJ227" s="18"/>
      <c r="ASK227" s="18"/>
      <c r="ASL227" s="18"/>
      <c r="ASM227" s="18"/>
      <c r="ASN227" s="18"/>
      <c r="ASO227" s="18"/>
      <c r="ASP227" s="18"/>
      <c r="ASQ227" s="18"/>
      <c r="ASR227" s="18"/>
      <c r="ASS227" s="18"/>
      <c r="AST227" s="18"/>
      <c r="ASU227" s="18"/>
      <c r="ASV227" s="18"/>
      <c r="ASW227" s="18"/>
      <c r="ASX227" s="18"/>
      <c r="ASY227" s="18"/>
      <c r="ASZ227" s="18"/>
      <c r="ATA227" s="18"/>
      <c r="ATB227" s="18"/>
      <c r="ATC227" s="18"/>
      <c r="ATD227" s="18"/>
      <c r="ATE227" s="18"/>
      <c r="ATF227" s="18"/>
      <c r="ATG227" s="18"/>
      <c r="ATH227" s="18"/>
      <c r="ATI227" s="18"/>
      <c r="ATJ227" s="18"/>
      <c r="ATK227" s="18"/>
      <c r="ATL227" s="18"/>
      <c r="ATM227" s="18"/>
      <c r="ATN227" s="18"/>
      <c r="ATO227" s="18"/>
      <c r="ATP227" s="18"/>
      <c r="ATQ227" s="18"/>
      <c r="ATR227" s="18"/>
      <c r="ATS227" s="18"/>
      <c r="ATT227" s="18"/>
      <c r="ATU227" s="18"/>
      <c r="ATV227" s="18"/>
      <c r="ATW227" s="18"/>
      <c r="ATX227" s="18"/>
      <c r="ATY227" s="18"/>
      <c r="ATZ227" s="18"/>
      <c r="AUA227" s="18"/>
      <c r="AUB227" s="18"/>
      <c r="AUC227" s="18"/>
      <c r="AUD227" s="18"/>
      <c r="AUE227" s="18"/>
      <c r="AUF227" s="18"/>
      <c r="AUG227" s="18"/>
      <c r="AUH227" s="18"/>
      <c r="AUI227" s="18"/>
      <c r="AUJ227" s="18"/>
      <c r="AUK227" s="18"/>
      <c r="AUL227" s="18"/>
      <c r="AUM227" s="18"/>
      <c r="AUN227" s="18"/>
      <c r="AUO227" s="18"/>
      <c r="AUP227" s="18"/>
      <c r="AUQ227" s="18"/>
      <c r="AUR227" s="18"/>
      <c r="AUS227" s="18"/>
      <c r="AUT227" s="18"/>
      <c r="AUU227" s="18"/>
      <c r="AUV227" s="18"/>
      <c r="AUW227" s="18"/>
      <c r="AUX227" s="18"/>
      <c r="AUY227" s="18"/>
      <c r="AUZ227" s="18"/>
      <c r="AVA227" s="18"/>
      <c r="AVB227" s="18"/>
      <c r="AVC227" s="18"/>
      <c r="AVD227" s="18"/>
      <c r="AVE227" s="18"/>
      <c r="AVF227" s="18"/>
      <c r="AVG227" s="18"/>
      <c r="AVH227" s="18"/>
      <c r="AVI227" s="18"/>
      <c r="AVJ227" s="18"/>
      <c r="AVK227" s="18"/>
      <c r="AVL227" s="18"/>
      <c r="AVM227" s="18"/>
      <c r="AVN227" s="18"/>
      <c r="AVO227" s="18"/>
      <c r="AVP227" s="18"/>
      <c r="AVQ227" s="18"/>
      <c r="AVR227" s="18"/>
      <c r="AVS227" s="18"/>
      <c r="AVT227" s="18"/>
      <c r="AVU227" s="18"/>
      <c r="AVV227" s="18"/>
      <c r="AVW227" s="18"/>
      <c r="AVX227" s="18"/>
      <c r="AVY227" s="18"/>
      <c r="AVZ227" s="18"/>
      <c r="AWA227" s="18"/>
      <c r="AWB227" s="18"/>
      <c r="AWC227" s="18"/>
      <c r="AWD227" s="18"/>
      <c r="AWE227" s="18"/>
      <c r="AWF227" s="18"/>
      <c r="AWG227" s="18"/>
      <c r="AWH227" s="18"/>
      <c r="AWI227" s="18"/>
      <c r="AWJ227" s="18"/>
      <c r="AWK227" s="18"/>
      <c r="AWL227" s="18"/>
      <c r="AWM227" s="18"/>
      <c r="AWN227" s="18"/>
      <c r="AWO227" s="18"/>
      <c r="AWP227" s="18"/>
      <c r="AWQ227" s="18"/>
      <c r="AWR227" s="18"/>
      <c r="AWS227" s="18"/>
      <c r="AWT227" s="18"/>
      <c r="AWU227" s="18"/>
      <c r="AWV227" s="18"/>
      <c r="AWW227" s="18"/>
      <c r="AWX227" s="18"/>
      <c r="AWY227" s="18"/>
      <c r="AWZ227" s="18"/>
      <c r="AXA227" s="18"/>
      <c r="AXB227" s="18"/>
      <c r="AXC227" s="18"/>
      <c r="AXD227" s="18"/>
      <c r="AXE227" s="18"/>
      <c r="AXF227" s="18"/>
      <c r="AXG227" s="18"/>
      <c r="AXH227" s="18"/>
      <c r="AXI227" s="18"/>
      <c r="AXJ227" s="18"/>
      <c r="AXK227" s="18"/>
      <c r="AXL227" s="18"/>
      <c r="AXM227" s="18"/>
      <c r="AXN227" s="18"/>
      <c r="AXO227" s="18"/>
      <c r="AXP227" s="18"/>
      <c r="AXQ227" s="18"/>
      <c r="AXR227" s="18"/>
      <c r="AXS227" s="18"/>
      <c r="AXT227" s="18"/>
      <c r="AXU227" s="18"/>
      <c r="AXV227" s="18"/>
      <c r="AXW227" s="18"/>
      <c r="AXX227" s="18"/>
      <c r="AXY227" s="18"/>
      <c r="AXZ227" s="18"/>
      <c r="AYA227" s="18"/>
      <c r="AYB227" s="18"/>
      <c r="AYC227" s="18"/>
      <c r="AYD227" s="18"/>
      <c r="AYE227" s="18"/>
      <c r="AYF227" s="18"/>
      <c r="AYG227" s="18"/>
      <c r="AYH227" s="18"/>
      <c r="AYI227" s="18"/>
      <c r="AYJ227" s="18"/>
      <c r="AYK227" s="18"/>
      <c r="AYL227" s="18"/>
      <c r="AYM227" s="18"/>
      <c r="AYN227" s="18"/>
      <c r="AYO227" s="18"/>
      <c r="AYP227" s="18"/>
      <c r="AYQ227" s="18"/>
      <c r="AYR227" s="18"/>
      <c r="AYS227" s="18"/>
      <c r="AYT227" s="18"/>
      <c r="AYU227" s="18"/>
      <c r="AYV227" s="18"/>
      <c r="AYW227" s="18"/>
      <c r="AYX227" s="18"/>
      <c r="AYY227" s="18"/>
      <c r="AYZ227" s="18"/>
      <c r="AZA227" s="18"/>
      <c r="AZB227" s="18"/>
      <c r="AZC227" s="18"/>
      <c r="AZD227" s="18"/>
      <c r="AZE227" s="18"/>
      <c r="AZF227" s="18"/>
      <c r="AZG227" s="18"/>
      <c r="AZH227" s="18"/>
      <c r="AZI227" s="18"/>
      <c r="AZJ227" s="18"/>
      <c r="AZK227" s="18"/>
      <c r="AZL227" s="18"/>
      <c r="AZM227" s="18"/>
      <c r="AZN227" s="18"/>
      <c r="AZO227" s="18"/>
      <c r="AZP227" s="18"/>
      <c r="AZQ227" s="18"/>
      <c r="AZR227" s="18"/>
      <c r="AZS227" s="18"/>
      <c r="AZT227" s="18"/>
      <c r="AZU227" s="18"/>
      <c r="AZV227" s="18"/>
      <c r="AZW227" s="18"/>
      <c r="AZX227" s="18"/>
      <c r="AZY227" s="18"/>
      <c r="AZZ227" s="18"/>
      <c r="BAA227" s="18"/>
      <c r="BAB227" s="18"/>
      <c r="BAC227" s="18"/>
      <c r="BAD227" s="18"/>
      <c r="BAE227" s="18"/>
      <c r="BAF227" s="18"/>
      <c r="BAG227" s="18"/>
      <c r="BAH227" s="18"/>
      <c r="BAI227" s="18"/>
      <c r="BAJ227" s="18"/>
      <c r="BAK227" s="18"/>
      <c r="BAL227" s="18"/>
      <c r="BAM227" s="18"/>
      <c r="BAN227" s="18"/>
      <c r="BAO227" s="18"/>
      <c r="BAP227" s="18"/>
      <c r="BAQ227" s="18"/>
      <c r="BAR227" s="18"/>
      <c r="BAS227" s="18"/>
      <c r="BAT227" s="18"/>
      <c r="BAU227" s="18"/>
      <c r="BAV227" s="18"/>
      <c r="BAW227" s="18"/>
      <c r="BAX227" s="18"/>
      <c r="BAY227" s="18"/>
      <c r="BAZ227" s="18"/>
      <c r="BBA227" s="18"/>
      <c r="BBB227" s="18"/>
      <c r="BBC227" s="18"/>
      <c r="BBD227" s="18"/>
      <c r="BBE227" s="18"/>
      <c r="BBF227" s="18"/>
      <c r="BBG227" s="18"/>
      <c r="BBH227" s="18"/>
      <c r="BBI227" s="18"/>
      <c r="BBJ227" s="18"/>
      <c r="BBK227" s="18"/>
      <c r="BBL227" s="18"/>
      <c r="BBM227" s="18"/>
      <c r="BBN227" s="18"/>
      <c r="BBO227" s="18"/>
      <c r="BBP227" s="18"/>
      <c r="BBQ227" s="18"/>
      <c r="BBR227" s="18"/>
      <c r="BBS227" s="18"/>
      <c r="BBT227" s="18"/>
      <c r="BBU227" s="18"/>
      <c r="BBV227" s="18"/>
      <c r="BBW227" s="18"/>
      <c r="BBX227" s="18"/>
      <c r="BBY227" s="18"/>
      <c r="BBZ227" s="18"/>
      <c r="BCA227" s="18"/>
      <c r="BCB227" s="18"/>
      <c r="BCC227" s="18"/>
      <c r="BCD227" s="18"/>
      <c r="BCE227" s="18"/>
      <c r="BCF227" s="18"/>
      <c r="BCG227" s="18"/>
      <c r="BCH227" s="18"/>
      <c r="BCI227" s="18"/>
      <c r="BCJ227" s="18"/>
      <c r="BCK227" s="18"/>
      <c r="BCL227" s="18"/>
      <c r="BCM227" s="18"/>
      <c r="BCN227" s="18"/>
      <c r="BCO227" s="18"/>
      <c r="BCP227" s="18"/>
      <c r="BCQ227" s="18"/>
      <c r="BCR227" s="18"/>
      <c r="BCS227" s="18"/>
      <c r="BCT227" s="18"/>
      <c r="BCU227" s="18"/>
      <c r="BCV227" s="18"/>
      <c r="BCW227" s="18"/>
      <c r="BCX227" s="18"/>
      <c r="BCY227" s="18"/>
      <c r="BCZ227" s="18"/>
      <c r="BDA227" s="18"/>
      <c r="BDB227" s="18"/>
      <c r="BDC227" s="18"/>
      <c r="BDD227" s="18"/>
      <c r="BDE227" s="18"/>
      <c r="BDF227" s="18"/>
      <c r="BDG227" s="18"/>
      <c r="BDH227" s="18"/>
      <c r="BDI227" s="18"/>
      <c r="BDJ227" s="18"/>
      <c r="BDK227" s="18"/>
      <c r="BDL227" s="18"/>
      <c r="BDM227" s="18"/>
      <c r="BDN227" s="18"/>
      <c r="BDO227" s="18"/>
      <c r="BDP227" s="18"/>
      <c r="BDQ227" s="18"/>
      <c r="BDR227" s="18"/>
      <c r="BDS227" s="18"/>
      <c r="BDT227" s="18"/>
      <c r="BDU227" s="18"/>
      <c r="BDV227" s="18"/>
      <c r="BDW227" s="18"/>
      <c r="BDX227" s="18"/>
      <c r="BDY227" s="18"/>
      <c r="BDZ227" s="18"/>
      <c r="BEA227" s="18"/>
      <c r="BEB227" s="18"/>
      <c r="BEC227" s="18"/>
      <c r="BED227" s="18"/>
      <c r="BEE227" s="18"/>
      <c r="BEF227" s="18"/>
      <c r="BEG227" s="18"/>
      <c r="BEH227" s="18"/>
      <c r="BEI227" s="18"/>
      <c r="BEJ227" s="18"/>
      <c r="BEK227" s="18"/>
      <c r="BEL227" s="18"/>
      <c r="BEM227" s="18"/>
      <c r="BEN227" s="18"/>
      <c r="BEO227" s="18"/>
      <c r="BEP227" s="18"/>
      <c r="BEQ227" s="18"/>
      <c r="BER227" s="18"/>
      <c r="BES227" s="18"/>
      <c r="BET227" s="18"/>
      <c r="BEU227" s="18"/>
      <c r="BEV227" s="18"/>
      <c r="BEW227" s="18"/>
      <c r="BEX227" s="18"/>
      <c r="BEY227" s="18"/>
      <c r="BEZ227" s="18"/>
      <c r="BFA227" s="18"/>
      <c r="BFB227" s="18"/>
      <c r="BFC227" s="18"/>
      <c r="BFD227" s="18"/>
      <c r="BFE227" s="18"/>
      <c r="BFF227" s="18"/>
      <c r="BFG227" s="18"/>
      <c r="BFH227" s="18"/>
      <c r="BFI227" s="18"/>
      <c r="BFJ227" s="18"/>
      <c r="BFK227" s="18"/>
      <c r="BFL227" s="18"/>
      <c r="BFM227" s="18"/>
      <c r="BFN227" s="18"/>
      <c r="BFO227" s="18"/>
      <c r="BFP227" s="18"/>
      <c r="BFQ227" s="18"/>
      <c r="BFR227" s="18"/>
      <c r="BFS227" s="18"/>
      <c r="BFT227" s="18"/>
      <c r="BFU227" s="18"/>
      <c r="BFV227" s="18"/>
      <c r="BFW227" s="18"/>
      <c r="BFX227" s="18"/>
      <c r="BFY227" s="18"/>
      <c r="BFZ227" s="18"/>
      <c r="BGA227" s="18"/>
      <c r="BGB227" s="18"/>
      <c r="BGC227" s="18"/>
      <c r="BGD227" s="18"/>
      <c r="BGE227" s="18"/>
      <c r="BGF227" s="18"/>
      <c r="BGG227" s="18"/>
      <c r="BGH227" s="18"/>
      <c r="BGI227" s="18"/>
      <c r="BGJ227" s="18"/>
      <c r="BGK227" s="18"/>
      <c r="BGL227" s="18"/>
      <c r="BGM227" s="18"/>
      <c r="BGN227" s="18"/>
      <c r="BGO227" s="18"/>
      <c r="BGP227" s="18"/>
      <c r="BGQ227" s="18"/>
      <c r="BGR227" s="18"/>
      <c r="BGS227" s="18"/>
      <c r="BGT227" s="18"/>
      <c r="BGU227" s="18"/>
      <c r="BGV227" s="18"/>
      <c r="BGW227" s="18"/>
      <c r="BGX227" s="18"/>
      <c r="BGY227" s="18"/>
      <c r="BGZ227" s="18"/>
      <c r="BHA227" s="18"/>
      <c r="BHB227" s="18"/>
      <c r="BHC227" s="18"/>
      <c r="BHD227" s="18"/>
      <c r="BHE227" s="18"/>
      <c r="BHF227" s="18"/>
      <c r="BHG227" s="18"/>
      <c r="BHH227" s="18"/>
      <c r="BHI227" s="18"/>
      <c r="BHJ227" s="18"/>
      <c r="BHK227" s="18"/>
      <c r="BHL227" s="18"/>
      <c r="BHM227" s="18"/>
      <c r="BHN227" s="18"/>
      <c r="BHO227" s="18"/>
      <c r="BHP227" s="18"/>
      <c r="BHQ227" s="18"/>
      <c r="BHR227" s="18"/>
      <c r="BHS227" s="18"/>
      <c r="BHT227" s="18"/>
      <c r="BHU227" s="18"/>
      <c r="BHV227" s="18"/>
      <c r="BHW227" s="18"/>
      <c r="BHX227" s="18"/>
      <c r="BHY227" s="18"/>
      <c r="BHZ227" s="18"/>
      <c r="BIA227" s="18"/>
      <c r="BIB227" s="18"/>
      <c r="BIC227" s="18"/>
      <c r="BID227" s="18"/>
      <c r="BIE227" s="18"/>
      <c r="BIF227" s="18"/>
      <c r="BIG227" s="18"/>
      <c r="BIH227" s="18"/>
      <c r="BII227" s="18"/>
      <c r="BIJ227" s="18"/>
      <c r="BIK227" s="18"/>
      <c r="BIL227" s="18"/>
      <c r="BIM227" s="18"/>
      <c r="BIN227" s="18"/>
      <c r="BIO227" s="18"/>
      <c r="BIP227" s="18"/>
      <c r="BIQ227" s="18"/>
      <c r="BIR227" s="18"/>
      <c r="BIS227" s="18"/>
      <c r="BIT227" s="18"/>
      <c r="BIU227" s="18"/>
      <c r="BIV227" s="18"/>
      <c r="BIW227" s="18"/>
      <c r="BIX227" s="18"/>
      <c r="BIY227" s="18"/>
      <c r="BIZ227" s="18"/>
      <c r="BJA227" s="18"/>
      <c r="BJB227" s="18"/>
      <c r="BJC227" s="18"/>
      <c r="BJD227" s="18"/>
      <c r="BJE227" s="18"/>
      <c r="BJF227" s="18"/>
      <c r="BJG227" s="18"/>
      <c r="BJH227" s="18"/>
      <c r="BJI227" s="18"/>
      <c r="BJJ227" s="18"/>
      <c r="BJK227" s="18"/>
      <c r="BJL227" s="18"/>
      <c r="BJM227" s="18"/>
      <c r="BJN227" s="18"/>
      <c r="BJO227" s="18"/>
      <c r="BJP227" s="18"/>
      <c r="BJQ227" s="18"/>
      <c r="BJR227" s="18"/>
      <c r="BJS227" s="18"/>
      <c r="BJT227" s="18"/>
      <c r="BJU227" s="18"/>
      <c r="BJV227" s="18"/>
      <c r="BJW227" s="18"/>
      <c r="BJX227" s="18"/>
      <c r="BJY227" s="18"/>
      <c r="BJZ227" s="18"/>
      <c r="BKA227" s="18"/>
      <c r="BKB227" s="18"/>
      <c r="BKC227" s="18"/>
      <c r="BKD227" s="18"/>
      <c r="BKE227" s="18"/>
      <c r="BKF227" s="18"/>
      <c r="BKG227" s="18"/>
      <c r="BKH227" s="18"/>
      <c r="BKI227" s="18"/>
      <c r="BKJ227" s="18"/>
      <c r="BKK227" s="18"/>
      <c r="BKL227" s="18"/>
      <c r="BKM227" s="18"/>
      <c r="BKN227" s="18"/>
      <c r="BKO227" s="18"/>
      <c r="BKP227" s="18"/>
      <c r="BKQ227" s="18"/>
      <c r="BKR227" s="18"/>
      <c r="BKS227" s="18"/>
      <c r="BKT227" s="18"/>
      <c r="BKU227" s="18"/>
      <c r="BKV227" s="18"/>
      <c r="BKW227" s="18"/>
      <c r="BKX227" s="18"/>
      <c r="BKY227" s="18"/>
      <c r="BKZ227" s="18"/>
      <c r="BLA227" s="18"/>
      <c r="BLB227" s="18"/>
      <c r="BLC227" s="18"/>
      <c r="BLD227" s="18"/>
      <c r="BLE227" s="18"/>
      <c r="BLF227" s="18"/>
      <c r="BLG227" s="18"/>
      <c r="BLH227" s="18"/>
      <c r="BLI227" s="18"/>
      <c r="BLJ227" s="18"/>
      <c r="BLK227" s="18"/>
      <c r="BLL227" s="18"/>
      <c r="BLM227" s="18"/>
      <c r="BLN227" s="18"/>
      <c r="BLO227" s="18"/>
      <c r="BLP227" s="18"/>
      <c r="BLQ227" s="18"/>
      <c r="BLR227" s="18"/>
      <c r="BLS227" s="18"/>
      <c r="BLT227" s="18"/>
      <c r="BLU227" s="18"/>
      <c r="BLV227" s="18"/>
      <c r="BLW227" s="18"/>
      <c r="BLX227" s="18"/>
      <c r="BLY227" s="18"/>
      <c r="BLZ227" s="18"/>
      <c r="BMA227" s="18"/>
      <c r="BMB227" s="18"/>
      <c r="BMC227" s="18"/>
      <c r="BMD227" s="18"/>
      <c r="BME227" s="18"/>
      <c r="BMF227" s="18"/>
      <c r="BMG227" s="18"/>
      <c r="BMH227" s="18"/>
      <c r="BMI227" s="18"/>
      <c r="BMJ227" s="18"/>
      <c r="BMK227" s="18"/>
      <c r="BML227" s="18"/>
      <c r="BMM227" s="18"/>
      <c r="BMN227" s="18"/>
      <c r="BMO227" s="18"/>
      <c r="BMP227" s="18"/>
      <c r="BMQ227" s="18"/>
      <c r="BMR227" s="18"/>
      <c r="BMS227" s="18"/>
      <c r="BMT227" s="18"/>
      <c r="BMU227" s="18"/>
      <c r="BMV227" s="18"/>
      <c r="BMW227" s="18"/>
      <c r="BMX227" s="18"/>
      <c r="BMY227" s="18"/>
      <c r="BMZ227" s="18"/>
      <c r="BNA227" s="18"/>
      <c r="BNB227" s="18"/>
      <c r="BNC227" s="18"/>
      <c r="BND227" s="18"/>
      <c r="BNE227" s="18"/>
      <c r="BNF227" s="18"/>
      <c r="BNG227" s="18"/>
      <c r="BNH227" s="18"/>
      <c r="BNI227" s="18"/>
      <c r="BNJ227" s="18"/>
      <c r="BNK227" s="18"/>
      <c r="BNL227" s="18"/>
      <c r="BNM227" s="18"/>
      <c r="BNN227" s="18"/>
      <c r="BNO227" s="18"/>
      <c r="BNP227" s="18"/>
      <c r="BNQ227" s="18"/>
      <c r="BNR227" s="18"/>
      <c r="BNS227" s="18"/>
      <c r="BNT227" s="18"/>
      <c r="BNU227" s="18"/>
      <c r="BNV227" s="18"/>
      <c r="BNW227" s="18"/>
      <c r="BNX227" s="18"/>
      <c r="BNY227" s="18"/>
      <c r="BNZ227" s="18"/>
      <c r="BOA227" s="18"/>
      <c r="BOB227" s="18"/>
      <c r="BOC227" s="18"/>
      <c r="BOD227" s="18"/>
      <c r="BOE227" s="18"/>
      <c r="BOF227" s="18"/>
      <c r="BOG227" s="18"/>
      <c r="BOH227" s="18"/>
      <c r="BOI227" s="18"/>
      <c r="BOJ227" s="18"/>
      <c r="BOK227" s="18"/>
      <c r="BOL227" s="18"/>
      <c r="BOM227" s="18"/>
      <c r="BON227" s="18"/>
      <c r="BOO227" s="18"/>
      <c r="BOP227" s="18"/>
      <c r="BOQ227" s="18"/>
      <c r="BOR227" s="18"/>
      <c r="BOS227" s="18"/>
      <c r="BOT227" s="18"/>
      <c r="BOU227" s="18"/>
      <c r="BOV227" s="18"/>
      <c r="BOW227" s="18"/>
      <c r="BOX227" s="18"/>
      <c r="BOY227" s="18"/>
      <c r="BOZ227" s="18"/>
      <c r="BPA227" s="18"/>
      <c r="BPB227" s="18"/>
      <c r="BPC227" s="18"/>
      <c r="BPD227" s="18"/>
      <c r="BPE227" s="18"/>
      <c r="BPF227" s="18"/>
      <c r="BPG227" s="18"/>
      <c r="BPH227" s="18"/>
      <c r="BPI227" s="18"/>
      <c r="BPJ227" s="18"/>
      <c r="BPK227" s="18"/>
      <c r="BPL227" s="18"/>
      <c r="BPM227" s="18"/>
      <c r="BPN227" s="18"/>
      <c r="BPO227" s="18"/>
      <c r="BPP227" s="18"/>
      <c r="BPQ227" s="18"/>
      <c r="BPR227" s="18"/>
      <c r="BPS227" s="18"/>
      <c r="BPT227" s="18"/>
      <c r="BPU227" s="18"/>
      <c r="BPV227" s="18"/>
      <c r="BPW227" s="18"/>
      <c r="BPX227" s="18"/>
      <c r="BPY227" s="18"/>
      <c r="BPZ227" s="18"/>
      <c r="BQA227" s="18"/>
      <c r="BQB227" s="18"/>
      <c r="BQC227" s="18"/>
      <c r="BQD227" s="18"/>
      <c r="BQE227" s="18"/>
      <c r="BQF227" s="18"/>
      <c r="BQG227" s="18"/>
      <c r="BQH227" s="18"/>
      <c r="BQI227" s="18"/>
      <c r="BQJ227" s="18"/>
      <c r="BQK227" s="18"/>
      <c r="BQL227" s="18"/>
      <c r="BQM227" s="18"/>
      <c r="BQN227" s="18"/>
      <c r="BQO227" s="18"/>
      <c r="BQP227" s="18"/>
      <c r="BQQ227" s="18"/>
      <c r="BQR227" s="18"/>
      <c r="BQS227" s="18"/>
      <c r="BQT227" s="18"/>
      <c r="BQU227" s="18"/>
      <c r="BQV227" s="18"/>
      <c r="BQW227" s="18"/>
      <c r="BQX227" s="18"/>
      <c r="BQY227" s="18"/>
      <c r="BQZ227" s="18"/>
      <c r="BRA227" s="18"/>
      <c r="BRB227" s="18"/>
      <c r="BRC227" s="18"/>
      <c r="BRD227" s="18"/>
      <c r="BRE227" s="18"/>
      <c r="BRF227" s="18"/>
      <c r="BRG227" s="18"/>
      <c r="BRH227" s="18"/>
      <c r="BRI227" s="18"/>
      <c r="BRJ227" s="18"/>
      <c r="BRK227" s="18"/>
      <c r="BRL227" s="18"/>
      <c r="BRM227" s="18"/>
      <c r="BRN227" s="18"/>
      <c r="BRO227" s="18"/>
      <c r="BRP227" s="18"/>
      <c r="BRQ227" s="18"/>
      <c r="BRR227" s="18"/>
      <c r="BRS227" s="18"/>
      <c r="BRT227" s="18"/>
      <c r="BRU227" s="18"/>
      <c r="BRV227" s="18"/>
      <c r="BRW227" s="18"/>
      <c r="BRX227" s="18"/>
      <c r="BRY227" s="18"/>
      <c r="BRZ227" s="18"/>
      <c r="BSA227" s="18"/>
      <c r="BSB227" s="18"/>
      <c r="BSC227" s="18"/>
      <c r="BSD227" s="18"/>
      <c r="BSE227" s="18"/>
      <c r="BSF227" s="18"/>
      <c r="BSG227" s="18"/>
      <c r="BSH227" s="18"/>
      <c r="BSI227" s="18"/>
      <c r="BSJ227" s="18"/>
      <c r="BSK227" s="18"/>
      <c r="BSL227" s="18"/>
      <c r="BSM227" s="18"/>
      <c r="BSN227" s="18"/>
      <c r="BSO227" s="18"/>
      <c r="BSP227" s="18"/>
      <c r="BSQ227" s="18"/>
      <c r="BSR227" s="18"/>
      <c r="BSS227" s="18"/>
      <c r="BST227" s="18"/>
      <c r="BSU227" s="18"/>
      <c r="BSV227" s="18"/>
      <c r="BSW227" s="18"/>
      <c r="BSX227" s="18"/>
      <c r="BSY227" s="18"/>
      <c r="BSZ227" s="18"/>
      <c r="BTA227" s="18"/>
      <c r="BTB227" s="18"/>
      <c r="BTC227" s="18"/>
      <c r="BTD227" s="18"/>
      <c r="BTE227" s="18"/>
      <c r="BTF227" s="18"/>
      <c r="BTG227" s="18"/>
      <c r="BTH227" s="18"/>
      <c r="BTI227" s="18"/>
    </row>
    <row r="228" spans="1:1881" s="428" customFormat="1" ht="78.75" customHeight="1" x14ac:dyDescent="0.3">
      <c r="A228" s="100">
        <v>602</v>
      </c>
      <c r="B228" s="375" t="s">
        <v>58</v>
      </c>
      <c r="C228" s="375" t="s">
        <v>287</v>
      </c>
      <c r="D228" s="99" t="s">
        <v>345</v>
      </c>
      <c r="E228" s="373" t="e">
        <f>INDEX('PY1 Data(H)'!$A$1:$CZ$265,MATCH('Unit Data from Audit Worksheet'!$A228,'PY1 Data(H)'!$A$1:$A$258,0),MATCH('Unit Data from Audit Worksheet'!$D$2,'PY1 Data(H)'!$A$1:$CZ$1,0))</f>
        <v>#N/A</v>
      </c>
      <c r="F228" s="816">
        <v>0</v>
      </c>
      <c r="G228" s="432" t="str">
        <f>IF(ISBLANK(F228),"Please do not leave blank","")</f>
        <v/>
      </c>
      <c r="H228" s="403">
        <f>IF(F228&lt;0,"Note: Number is normally positive.",)</f>
        <v>0</v>
      </c>
      <c r="I228" s="72"/>
      <c r="J228" s="72"/>
      <c r="K228"/>
      <c r="L228" s="550"/>
      <c r="M228"/>
      <c r="N228" s="18"/>
      <c r="O228" s="187"/>
      <c r="P228" s="18"/>
      <c r="Q228" s="18"/>
      <c r="R228" s="18"/>
      <c r="S228" s="18"/>
      <c r="T228" s="18"/>
      <c r="U228" s="18"/>
      <c r="V228" s="18"/>
      <c r="W228" s="18"/>
      <c r="X228" s="18"/>
      <c r="Y228" s="1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s="18"/>
      <c r="DU228" s="18"/>
      <c r="DV228" s="18"/>
      <c r="DW228" s="18"/>
      <c r="DX228" s="18"/>
      <c r="DY228" s="18"/>
      <c r="DZ228" s="18"/>
      <c r="EA228" s="18"/>
      <c r="EB228" s="18"/>
      <c r="EC228" s="18"/>
      <c r="ED228" s="18"/>
      <c r="EE228" s="18"/>
      <c r="EF228" s="18"/>
      <c r="EG228" s="18"/>
      <c r="EH228" s="18"/>
      <c r="EI228" s="18"/>
      <c r="EJ228" s="18"/>
      <c r="EK228" s="18"/>
      <c r="EL228" s="18"/>
      <c r="EM228" s="18"/>
      <c r="EN228" s="18"/>
      <c r="EO228" s="18"/>
      <c r="EP228" s="18"/>
      <c r="EQ228" s="18"/>
      <c r="ER228" s="18"/>
      <c r="ES228" s="18"/>
      <c r="ET228" s="18"/>
      <c r="EU228" s="18"/>
      <c r="EV228" s="18"/>
      <c r="EW228" s="18"/>
      <c r="EX228" s="18"/>
      <c r="EY228" s="18"/>
      <c r="EZ228" s="18"/>
      <c r="FA228" s="18"/>
      <c r="FB228" s="18"/>
      <c r="FC228" s="18"/>
      <c r="FD228" s="18"/>
      <c r="FE228" s="18"/>
      <c r="FF228" s="18"/>
      <c r="FG228" s="18"/>
      <c r="FH228" s="18"/>
      <c r="FI228" s="18"/>
      <c r="FJ228" s="18"/>
      <c r="FK228" s="18"/>
      <c r="FL228" s="18"/>
      <c r="FM228" s="18"/>
      <c r="FN228" s="18"/>
      <c r="FO228" s="18"/>
      <c r="FP228" s="18"/>
      <c r="FQ228" s="18"/>
      <c r="FR228" s="18"/>
      <c r="FS228" s="18"/>
      <c r="FT228" s="18"/>
      <c r="FU228" s="18"/>
      <c r="FV228" s="18"/>
      <c r="FW228" s="18"/>
      <c r="FX228" s="18"/>
      <c r="FY228" s="18"/>
      <c r="FZ228" s="18"/>
      <c r="GA228" s="18"/>
      <c r="GB228" s="18"/>
      <c r="GC228" s="18"/>
      <c r="GD228" s="18"/>
      <c r="GE228" s="18"/>
      <c r="GF228" s="18"/>
      <c r="GG228" s="18"/>
      <c r="GH228" s="18"/>
      <c r="GI228" s="18"/>
      <c r="GJ228" s="18"/>
      <c r="GK228" s="18"/>
      <c r="GL228" s="18"/>
      <c r="GM228" s="18"/>
      <c r="GN228" s="18"/>
      <c r="GO228" s="18"/>
      <c r="GP228" s="18"/>
      <c r="GQ228" s="18"/>
      <c r="GR228" s="18"/>
      <c r="GS228" s="18"/>
      <c r="GT228" s="18"/>
      <c r="GU228" s="18"/>
      <c r="GV228" s="18"/>
      <c r="GW228" s="18"/>
      <c r="GX228" s="18"/>
      <c r="GY228" s="18"/>
      <c r="GZ228" s="18"/>
      <c r="HA228" s="18"/>
      <c r="HB228" s="18"/>
      <c r="HC228" s="18"/>
      <c r="HD228" s="18"/>
      <c r="HE228" s="18"/>
      <c r="HF228" s="18"/>
      <c r="HG228" s="18"/>
      <c r="HH228" s="18"/>
      <c r="HI228" s="18"/>
      <c r="HJ228" s="18"/>
      <c r="HK228" s="18"/>
      <c r="HL228" s="18"/>
      <c r="HM228" s="18"/>
      <c r="HN228" s="18"/>
      <c r="HO228" s="18"/>
      <c r="HP228" s="18"/>
      <c r="HQ228" s="18"/>
      <c r="HR228" s="18"/>
      <c r="HS228" s="18"/>
      <c r="HT228" s="18"/>
      <c r="HU228" s="18"/>
      <c r="HV228" s="18"/>
      <c r="HW228" s="18"/>
      <c r="HX228" s="18"/>
      <c r="HY228" s="18"/>
      <c r="HZ228" s="18"/>
      <c r="IA228" s="18"/>
      <c r="IB228" s="18"/>
      <c r="IC228" s="18"/>
      <c r="ID228" s="18"/>
      <c r="IE228" s="18"/>
      <c r="IF228" s="18"/>
      <c r="IG228" s="18"/>
      <c r="IH228" s="18"/>
      <c r="II228" s="18"/>
      <c r="IJ228" s="18"/>
      <c r="IK228" s="18"/>
      <c r="IL228" s="18"/>
      <c r="IM228" s="18"/>
      <c r="IN228" s="18"/>
      <c r="IO228" s="18"/>
      <c r="IP228" s="18"/>
      <c r="IQ228" s="18"/>
      <c r="IR228" s="18"/>
      <c r="IS228" s="18"/>
      <c r="IT228" s="18"/>
      <c r="IU228" s="18"/>
      <c r="IV228" s="18"/>
      <c r="IW228" s="18"/>
      <c r="IX228" s="18"/>
      <c r="IY228" s="18"/>
      <c r="IZ228" s="18"/>
      <c r="JA228" s="18"/>
      <c r="JB228" s="18"/>
      <c r="JC228" s="18"/>
      <c r="JD228" s="18"/>
      <c r="JE228" s="18"/>
      <c r="JF228" s="18"/>
      <c r="JG228" s="18"/>
      <c r="JH228" s="18"/>
      <c r="JI228" s="18"/>
      <c r="JJ228" s="18"/>
      <c r="JK228" s="18"/>
      <c r="JL228" s="18"/>
      <c r="JM228" s="18"/>
      <c r="JN228" s="18"/>
      <c r="JO228" s="18"/>
      <c r="JP228" s="18"/>
      <c r="JQ228" s="18"/>
      <c r="JR228" s="18"/>
      <c r="JS228" s="18"/>
      <c r="JT228" s="18"/>
      <c r="JU228" s="18"/>
      <c r="JV228" s="18"/>
      <c r="JW228" s="18"/>
      <c r="JX228" s="18"/>
      <c r="JY228" s="18"/>
      <c r="JZ228" s="18"/>
      <c r="KA228" s="18"/>
      <c r="KB228" s="18"/>
      <c r="KC228" s="18"/>
      <c r="KD228" s="18"/>
      <c r="KE228" s="18"/>
      <c r="KF228" s="18"/>
      <c r="KG228" s="18"/>
      <c r="KH228" s="18"/>
      <c r="KI228" s="18"/>
      <c r="KJ228" s="18"/>
      <c r="KK228" s="18"/>
      <c r="KL228" s="18"/>
      <c r="KM228" s="18"/>
      <c r="KN228" s="18"/>
      <c r="KO228" s="18"/>
      <c r="KP228" s="18"/>
      <c r="KQ228" s="18"/>
      <c r="KR228" s="18"/>
      <c r="KS228" s="18"/>
      <c r="KT228" s="18"/>
      <c r="KU228" s="18"/>
      <c r="KV228" s="18"/>
      <c r="KW228" s="18"/>
      <c r="KX228" s="18"/>
      <c r="KY228" s="18"/>
      <c r="KZ228" s="18"/>
      <c r="LA228" s="18"/>
      <c r="LB228" s="18"/>
      <c r="LC228" s="18"/>
      <c r="LD228" s="18"/>
      <c r="LE228" s="18"/>
      <c r="LF228" s="18"/>
      <c r="LG228" s="18"/>
      <c r="LH228" s="18"/>
      <c r="LI228" s="18"/>
      <c r="LJ228" s="18"/>
      <c r="LK228" s="18"/>
      <c r="LL228" s="18"/>
      <c r="LM228" s="18"/>
      <c r="LN228" s="18"/>
      <c r="LO228" s="18"/>
      <c r="LP228" s="18"/>
      <c r="LQ228" s="18"/>
      <c r="LR228" s="18"/>
      <c r="LS228" s="18"/>
      <c r="LT228" s="18"/>
      <c r="LU228" s="18"/>
      <c r="LV228" s="18"/>
      <c r="LW228" s="18"/>
      <c r="LX228" s="18"/>
      <c r="LY228" s="18"/>
      <c r="LZ228" s="18"/>
      <c r="MA228" s="18"/>
      <c r="MB228" s="18"/>
      <c r="MC228" s="18"/>
      <c r="MD228" s="18"/>
      <c r="ME228" s="18"/>
      <c r="MF228" s="18"/>
      <c r="MG228" s="18"/>
      <c r="MH228" s="18"/>
      <c r="MI228" s="18"/>
      <c r="MJ228" s="18"/>
      <c r="MK228" s="18"/>
      <c r="ML228" s="18"/>
      <c r="MM228" s="18"/>
      <c r="MN228" s="18"/>
      <c r="MO228" s="18"/>
      <c r="MP228" s="18"/>
      <c r="MQ228" s="18"/>
      <c r="MR228" s="18"/>
      <c r="MS228" s="18"/>
      <c r="MT228" s="18"/>
      <c r="MU228" s="18"/>
      <c r="MV228" s="18"/>
      <c r="MW228" s="18"/>
      <c r="MX228" s="18"/>
      <c r="MY228" s="18"/>
      <c r="MZ228" s="18"/>
      <c r="NA228" s="18"/>
      <c r="NB228" s="18"/>
      <c r="NC228" s="18"/>
      <c r="ND228" s="18"/>
      <c r="NE228" s="18"/>
      <c r="NF228" s="18"/>
      <c r="NG228" s="18"/>
      <c r="NH228" s="18"/>
      <c r="NI228" s="18"/>
      <c r="NJ228" s="18"/>
      <c r="NK228" s="18"/>
      <c r="NL228" s="18"/>
      <c r="NM228" s="18"/>
      <c r="NN228" s="18"/>
      <c r="NO228" s="18"/>
      <c r="NP228" s="18"/>
      <c r="NQ228" s="18"/>
      <c r="NR228" s="18"/>
      <c r="NS228" s="18"/>
      <c r="NT228" s="18"/>
      <c r="NU228" s="18"/>
      <c r="NV228" s="18"/>
      <c r="NW228" s="18"/>
      <c r="NX228" s="18"/>
      <c r="NY228" s="18"/>
      <c r="NZ228" s="18"/>
      <c r="OA228" s="18"/>
      <c r="OB228" s="18"/>
      <c r="OC228" s="18"/>
      <c r="OD228" s="18"/>
      <c r="OE228" s="18"/>
      <c r="OF228" s="18"/>
      <c r="OG228" s="18"/>
      <c r="OH228" s="18"/>
      <c r="OI228" s="18"/>
      <c r="OJ228" s="18"/>
      <c r="OK228" s="18"/>
      <c r="OL228" s="18"/>
      <c r="OM228" s="18"/>
      <c r="ON228" s="18"/>
      <c r="OO228" s="18"/>
      <c r="OP228" s="18"/>
      <c r="OQ228" s="18"/>
      <c r="OR228" s="18"/>
      <c r="OS228" s="18"/>
      <c r="OT228" s="18"/>
      <c r="OU228" s="18"/>
      <c r="OV228" s="18"/>
      <c r="OW228" s="18"/>
      <c r="OX228" s="18"/>
      <c r="OY228" s="18"/>
      <c r="OZ228" s="18"/>
      <c r="PA228" s="18"/>
      <c r="PB228" s="18"/>
      <c r="PC228" s="18"/>
      <c r="PD228" s="18"/>
      <c r="PE228" s="18"/>
      <c r="PF228" s="18"/>
      <c r="PG228" s="18"/>
      <c r="PH228" s="18"/>
      <c r="PI228" s="18"/>
      <c r="PJ228" s="18"/>
      <c r="PK228" s="18"/>
      <c r="PL228" s="18"/>
      <c r="PM228" s="18"/>
      <c r="PN228" s="18"/>
      <c r="PO228" s="18"/>
      <c r="PP228" s="18"/>
      <c r="PQ228" s="18"/>
      <c r="PR228" s="18"/>
      <c r="PS228" s="18"/>
      <c r="PT228" s="18"/>
      <c r="PU228" s="18"/>
      <c r="PV228" s="18"/>
      <c r="PW228" s="18"/>
      <c r="PX228" s="18"/>
      <c r="PY228" s="18"/>
      <c r="PZ228" s="18"/>
      <c r="QA228" s="18"/>
      <c r="QB228" s="18"/>
      <c r="QC228" s="18"/>
      <c r="QD228" s="18"/>
      <c r="QE228" s="18"/>
      <c r="QF228" s="18"/>
      <c r="QG228" s="18"/>
      <c r="QH228" s="18"/>
      <c r="QI228" s="18"/>
      <c r="QJ228" s="18"/>
      <c r="QK228" s="18"/>
      <c r="QL228" s="18"/>
      <c r="QM228" s="18"/>
      <c r="QN228" s="18"/>
      <c r="QO228" s="18"/>
      <c r="QP228" s="18"/>
      <c r="QQ228" s="18"/>
      <c r="QR228" s="18"/>
      <c r="QS228" s="18"/>
      <c r="QT228" s="18"/>
      <c r="QU228" s="18"/>
      <c r="QV228" s="18"/>
      <c r="QW228" s="18"/>
      <c r="QX228" s="18"/>
      <c r="QY228" s="18"/>
      <c r="QZ228" s="18"/>
      <c r="RA228" s="18"/>
      <c r="RB228" s="18"/>
      <c r="RC228" s="18"/>
      <c r="RD228" s="18"/>
      <c r="RE228" s="18"/>
      <c r="RF228" s="18"/>
      <c r="RG228" s="18"/>
      <c r="RH228" s="18"/>
      <c r="RI228" s="18"/>
      <c r="RJ228" s="18"/>
      <c r="RK228" s="18"/>
      <c r="RL228" s="18"/>
      <c r="RM228" s="18"/>
      <c r="RN228" s="18"/>
      <c r="RO228" s="18"/>
      <c r="RP228" s="18"/>
      <c r="RQ228" s="18"/>
      <c r="RR228" s="18"/>
      <c r="RS228" s="18"/>
      <c r="RT228" s="18"/>
      <c r="RU228" s="18"/>
      <c r="RV228" s="18"/>
      <c r="RW228" s="18"/>
      <c r="RX228" s="18"/>
      <c r="RY228" s="18"/>
      <c r="RZ228" s="18"/>
      <c r="SA228" s="18"/>
      <c r="SB228" s="18"/>
      <c r="SC228" s="18"/>
      <c r="SD228" s="18"/>
      <c r="SE228" s="18"/>
      <c r="SF228" s="18"/>
      <c r="SG228" s="18"/>
      <c r="SH228" s="18"/>
      <c r="SI228" s="18"/>
      <c r="SJ228" s="18"/>
      <c r="SK228" s="18"/>
      <c r="SL228" s="18"/>
      <c r="SM228" s="18"/>
      <c r="SN228" s="18"/>
      <c r="SO228" s="18"/>
      <c r="SP228" s="18"/>
      <c r="SQ228" s="18"/>
      <c r="SR228" s="18"/>
      <c r="SS228" s="18"/>
      <c r="ST228" s="18"/>
      <c r="SU228" s="18"/>
      <c r="SV228" s="18"/>
      <c r="SW228" s="18"/>
      <c r="SX228" s="18"/>
      <c r="SY228" s="18"/>
      <c r="SZ228" s="18"/>
      <c r="TA228" s="18"/>
      <c r="TB228" s="18"/>
      <c r="TC228" s="18"/>
      <c r="TD228" s="18"/>
      <c r="TE228" s="18"/>
      <c r="TF228" s="18"/>
      <c r="TG228" s="18"/>
      <c r="TH228" s="18"/>
      <c r="TI228" s="18"/>
      <c r="TJ228" s="18"/>
      <c r="TK228" s="18"/>
      <c r="TL228" s="18"/>
      <c r="TM228" s="18"/>
      <c r="TN228" s="18"/>
      <c r="TO228" s="18"/>
      <c r="TP228" s="18"/>
      <c r="TQ228" s="18"/>
      <c r="TR228" s="18"/>
      <c r="TS228" s="18"/>
      <c r="TT228" s="18"/>
      <c r="TU228" s="18"/>
      <c r="TV228" s="18"/>
      <c r="TW228" s="18"/>
      <c r="TX228" s="18"/>
      <c r="TY228" s="18"/>
      <c r="TZ228" s="18"/>
      <c r="UA228" s="18"/>
      <c r="UB228" s="18"/>
      <c r="UC228" s="18"/>
      <c r="UD228" s="18"/>
      <c r="UE228" s="18"/>
      <c r="UF228" s="18"/>
      <c r="UG228" s="18"/>
      <c r="UH228" s="18"/>
      <c r="UI228" s="18"/>
      <c r="UJ228" s="18"/>
      <c r="UK228" s="18"/>
      <c r="UL228" s="18"/>
      <c r="UM228" s="18"/>
      <c r="UN228" s="18"/>
      <c r="UO228" s="18"/>
      <c r="UP228" s="18"/>
      <c r="UQ228" s="18"/>
      <c r="UR228" s="18"/>
      <c r="US228" s="18"/>
      <c r="UT228" s="18"/>
      <c r="UU228" s="18"/>
      <c r="UV228" s="18"/>
      <c r="UW228" s="18"/>
      <c r="UX228" s="18"/>
      <c r="UY228" s="18"/>
      <c r="UZ228" s="18"/>
      <c r="VA228" s="18"/>
      <c r="VB228" s="18"/>
      <c r="VC228" s="18"/>
      <c r="VD228" s="18"/>
      <c r="VE228" s="18"/>
      <c r="VF228" s="18"/>
      <c r="VG228" s="18"/>
      <c r="VH228" s="18"/>
      <c r="VI228" s="18"/>
      <c r="VJ228" s="18"/>
      <c r="VK228" s="18"/>
      <c r="VL228" s="18"/>
      <c r="VM228" s="18"/>
      <c r="VN228" s="18"/>
      <c r="VO228" s="18"/>
      <c r="VP228" s="18"/>
      <c r="VQ228" s="18"/>
      <c r="VR228" s="18"/>
      <c r="VS228" s="18"/>
      <c r="VT228" s="18"/>
      <c r="VU228" s="18"/>
      <c r="VV228" s="18"/>
      <c r="VW228" s="18"/>
      <c r="VX228" s="18"/>
      <c r="VY228" s="18"/>
      <c r="VZ228" s="18"/>
      <c r="WA228" s="18"/>
      <c r="WB228" s="18"/>
      <c r="WC228" s="18"/>
      <c r="WD228" s="18"/>
      <c r="WE228" s="18"/>
      <c r="WF228" s="18"/>
      <c r="WG228" s="18"/>
      <c r="WH228" s="18"/>
      <c r="WI228" s="18"/>
      <c r="WJ228" s="18"/>
      <c r="WK228" s="18"/>
      <c r="WL228" s="18"/>
      <c r="WM228" s="18"/>
      <c r="WN228" s="18"/>
      <c r="WO228" s="18"/>
      <c r="WP228" s="18"/>
      <c r="WQ228" s="18"/>
      <c r="WR228" s="18"/>
      <c r="WS228" s="18"/>
      <c r="WT228" s="18"/>
      <c r="WU228" s="18"/>
      <c r="WV228" s="18"/>
      <c r="WW228" s="18"/>
      <c r="WX228" s="18"/>
      <c r="WY228" s="18"/>
      <c r="WZ228" s="18"/>
      <c r="XA228" s="18"/>
      <c r="XB228" s="18"/>
      <c r="XC228" s="18"/>
      <c r="XD228" s="18"/>
      <c r="XE228" s="18"/>
      <c r="XF228" s="18"/>
      <c r="XG228" s="18"/>
      <c r="XH228" s="18"/>
      <c r="XI228" s="18"/>
      <c r="XJ228" s="18"/>
      <c r="XK228" s="18"/>
      <c r="XL228" s="18"/>
      <c r="XM228" s="18"/>
      <c r="XN228" s="18"/>
      <c r="XO228" s="18"/>
      <c r="XP228" s="18"/>
      <c r="XQ228" s="18"/>
      <c r="XR228" s="18"/>
      <c r="XS228" s="18"/>
      <c r="XT228" s="18"/>
      <c r="XU228" s="18"/>
      <c r="XV228" s="18"/>
      <c r="XW228" s="18"/>
      <c r="XX228" s="18"/>
      <c r="XY228" s="18"/>
      <c r="XZ228" s="18"/>
      <c r="YA228" s="18"/>
      <c r="YB228" s="18"/>
      <c r="YC228" s="18"/>
      <c r="YD228" s="18"/>
      <c r="YE228" s="18"/>
      <c r="YF228" s="18"/>
      <c r="YG228" s="18"/>
      <c r="YH228" s="18"/>
      <c r="YI228" s="18"/>
      <c r="YJ228" s="18"/>
      <c r="YK228" s="18"/>
      <c r="YL228" s="18"/>
      <c r="YM228" s="18"/>
      <c r="YN228" s="18"/>
      <c r="YO228" s="18"/>
      <c r="YP228" s="18"/>
      <c r="YQ228" s="18"/>
      <c r="YR228" s="18"/>
      <c r="YS228" s="18"/>
      <c r="YT228" s="18"/>
      <c r="YU228" s="18"/>
      <c r="YV228" s="18"/>
      <c r="YW228" s="18"/>
      <c r="YX228" s="18"/>
      <c r="YY228" s="18"/>
      <c r="YZ228" s="18"/>
      <c r="ZA228" s="18"/>
      <c r="ZB228" s="18"/>
      <c r="ZC228" s="18"/>
      <c r="ZD228" s="18"/>
      <c r="ZE228" s="18"/>
      <c r="ZF228" s="18"/>
      <c r="ZG228" s="18"/>
      <c r="ZH228" s="18"/>
      <c r="ZI228" s="18"/>
      <c r="ZJ228" s="18"/>
      <c r="ZK228" s="18"/>
      <c r="ZL228" s="18"/>
      <c r="ZM228" s="18"/>
      <c r="ZN228" s="18"/>
      <c r="ZO228" s="18"/>
      <c r="ZP228" s="18"/>
      <c r="ZQ228" s="18"/>
      <c r="ZR228" s="18"/>
      <c r="ZS228" s="18"/>
      <c r="ZT228" s="18"/>
      <c r="ZU228" s="18"/>
      <c r="ZV228" s="18"/>
      <c r="ZW228" s="18"/>
      <c r="ZX228" s="18"/>
      <c r="ZY228" s="18"/>
      <c r="ZZ228" s="18"/>
      <c r="AAA228" s="18"/>
      <c r="AAB228" s="18"/>
      <c r="AAC228" s="18"/>
      <c r="AAD228" s="18"/>
      <c r="AAE228" s="18"/>
      <c r="AAF228" s="18"/>
      <c r="AAG228" s="18"/>
      <c r="AAH228" s="18"/>
      <c r="AAI228" s="18"/>
      <c r="AAJ228" s="18"/>
      <c r="AAK228" s="18"/>
      <c r="AAL228" s="18"/>
      <c r="AAM228" s="18"/>
      <c r="AAN228" s="18"/>
      <c r="AAO228" s="18"/>
      <c r="AAP228" s="18"/>
      <c r="AAQ228" s="18"/>
      <c r="AAR228" s="18"/>
      <c r="AAS228" s="18"/>
      <c r="AAT228" s="18"/>
      <c r="AAU228" s="18"/>
      <c r="AAV228" s="18"/>
      <c r="AAW228" s="18"/>
      <c r="AAX228" s="18"/>
      <c r="AAY228" s="18"/>
      <c r="AAZ228" s="18"/>
      <c r="ABA228" s="18"/>
      <c r="ABB228" s="18"/>
      <c r="ABC228" s="18"/>
      <c r="ABD228" s="18"/>
      <c r="ABE228" s="18"/>
      <c r="ABF228" s="18"/>
      <c r="ABG228" s="18"/>
      <c r="ABH228" s="18"/>
      <c r="ABI228" s="18"/>
      <c r="ABJ228" s="18"/>
      <c r="ABK228" s="18"/>
      <c r="ABL228" s="18"/>
      <c r="ABM228" s="18"/>
      <c r="ABN228" s="18"/>
      <c r="ABO228" s="18"/>
      <c r="ABP228" s="18"/>
      <c r="ABQ228" s="18"/>
      <c r="ABR228" s="18"/>
      <c r="ABS228" s="18"/>
      <c r="ABT228" s="18"/>
      <c r="ABU228" s="18"/>
      <c r="ABV228" s="18"/>
      <c r="ABW228" s="18"/>
      <c r="ABX228" s="18"/>
      <c r="ABY228" s="18"/>
      <c r="ABZ228" s="18"/>
      <c r="ACA228" s="18"/>
      <c r="ACB228" s="18"/>
      <c r="ACC228" s="18"/>
      <c r="ACD228" s="18"/>
      <c r="ACE228" s="18"/>
      <c r="ACF228" s="18"/>
      <c r="ACG228" s="18"/>
      <c r="ACH228" s="18"/>
      <c r="ACI228" s="18"/>
      <c r="ACJ228" s="18"/>
      <c r="ACK228" s="18"/>
      <c r="ACL228" s="18"/>
      <c r="ACM228" s="18"/>
      <c r="ACN228" s="18"/>
      <c r="ACO228" s="18"/>
      <c r="ACP228" s="18"/>
      <c r="ACQ228" s="18"/>
      <c r="ACR228" s="18"/>
      <c r="ACS228" s="18"/>
      <c r="ACT228" s="18"/>
      <c r="ACU228" s="18"/>
      <c r="ACV228" s="18"/>
      <c r="ACW228" s="18"/>
      <c r="ACX228" s="18"/>
      <c r="ACY228" s="18"/>
      <c r="ACZ228" s="18"/>
      <c r="ADA228" s="18"/>
      <c r="ADB228" s="18"/>
      <c r="ADC228" s="18"/>
      <c r="ADD228" s="18"/>
      <c r="ADE228" s="18"/>
      <c r="ADF228" s="18"/>
      <c r="ADG228" s="18"/>
      <c r="ADH228" s="18"/>
      <c r="ADI228" s="18"/>
      <c r="ADJ228" s="18"/>
      <c r="ADK228" s="18"/>
      <c r="ADL228" s="18"/>
      <c r="ADM228" s="18"/>
      <c r="ADN228" s="18"/>
      <c r="ADO228" s="18"/>
      <c r="ADP228" s="18"/>
      <c r="ADQ228" s="18"/>
      <c r="ADR228" s="18"/>
      <c r="ADS228" s="18"/>
      <c r="ADT228" s="18"/>
      <c r="ADU228" s="18"/>
      <c r="ADV228" s="18"/>
      <c r="ADW228" s="18"/>
      <c r="ADX228" s="18"/>
      <c r="ADY228" s="18"/>
      <c r="ADZ228" s="18"/>
      <c r="AEA228" s="18"/>
      <c r="AEB228" s="18"/>
      <c r="AEC228" s="18"/>
      <c r="AED228" s="18"/>
      <c r="AEE228" s="18"/>
      <c r="AEF228" s="18"/>
      <c r="AEG228" s="18"/>
      <c r="AEH228" s="18"/>
      <c r="AEI228" s="18"/>
      <c r="AEJ228" s="18"/>
      <c r="AEK228" s="18"/>
      <c r="AEL228" s="18"/>
      <c r="AEM228" s="18"/>
      <c r="AEN228" s="18"/>
      <c r="AEO228" s="18"/>
      <c r="AEP228" s="18"/>
      <c r="AEQ228" s="18"/>
      <c r="AER228" s="18"/>
      <c r="AES228" s="18"/>
      <c r="AET228" s="18"/>
      <c r="AEU228" s="18"/>
      <c r="AEV228" s="18"/>
      <c r="AEW228" s="18"/>
      <c r="AEX228" s="18"/>
      <c r="AEY228" s="18"/>
      <c r="AEZ228" s="18"/>
      <c r="AFA228" s="18"/>
      <c r="AFB228" s="18"/>
      <c r="AFC228" s="18"/>
      <c r="AFD228" s="18"/>
      <c r="AFE228" s="18"/>
      <c r="AFF228" s="18"/>
      <c r="AFG228" s="18"/>
      <c r="AFH228" s="18"/>
      <c r="AFI228" s="18"/>
      <c r="AFJ228" s="18"/>
      <c r="AFK228" s="18"/>
      <c r="AFL228" s="18"/>
      <c r="AFM228" s="18"/>
      <c r="AFN228" s="18"/>
      <c r="AFO228" s="18"/>
      <c r="AFP228" s="18"/>
      <c r="AFQ228" s="18"/>
      <c r="AFR228" s="18"/>
      <c r="AFS228" s="18"/>
      <c r="AFT228" s="18"/>
      <c r="AFU228" s="18"/>
      <c r="AFV228" s="18"/>
      <c r="AFW228" s="18"/>
      <c r="AFX228" s="18"/>
      <c r="AFY228" s="18"/>
      <c r="AFZ228" s="18"/>
      <c r="AGA228" s="18"/>
      <c r="AGB228" s="18"/>
      <c r="AGC228" s="18"/>
      <c r="AGD228" s="18"/>
      <c r="AGE228" s="18"/>
      <c r="AGF228" s="18"/>
      <c r="AGG228" s="18"/>
      <c r="AGH228" s="18"/>
      <c r="AGI228" s="18"/>
      <c r="AGJ228" s="18"/>
      <c r="AGK228" s="18"/>
      <c r="AGL228" s="18"/>
      <c r="AGM228" s="18"/>
      <c r="AGN228" s="18"/>
      <c r="AGO228" s="18"/>
      <c r="AGP228" s="18"/>
      <c r="AGQ228" s="18"/>
      <c r="AGR228" s="18"/>
      <c r="AGS228" s="18"/>
      <c r="AGT228" s="18"/>
      <c r="AGU228" s="18"/>
      <c r="AGV228" s="18"/>
      <c r="AGW228" s="18"/>
      <c r="AGX228" s="18"/>
      <c r="AGY228" s="18"/>
      <c r="AGZ228" s="18"/>
      <c r="AHA228" s="18"/>
      <c r="AHB228" s="18"/>
      <c r="AHC228" s="18"/>
      <c r="AHD228" s="18"/>
      <c r="AHE228" s="18"/>
      <c r="AHF228" s="18"/>
      <c r="AHG228" s="18"/>
      <c r="AHH228" s="18"/>
      <c r="AHI228" s="18"/>
      <c r="AHJ228" s="18"/>
      <c r="AHK228" s="18"/>
      <c r="AHL228" s="18"/>
      <c r="AHM228" s="18"/>
      <c r="AHN228" s="18"/>
      <c r="AHO228" s="18"/>
      <c r="AHP228" s="18"/>
      <c r="AHQ228" s="18"/>
      <c r="AHR228" s="18"/>
      <c r="AHS228" s="18"/>
      <c r="AHT228" s="18"/>
      <c r="AHU228" s="18"/>
      <c r="AHV228" s="18"/>
      <c r="AHW228" s="18"/>
      <c r="AHX228" s="18"/>
      <c r="AHY228" s="18"/>
      <c r="AHZ228" s="18"/>
      <c r="AIA228" s="18"/>
      <c r="AIB228" s="18"/>
      <c r="AIC228" s="18"/>
      <c r="AID228" s="18"/>
      <c r="AIE228" s="18"/>
      <c r="AIF228" s="18"/>
      <c r="AIG228" s="18"/>
      <c r="AIH228" s="18"/>
      <c r="AII228" s="18"/>
      <c r="AIJ228" s="18"/>
      <c r="AIK228" s="18"/>
      <c r="AIL228" s="18"/>
      <c r="AIM228" s="18"/>
      <c r="AIN228" s="18"/>
      <c r="AIO228" s="18"/>
      <c r="AIP228" s="18"/>
      <c r="AIQ228" s="18"/>
      <c r="AIR228" s="18"/>
      <c r="AIS228" s="18"/>
      <c r="AIT228" s="18"/>
      <c r="AIU228" s="18"/>
      <c r="AIV228" s="18"/>
      <c r="AIW228" s="18"/>
      <c r="AIX228" s="18"/>
      <c r="AIY228" s="18"/>
      <c r="AIZ228" s="18"/>
      <c r="AJA228" s="18"/>
      <c r="AJB228" s="18"/>
      <c r="AJC228" s="18"/>
      <c r="AJD228" s="18"/>
      <c r="AJE228" s="18"/>
      <c r="AJF228" s="18"/>
      <c r="AJG228" s="18"/>
      <c r="AJH228" s="18"/>
      <c r="AJI228" s="18"/>
      <c r="AJJ228" s="18"/>
      <c r="AJK228" s="18"/>
      <c r="AJL228" s="18"/>
      <c r="AJM228" s="18"/>
      <c r="AJN228" s="18"/>
      <c r="AJO228" s="18"/>
      <c r="AJP228" s="18"/>
      <c r="AJQ228" s="18"/>
      <c r="AJR228" s="18"/>
      <c r="AJS228" s="18"/>
      <c r="AJT228" s="18"/>
      <c r="AJU228" s="18"/>
      <c r="AJV228" s="18"/>
      <c r="AJW228" s="18"/>
      <c r="AJX228" s="18"/>
      <c r="AJY228" s="18"/>
      <c r="AJZ228" s="18"/>
      <c r="AKA228" s="18"/>
      <c r="AKB228" s="18"/>
      <c r="AKC228" s="18"/>
      <c r="AKD228" s="18"/>
      <c r="AKE228" s="18"/>
      <c r="AKF228" s="18"/>
      <c r="AKG228" s="18"/>
      <c r="AKH228" s="18"/>
      <c r="AKI228" s="18"/>
      <c r="AKJ228" s="18"/>
      <c r="AKK228" s="18"/>
      <c r="AKL228" s="18"/>
      <c r="AKM228" s="18"/>
      <c r="AKN228" s="18"/>
      <c r="AKO228" s="18"/>
      <c r="AKP228" s="18"/>
      <c r="AKQ228" s="18"/>
      <c r="AKR228" s="18"/>
      <c r="AKS228" s="18"/>
      <c r="AKT228" s="18"/>
      <c r="AKU228" s="18"/>
      <c r="AKV228" s="18"/>
      <c r="AKW228" s="18"/>
      <c r="AKX228" s="18"/>
      <c r="AKY228" s="18"/>
      <c r="AKZ228" s="18"/>
      <c r="ALA228" s="18"/>
      <c r="ALB228" s="18"/>
      <c r="ALC228" s="18"/>
      <c r="ALD228" s="18"/>
      <c r="ALE228" s="18"/>
      <c r="ALF228" s="18"/>
      <c r="ALG228" s="18"/>
      <c r="ALH228" s="18"/>
      <c r="ALI228" s="18"/>
      <c r="ALJ228" s="18"/>
      <c r="ALK228" s="18"/>
      <c r="ALL228" s="18"/>
      <c r="ALM228" s="18"/>
      <c r="ALN228" s="18"/>
      <c r="ALO228" s="18"/>
      <c r="ALP228" s="18"/>
      <c r="ALQ228" s="18"/>
      <c r="ALR228" s="18"/>
      <c r="ALS228" s="18"/>
      <c r="ALT228" s="18"/>
      <c r="ALU228" s="18"/>
      <c r="ALV228" s="18"/>
      <c r="ALW228" s="18"/>
      <c r="ALX228" s="18"/>
      <c r="ALY228" s="18"/>
      <c r="ALZ228" s="18"/>
      <c r="AMA228" s="18"/>
      <c r="AMB228" s="18"/>
      <c r="AMC228" s="18"/>
      <c r="AMD228" s="18"/>
      <c r="AME228" s="18"/>
      <c r="AMF228" s="18"/>
      <c r="AMG228" s="18"/>
      <c r="AMH228" s="18"/>
      <c r="AMI228" s="18"/>
      <c r="AMJ228" s="18"/>
      <c r="AMK228" s="18"/>
      <c r="AML228" s="18"/>
      <c r="AMM228" s="18"/>
      <c r="AMN228" s="18"/>
      <c r="AMO228" s="18"/>
      <c r="AMP228" s="18"/>
      <c r="AMQ228" s="18"/>
      <c r="AMR228" s="18"/>
      <c r="AMS228" s="18"/>
      <c r="AMT228" s="18"/>
      <c r="AMU228" s="18"/>
      <c r="AMV228" s="18"/>
      <c r="AMW228" s="18"/>
      <c r="AMX228" s="18"/>
      <c r="AMY228" s="18"/>
      <c r="AMZ228" s="18"/>
      <c r="ANA228" s="18"/>
      <c r="ANB228" s="18"/>
      <c r="ANC228" s="18"/>
      <c r="AND228" s="18"/>
      <c r="ANE228" s="18"/>
      <c r="ANF228" s="18"/>
      <c r="ANG228" s="18"/>
      <c r="ANH228" s="18"/>
      <c r="ANI228" s="18"/>
      <c r="ANJ228" s="18"/>
      <c r="ANK228" s="18"/>
      <c r="ANL228" s="18"/>
      <c r="ANM228" s="18"/>
      <c r="ANN228" s="18"/>
      <c r="ANO228" s="18"/>
      <c r="ANP228" s="18"/>
      <c r="ANQ228" s="18"/>
      <c r="ANR228" s="18"/>
      <c r="ANS228" s="18"/>
      <c r="ANT228" s="18"/>
      <c r="ANU228" s="18"/>
      <c r="ANV228" s="18"/>
      <c r="ANW228" s="18"/>
      <c r="ANX228" s="18"/>
      <c r="ANY228" s="18"/>
      <c r="ANZ228" s="18"/>
      <c r="AOA228" s="18"/>
      <c r="AOB228" s="18"/>
      <c r="AOC228" s="18"/>
      <c r="AOD228" s="18"/>
      <c r="AOE228" s="18"/>
      <c r="AOF228" s="18"/>
      <c r="AOG228" s="18"/>
      <c r="AOH228" s="18"/>
      <c r="AOI228" s="18"/>
      <c r="AOJ228" s="18"/>
      <c r="AOK228" s="18"/>
      <c r="AOL228" s="18"/>
      <c r="AOM228" s="18"/>
      <c r="AON228" s="18"/>
      <c r="AOO228" s="18"/>
      <c r="AOP228" s="18"/>
      <c r="AOQ228" s="18"/>
      <c r="AOR228" s="18"/>
      <c r="AOS228" s="18"/>
      <c r="AOT228" s="18"/>
      <c r="AOU228" s="18"/>
      <c r="AOV228" s="18"/>
      <c r="AOW228" s="18"/>
      <c r="AOX228" s="18"/>
      <c r="AOY228" s="18"/>
      <c r="AOZ228" s="18"/>
      <c r="APA228" s="18"/>
      <c r="APB228" s="18"/>
      <c r="APC228" s="18"/>
      <c r="APD228" s="18"/>
      <c r="APE228" s="18"/>
      <c r="APF228" s="18"/>
      <c r="APG228" s="18"/>
      <c r="APH228" s="18"/>
      <c r="API228" s="18"/>
      <c r="APJ228" s="18"/>
      <c r="APK228" s="18"/>
      <c r="APL228" s="18"/>
      <c r="APM228" s="18"/>
      <c r="APN228" s="18"/>
      <c r="APO228" s="18"/>
      <c r="APP228" s="18"/>
      <c r="APQ228" s="18"/>
      <c r="APR228" s="18"/>
      <c r="APS228" s="18"/>
      <c r="APT228" s="18"/>
      <c r="APU228" s="18"/>
      <c r="APV228" s="18"/>
      <c r="APW228" s="18"/>
      <c r="APX228" s="18"/>
      <c r="APY228" s="18"/>
      <c r="APZ228" s="18"/>
      <c r="AQA228" s="18"/>
      <c r="AQB228" s="18"/>
      <c r="AQC228" s="18"/>
      <c r="AQD228" s="18"/>
      <c r="AQE228" s="18"/>
      <c r="AQF228" s="18"/>
      <c r="AQG228" s="18"/>
      <c r="AQH228" s="18"/>
      <c r="AQI228" s="18"/>
      <c r="AQJ228" s="18"/>
      <c r="AQK228" s="18"/>
      <c r="AQL228" s="18"/>
      <c r="AQM228" s="18"/>
      <c r="AQN228" s="18"/>
      <c r="AQO228" s="18"/>
      <c r="AQP228" s="18"/>
      <c r="AQQ228" s="18"/>
      <c r="AQR228" s="18"/>
      <c r="AQS228" s="18"/>
      <c r="AQT228" s="18"/>
      <c r="AQU228" s="18"/>
      <c r="AQV228" s="18"/>
      <c r="AQW228" s="18"/>
      <c r="AQX228" s="18"/>
      <c r="AQY228" s="18"/>
      <c r="AQZ228" s="18"/>
      <c r="ARA228" s="18"/>
      <c r="ARB228" s="18"/>
      <c r="ARC228" s="18"/>
      <c r="ARD228" s="18"/>
      <c r="ARE228" s="18"/>
      <c r="ARF228" s="18"/>
      <c r="ARG228" s="18"/>
      <c r="ARH228" s="18"/>
      <c r="ARI228" s="18"/>
      <c r="ARJ228" s="18"/>
      <c r="ARK228" s="18"/>
      <c r="ARL228" s="18"/>
      <c r="ARM228" s="18"/>
      <c r="ARN228" s="18"/>
      <c r="ARO228" s="18"/>
      <c r="ARP228" s="18"/>
      <c r="ARQ228" s="18"/>
      <c r="ARR228" s="18"/>
      <c r="ARS228" s="18"/>
      <c r="ART228" s="18"/>
      <c r="ARU228" s="18"/>
      <c r="ARV228" s="18"/>
      <c r="ARW228" s="18"/>
      <c r="ARX228" s="18"/>
      <c r="ARY228" s="18"/>
      <c r="ARZ228" s="18"/>
      <c r="ASA228" s="18"/>
      <c r="ASB228" s="18"/>
      <c r="ASC228" s="18"/>
      <c r="ASD228" s="18"/>
      <c r="ASE228" s="18"/>
      <c r="ASF228" s="18"/>
      <c r="ASG228" s="18"/>
      <c r="ASH228" s="18"/>
      <c r="ASI228" s="18"/>
      <c r="ASJ228" s="18"/>
      <c r="ASK228" s="18"/>
      <c r="ASL228" s="18"/>
      <c r="ASM228" s="18"/>
      <c r="ASN228" s="18"/>
      <c r="ASO228" s="18"/>
      <c r="ASP228" s="18"/>
      <c r="ASQ228" s="18"/>
      <c r="ASR228" s="18"/>
      <c r="ASS228" s="18"/>
      <c r="AST228" s="18"/>
      <c r="ASU228" s="18"/>
      <c r="ASV228" s="18"/>
      <c r="ASW228" s="18"/>
      <c r="ASX228" s="18"/>
      <c r="ASY228" s="18"/>
      <c r="ASZ228" s="18"/>
      <c r="ATA228" s="18"/>
      <c r="ATB228" s="18"/>
      <c r="ATC228" s="18"/>
      <c r="ATD228" s="18"/>
      <c r="ATE228" s="18"/>
      <c r="ATF228" s="18"/>
      <c r="ATG228" s="18"/>
      <c r="ATH228" s="18"/>
      <c r="ATI228" s="18"/>
      <c r="ATJ228" s="18"/>
      <c r="ATK228" s="18"/>
      <c r="ATL228" s="18"/>
      <c r="ATM228" s="18"/>
      <c r="ATN228" s="18"/>
      <c r="ATO228" s="18"/>
      <c r="ATP228" s="18"/>
      <c r="ATQ228" s="18"/>
      <c r="ATR228" s="18"/>
      <c r="ATS228" s="18"/>
      <c r="ATT228" s="18"/>
      <c r="ATU228" s="18"/>
      <c r="ATV228" s="18"/>
      <c r="ATW228" s="18"/>
      <c r="ATX228" s="18"/>
      <c r="ATY228" s="18"/>
      <c r="ATZ228" s="18"/>
      <c r="AUA228" s="18"/>
      <c r="AUB228" s="18"/>
      <c r="AUC228" s="18"/>
      <c r="AUD228" s="18"/>
      <c r="AUE228" s="18"/>
      <c r="AUF228" s="18"/>
      <c r="AUG228" s="18"/>
      <c r="AUH228" s="18"/>
      <c r="AUI228" s="18"/>
      <c r="AUJ228" s="18"/>
      <c r="AUK228" s="18"/>
      <c r="AUL228" s="18"/>
      <c r="AUM228" s="18"/>
      <c r="AUN228" s="18"/>
      <c r="AUO228" s="18"/>
      <c r="AUP228" s="18"/>
      <c r="AUQ228" s="18"/>
      <c r="AUR228" s="18"/>
      <c r="AUS228" s="18"/>
      <c r="AUT228" s="18"/>
      <c r="AUU228" s="18"/>
      <c r="AUV228" s="18"/>
      <c r="AUW228" s="18"/>
      <c r="AUX228" s="18"/>
      <c r="AUY228" s="18"/>
      <c r="AUZ228" s="18"/>
      <c r="AVA228" s="18"/>
      <c r="AVB228" s="18"/>
      <c r="AVC228" s="18"/>
      <c r="AVD228" s="18"/>
      <c r="AVE228" s="18"/>
      <c r="AVF228" s="18"/>
      <c r="AVG228" s="18"/>
      <c r="AVH228" s="18"/>
      <c r="AVI228" s="18"/>
      <c r="AVJ228" s="18"/>
      <c r="AVK228" s="18"/>
      <c r="AVL228" s="18"/>
      <c r="AVM228" s="18"/>
      <c r="AVN228" s="18"/>
      <c r="AVO228" s="18"/>
      <c r="AVP228" s="18"/>
      <c r="AVQ228" s="18"/>
      <c r="AVR228" s="18"/>
      <c r="AVS228" s="18"/>
      <c r="AVT228" s="18"/>
      <c r="AVU228" s="18"/>
      <c r="AVV228" s="18"/>
      <c r="AVW228" s="18"/>
      <c r="AVX228" s="18"/>
      <c r="AVY228" s="18"/>
      <c r="AVZ228" s="18"/>
      <c r="AWA228" s="18"/>
      <c r="AWB228" s="18"/>
      <c r="AWC228" s="18"/>
      <c r="AWD228" s="18"/>
      <c r="AWE228" s="18"/>
      <c r="AWF228" s="18"/>
      <c r="AWG228" s="18"/>
      <c r="AWH228" s="18"/>
      <c r="AWI228" s="18"/>
      <c r="AWJ228" s="18"/>
      <c r="AWK228" s="18"/>
      <c r="AWL228" s="18"/>
      <c r="AWM228" s="18"/>
      <c r="AWN228" s="18"/>
      <c r="AWO228" s="18"/>
      <c r="AWP228" s="18"/>
      <c r="AWQ228" s="18"/>
      <c r="AWR228" s="18"/>
      <c r="AWS228" s="18"/>
      <c r="AWT228" s="18"/>
      <c r="AWU228" s="18"/>
      <c r="AWV228" s="18"/>
      <c r="AWW228" s="18"/>
      <c r="AWX228" s="18"/>
      <c r="AWY228" s="18"/>
      <c r="AWZ228" s="18"/>
      <c r="AXA228" s="18"/>
      <c r="AXB228" s="18"/>
      <c r="AXC228" s="18"/>
      <c r="AXD228" s="18"/>
      <c r="AXE228" s="18"/>
      <c r="AXF228" s="18"/>
      <c r="AXG228" s="18"/>
      <c r="AXH228" s="18"/>
      <c r="AXI228" s="18"/>
      <c r="AXJ228" s="18"/>
      <c r="AXK228" s="18"/>
      <c r="AXL228" s="18"/>
      <c r="AXM228" s="18"/>
      <c r="AXN228" s="18"/>
      <c r="AXO228" s="18"/>
      <c r="AXP228" s="18"/>
      <c r="AXQ228" s="18"/>
      <c r="AXR228" s="18"/>
      <c r="AXS228" s="18"/>
      <c r="AXT228" s="18"/>
      <c r="AXU228" s="18"/>
      <c r="AXV228" s="18"/>
      <c r="AXW228" s="18"/>
      <c r="AXX228" s="18"/>
      <c r="AXY228" s="18"/>
      <c r="AXZ228" s="18"/>
      <c r="AYA228" s="18"/>
      <c r="AYB228" s="18"/>
      <c r="AYC228" s="18"/>
      <c r="AYD228" s="18"/>
      <c r="AYE228" s="18"/>
      <c r="AYF228" s="18"/>
      <c r="AYG228" s="18"/>
      <c r="AYH228" s="18"/>
      <c r="AYI228" s="18"/>
      <c r="AYJ228" s="18"/>
      <c r="AYK228" s="18"/>
      <c r="AYL228" s="18"/>
      <c r="AYM228" s="18"/>
      <c r="AYN228" s="18"/>
      <c r="AYO228" s="18"/>
      <c r="AYP228" s="18"/>
      <c r="AYQ228" s="18"/>
      <c r="AYR228" s="18"/>
      <c r="AYS228" s="18"/>
      <c r="AYT228" s="18"/>
      <c r="AYU228" s="18"/>
      <c r="AYV228" s="18"/>
      <c r="AYW228" s="18"/>
      <c r="AYX228" s="18"/>
      <c r="AYY228" s="18"/>
      <c r="AYZ228" s="18"/>
      <c r="AZA228" s="18"/>
      <c r="AZB228" s="18"/>
      <c r="AZC228" s="18"/>
      <c r="AZD228" s="18"/>
      <c r="AZE228" s="18"/>
      <c r="AZF228" s="18"/>
      <c r="AZG228" s="18"/>
      <c r="AZH228" s="18"/>
      <c r="AZI228" s="18"/>
      <c r="AZJ228" s="18"/>
      <c r="AZK228" s="18"/>
      <c r="AZL228" s="18"/>
      <c r="AZM228" s="18"/>
      <c r="AZN228" s="18"/>
      <c r="AZO228" s="18"/>
      <c r="AZP228" s="18"/>
      <c r="AZQ228" s="18"/>
      <c r="AZR228" s="18"/>
      <c r="AZS228" s="18"/>
      <c r="AZT228" s="18"/>
      <c r="AZU228" s="18"/>
      <c r="AZV228" s="18"/>
      <c r="AZW228" s="18"/>
      <c r="AZX228" s="18"/>
      <c r="AZY228" s="18"/>
      <c r="AZZ228" s="18"/>
      <c r="BAA228" s="18"/>
      <c r="BAB228" s="18"/>
      <c r="BAC228" s="18"/>
      <c r="BAD228" s="18"/>
      <c r="BAE228" s="18"/>
      <c r="BAF228" s="18"/>
      <c r="BAG228" s="18"/>
      <c r="BAH228" s="18"/>
      <c r="BAI228" s="18"/>
      <c r="BAJ228" s="18"/>
      <c r="BAK228" s="18"/>
      <c r="BAL228" s="18"/>
      <c r="BAM228" s="18"/>
      <c r="BAN228" s="18"/>
      <c r="BAO228" s="18"/>
      <c r="BAP228" s="18"/>
      <c r="BAQ228" s="18"/>
      <c r="BAR228" s="18"/>
      <c r="BAS228" s="18"/>
      <c r="BAT228" s="18"/>
      <c r="BAU228" s="18"/>
      <c r="BAV228" s="18"/>
      <c r="BAW228" s="18"/>
      <c r="BAX228" s="18"/>
      <c r="BAY228" s="18"/>
      <c r="BAZ228" s="18"/>
      <c r="BBA228" s="18"/>
      <c r="BBB228" s="18"/>
      <c r="BBC228" s="18"/>
      <c r="BBD228" s="18"/>
      <c r="BBE228" s="18"/>
      <c r="BBF228" s="18"/>
      <c r="BBG228" s="18"/>
      <c r="BBH228" s="18"/>
      <c r="BBI228" s="18"/>
      <c r="BBJ228" s="18"/>
      <c r="BBK228" s="18"/>
      <c r="BBL228" s="18"/>
      <c r="BBM228" s="18"/>
      <c r="BBN228" s="18"/>
      <c r="BBO228" s="18"/>
      <c r="BBP228" s="18"/>
      <c r="BBQ228" s="18"/>
      <c r="BBR228" s="18"/>
      <c r="BBS228" s="18"/>
      <c r="BBT228" s="18"/>
      <c r="BBU228" s="18"/>
      <c r="BBV228" s="18"/>
      <c r="BBW228" s="18"/>
      <c r="BBX228" s="18"/>
      <c r="BBY228" s="18"/>
      <c r="BBZ228" s="18"/>
      <c r="BCA228" s="18"/>
      <c r="BCB228" s="18"/>
      <c r="BCC228" s="18"/>
      <c r="BCD228" s="18"/>
      <c r="BCE228" s="18"/>
      <c r="BCF228" s="18"/>
      <c r="BCG228" s="18"/>
      <c r="BCH228" s="18"/>
      <c r="BCI228" s="18"/>
      <c r="BCJ228" s="18"/>
      <c r="BCK228" s="18"/>
      <c r="BCL228" s="18"/>
      <c r="BCM228" s="18"/>
      <c r="BCN228" s="18"/>
      <c r="BCO228" s="18"/>
      <c r="BCP228" s="18"/>
      <c r="BCQ228" s="18"/>
      <c r="BCR228" s="18"/>
      <c r="BCS228" s="18"/>
      <c r="BCT228" s="18"/>
      <c r="BCU228" s="18"/>
      <c r="BCV228" s="18"/>
      <c r="BCW228" s="18"/>
      <c r="BCX228" s="18"/>
      <c r="BCY228" s="18"/>
      <c r="BCZ228" s="18"/>
      <c r="BDA228" s="18"/>
      <c r="BDB228" s="18"/>
      <c r="BDC228" s="18"/>
      <c r="BDD228" s="18"/>
      <c r="BDE228" s="18"/>
      <c r="BDF228" s="18"/>
      <c r="BDG228" s="18"/>
      <c r="BDH228" s="18"/>
      <c r="BDI228" s="18"/>
      <c r="BDJ228" s="18"/>
      <c r="BDK228" s="18"/>
      <c r="BDL228" s="18"/>
      <c r="BDM228" s="18"/>
      <c r="BDN228" s="18"/>
      <c r="BDO228" s="18"/>
      <c r="BDP228" s="18"/>
      <c r="BDQ228" s="18"/>
      <c r="BDR228" s="18"/>
      <c r="BDS228" s="18"/>
      <c r="BDT228" s="18"/>
      <c r="BDU228" s="18"/>
      <c r="BDV228" s="18"/>
      <c r="BDW228" s="18"/>
      <c r="BDX228" s="18"/>
      <c r="BDY228" s="18"/>
      <c r="BDZ228" s="18"/>
      <c r="BEA228" s="18"/>
      <c r="BEB228" s="18"/>
      <c r="BEC228" s="18"/>
      <c r="BED228" s="18"/>
      <c r="BEE228" s="18"/>
      <c r="BEF228" s="18"/>
      <c r="BEG228" s="18"/>
      <c r="BEH228" s="18"/>
      <c r="BEI228" s="18"/>
      <c r="BEJ228" s="18"/>
      <c r="BEK228" s="18"/>
      <c r="BEL228" s="18"/>
      <c r="BEM228" s="18"/>
      <c r="BEN228" s="18"/>
      <c r="BEO228" s="18"/>
      <c r="BEP228" s="18"/>
      <c r="BEQ228" s="18"/>
      <c r="BER228" s="18"/>
      <c r="BES228" s="18"/>
      <c r="BET228" s="18"/>
      <c r="BEU228" s="18"/>
      <c r="BEV228" s="18"/>
      <c r="BEW228" s="18"/>
      <c r="BEX228" s="18"/>
      <c r="BEY228" s="18"/>
      <c r="BEZ228" s="18"/>
      <c r="BFA228" s="18"/>
      <c r="BFB228" s="18"/>
      <c r="BFC228" s="18"/>
      <c r="BFD228" s="18"/>
      <c r="BFE228" s="18"/>
      <c r="BFF228" s="18"/>
      <c r="BFG228" s="18"/>
      <c r="BFH228" s="18"/>
      <c r="BFI228" s="18"/>
      <c r="BFJ228" s="18"/>
      <c r="BFK228" s="18"/>
      <c r="BFL228" s="18"/>
      <c r="BFM228" s="18"/>
      <c r="BFN228" s="18"/>
      <c r="BFO228" s="18"/>
      <c r="BFP228" s="18"/>
      <c r="BFQ228" s="18"/>
      <c r="BFR228" s="18"/>
      <c r="BFS228" s="18"/>
      <c r="BFT228" s="18"/>
      <c r="BFU228" s="18"/>
      <c r="BFV228" s="18"/>
      <c r="BFW228" s="18"/>
      <c r="BFX228" s="18"/>
      <c r="BFY228" s="18"/>
      <c r="BFZ228" s="18"/>
      <c r="BGA228" s="18"/>
      <c r="BGB228" s="18"/>
      <c r="BGC228" s="18"/>
      <c r="BGD228" s="18"/>
      <c r="BGE228" s="18"/>
      <c r="BGF228" s="18"/>
      <c r="BGG228" s="18"/>
      <c r="BGH228" s="18"/>
      <c r="BGI228" s="18"/>
      <c r="BGJ228" s="18"/>
      <c r="BGK228" s="18"/>
      <c r="BGL228" s="18"/>
      <c r="BGM228" s="18"/>
      <c r="BGN228" s="18"/>
      <c r="BGO228" s="18"/>
      <c r="BGP228" s="18"/>
      <c r="BGQ228" s="18"/>
      <c r="BGR228" s="18"/>
      <c r="BGS228" s="18"/>
      <c r="BGT228" s="18"/>
      <c r="BGU228" s="18"/>
      <c r="BGV228" s="18"/>
      <c r="BGW228" s="18"/>
      <c r="BGX228" s="18"/>
      <c r="BGY228" s="18"/>
      <c r="BGZ228" s="18"/>
      <c r="BHA228" s="18"/>
      <c r="BHB228" s="18"/>
      <c r="BHC228" s="18"/>
      <c r="BHD228" s="18"/>
      <c r="BHE228" s="18"/>
      <c r="BHF228" s="18"/>
      <c r="BHG228" s="18"/>
      <c r="BHH228" s="18"/>
      <c r="BHI228" s="18"/>
      <c r="BHJ228" s="18"/>
      <c r="BHK228" s="18"/>
      <c r="BHL228" s="18"/>
      <c r="BHM228" s="18"/>
      <c r="BHN228" s="18"/>
      <c r="BHO228" s="18"/>
      <c r="BHP228" s="18"/>
      <c r="BHQ228" s="18"/>
      <c r="BHR228" s="18"/>
      <c r="BHS228" s="18"/>
      <c r="BHT228" s="18"/>
      <c r="BHU228" s="18"/>
      <c r="BHV228" s="18"/>
      <c r="BHW228" s="18"/>
      <c r="BHX228" s="18"/>
      <c r="BHY228" s="18"/>
      <c r="BHZ228" s="18"/>
      <c r="BIA228" s="18"/>
      <c r="BIB228" s="18"/>
      <c r="BIC228" s="18"/>
      <c r="BID228" s="18"/>
      <c r="BIE228" s="18"/>
      <c r="BIF228" s="18"/>
      <c r="BIG228" s="18"/>
      <c r="BIH228" s="18"/>
      <c r="BII228" s="18"/>
      <c r="BIJ228" s="18"/>
      <c r="BIK228" s="18"/>
      <c r="BIL228" s="18"/>
      <c r="BIM228" s="18"/>
      <c r="BIN228" s="18"/>
      <c r="BIO228" s="18"/>
      <c r="BIP228" s="18"/>
      <c r="BIQ228" s="18"/>
      <c r="BIR228" s="18"/>
      <c r="BIS228" s="18"/>
      <c r="BIT228" s="18"/>
      <c r="BIU228" s="18"/>
      <c r="BIV228" s="18"/>
      <c r="BIW228" s="18"/>
      <c r="BIX228" s="18"/>
      <c r="BIY228" s="18"/>
      <c r="BIZ228" s="18"/>
      <c r="BJA228" s="18"/>
      <c r="BJB228" s="18"/>
      <c r="BJC228" s="18"/>
      <c r="BJD228" s="18"/>
      <c r="BJE228" s="18"/>
      <c r="BJF228" s="18"/>
      <c r="BJG228" s="18"/>
      <c r="BJH228" s="18"/>
      <c r="BJI228" s="18"/>
      <c r="BJJ228" s="18"/>
      <c r="BJK228" s="18"/>
      <c r="BJL228" s="18"/>
      <c r="BJM228" s="18"/>
      <c r="BJN228" s="18"/>
      <c r="BJO228" s="18"/>
      <c r="BJP228" s="18"/>
      <c r="BJQ228" s="18"/>
      <c r="BJR228" s="18"/>
      <c r="BJS228" s="18"/>
      <c r="BJT228" s="18"/>
      <c r="BJU228" s="18"/>
      <c r="BJV228" s="18"/>
      <c r="BJW228" s="18"/>
      <c r="BJX228" s="18"/>
      <c r="BJY228" s="18"/>
      <c r="BJZ228" s="18"/>
      <c r="BKA228" s="18"/>
      <c r="BKB228" s="18"/>
      <c r="BKC228" s="18"/>
      <c r="BKD228" s="18"/>
      <c r="BKE228" s="18"/>
      <c r="BKF228" s="18"/>
      <c r="BKG228" s="18"/>
      <c r="BKH228" s="18"/>
      <c r="BKI228" s="18"/>
      <c r="BKJ228" s="18"/>
      <c r="BKK228" s="18"/>
      <c r="BKL228" s="18"/>
      <c r="BKM228" s="18"/>
      <c r="BKN228" s="18"/>
      <c r="BKO228" s="18"/>
      <c r="BKP228" s="18"/>
      <c r="BKQ228" s="18"/>
      <c r="BKR228" s="18"/>
      <c r="BKS228" s="18"/>
      <c r="BKT228" s="18"/>
      <c r="BKU228" s="18"/>
      <c r="BKV228" s="18"/>
      <c r="BKW228" s="18"/>
      <c r="BKX228" s="18"/>
      <c r="BKY228" s="18"/>
      <c r="BKZ228" s="18"/>
      <c r="BLA228" s="18"/>
      <c r="BLB228" s="18"/>
      <c r="BLC228" s="18"/>
      <c r="BLD228" s="18"/>
      <c r="BLE228" s="18"/>
      <c r="BLF228" s="18"/>
      <c r="BLG228" s="18"/>
      <c r="BLH228" s="18"/>
      <c r="BLI228" s="18"/>
      <c r="BLJ228" s="18"/>
      <c r="BLK228" s="18"/>
      <c r="BLL228" s="18"/>
      <c r="BLM228" s="18"/>
      <c r="BLN228" s="18"/>
      <c r="BLO228" s="18"/>
      <c r="BLP228" s="18"/>
      <c r="BLQ228" s="18"/>
      <c r="BLR228" s="18"/>
      <c r="BLS228" s="18"/>
      <c r="BLT228" s="18"/>
      <c r="BLU228" s="18"/>
      <c r="BLV228" s="18"/>
      <c r="BLW228" s="18"/>
      <c r="BLX228" s="18"/>
      <c r="BLY228" s="18"/>
      <c r="BLZ228" s="18"/>
      <c r="BMA228" s="18"/>
      <c r="BMB228" s="18"/>
      <c r="BMC228" s="18"/>
      <c r="BMD228" s="18"/>
      <c r="BME228" s="18"/>
      <c r="BMF228" s="18"/>
      <c r="BMG228" s="18"/>
      <c r="BMH228" s="18"/>
      <c r="BMI228" s="18"/>
      <c r="BMJ228" s="18"/>
      <c r="BMK228" s="18"/>
      <c r="BML228" s="18"/>
      <c r="BMM228" s="18"/>
      <c r="BMN228" s="18"/>
      <c r="BMO228" s="18"/>
      <c r="BMP228" s="18"/>
      <c r="BMQ228" s="18"/>
      <c r="BMR228" s="18"/>
      <c r="BMS228" s="18"/>
      <c r="BMT228" s="18"/>
      <c r="BMU228" s="18"/>
      <c r="BMV228" s="18"/>
      <c r="BMW228" s="18"/>
      <c r="BMX228" s="18"/>
      <c r="BMY228" s="18"/>
      <c r="BMZ228" s="18"/>
      <c r="BNA228" s="18"/>
      <c r="BNB228" s="18"/>
      <c r="BNC228" s="18"/>
      <c r="BND228" s="18"/>
      <c r="BNE228" s="18"/>
      <c r="BNF228" s="18"/>
      <c r="BNG228" s="18"/>
      <c r="BNH228" s="18"/>
      <c r="BNI228" s="18"/>
      <c r="BNJ228" s="18"/>
      <c r="BNK228" s="18"/>
      <c r="BNL228" s="18"/>
      <c r="BNM228" s="18"/>
      <c r="BNN228" s="18"/>
      <c r="BNO228" s="18"/>
      <c r="BNP228" s="18"/>
      <c r="BNQ228" s="18"/>
      <c r="BNR228" s="18"/>
      <c r="BNS228" s="18"/>
      <c r="BNT228" s="18"/>
      <c r="BNU228" s="18"/>
      <c r="BNV228" s="18"/>
      <c r="BNW228" s="18"/>
      <c r="BNX228" s="18"/>
      <c r="BNY228" s="18"/>
      <c r="BNZ228" s="18"/>
      <c r="BOA228" s="18"/>
      <c r="BOB228" s="18"/>
      <c r="BOC228" s="18"/>
      <c r="BOD228" s="18"/>
      <c r="BOE228" s="18"/>
      <c r="BOF228" s="18"/>
      <c r="BOG228" s="18"/>
      <c r="BOH228" s="18"/>
      <c r="BOI228" s="18"/>
      <c r="BOJ228" s="18"/>
      <c r="BOK228" s="18"/>
      <c r="BOL228" s="18"/>
      <c r="BOM228" s="18"/>
      <c r="BON228" s="18"/>
      <c r="BOO228" s="18"/>
      <c r="BOP228" s="18"/>
      <c r="BOQ228" s="18"/>
      <c r="BOR228" s="18"/>
      <c r="BOS228" s="18"/>
      <c r="BOT228" s="18"/>
      <c r="BOU228" s="18"/>
      <c r="BOV228" s="18"/>
      <c r="BOW228" s="18"/>
      <c r="BOX228" s="18"/>
      <c r="BOY228" s="18"/>
      <c r="BOZ228" s="18"/>
      <c r="BPA228" s="18"/>
      <c r="BPB228" s="18"/>
      <c r="BPC228" s="18"/>
      <c r="BPD228" s="18"/>
      <c r="BPE228" s="18"/>
      <c r="BPF228" s="18"/>
      <c r="BPG228" s="18"/>
      <c r="BPH228" s="18"/>
      <c r="BPI228" s="18"/>
      <c r="BPJ228" s="18"/>
      <c r="BPK228" s="18"/>
      <c r="BPL228" s="18"/>
      <c r="BPM228" s="18"/>
      <c r="BPN228" s="18"/>
      <c r="BPO228" s="18"/>
      <c r="BPP228" s="18"/>
      <c r="BPQ228" s="18"/>
      <c r="BPR228" s="18"/>
      <c r="BPS228" s="18"/>
      <c r="BPT228" s="18"/>
      <c r="BPU228" s="18"/>
      <c r="BPV228" s="18"/>
      <c r="BPW228" s="18"/>
      <c r="BPX228" s="18"/>
      <c r="BPY228" s="18"/>
      <c r="BPZ228" s="18"/>
      <c r="BQA228" s="18"/>
      <c r="BQB228" s="18"/>
      <c r="BQC228" s="18"/>
      <c r="BQD228" s="18"/>
      <c r="BQE228" s="18"/>
      <c r="BQF228" s="18"/>
      <c r="BQG228" s="18"/>
      <c r="BQH228" s="18"/>
      <c r="BQI228" s="18"/>
      <c r="BQJ228" s="18"/>
      <c r="BQK228" s="18"/>
      <c r="BQL228" s="18"/>
      <c r="BQM228" s="18"/>
      <c r="BQN228" s="18"/>
      <c r="BQO228" s="18"/>
      <c r="BQP228" s="18"/>
      <c r="BQQ228" s="18"/>
      <c r="BQR228" s="18"/>
      <c r="BQS228" s="18"/>
      <c r="BQT228" s="18"/>
      <c r="BQU228" s="18"/>
      <c r="BQV228" s="18"/>
      <c r="BQW228" s="18"/>
      <c r="BQX228" s="18"/>
      <c r="BQY228" s="18"/>
      <c r="BQZ228" s="18"/>
      <c r="BRA228" s="18"/>
      <c r="BRB228" s="18"/>
      <c r="BRC228" s="18"/>
      <c r="BRD228" s="18"/>
      <c r="BRE228" s="18"/>
      <c r="BRF228" s="18"/>
      <c r="BRG228" s="18"/>
      <c r="BRH228" s="18"/>
      <c r="BRI228" s="18"/>
      <c r="BRJ228" s="18"/>
      <c r="BRK228" s="18"/>
      <c r="BRL228" s="18"/>
      <c r="BRM228" s="18"/>
      <c r="BRN228" s="18"/>
      <c r="BRO228" s="18"/>
      <c r="BRP228" s="18"/>
      <c r="BRQ228" s="18"/>
      <c r="BRR228" s="18"/>
      <c r="BRS228" s="18"/>
      <c r="BRT228" s="18"/>
      <c r="BRU228" s="18"/>
      <c r="BRV228" s="18"/>
      <c r="BRW228" s="18"/>
      <c r="BRX228" s="18"/>
      <c r="BRY228" s="18"/>
      <c r="BRZ228" s="18"/>
      <c r="BSA228" s="18"/>
      <c r="BSB228" s="18"/>
      <c r="BSC228" s="18"/>
      <c r="BSD228" s="18"/>
      <c r="BSE228" s="18"/>
      <c r="BSF228" s="18"/>
      <c r="BSG228" s="18"/>
      <c r="BSH228" s="18"/>
      <c r="BSI228" s="18"/>
      <c r="BSJ228" s="18"/>
      <c r="BSK228" s="18"/>
      <c r="BSL228" s="18"/>
      <c r="BSM228" s="18"/>
      <c r="BSN228" s="18"/>
      <c r="BSO228" s="18"/>
      <c r="BSP228" s="18"/>
      <c r="BSQ228" s="18"/>
      <c r="BSR228" s="18"/>
      <c r="BSS228" s="18"/>
      <c r="BST228" s="18"/>
      <c r="BSU228" s="18"/>
      <c r="BSV228" s="18"/>
      <c r="BSW228" s="18"/>
      <c r="BSX228" s="18"/>
      <c r="BSY228" s="18"/>
      <c r="BSZ228" s="18"/>
      <c r="BTA228" s="18"/>
      <c r="BTB228" s="18"/>
      <c r="BTC228" s="18"/>
      <c r="BTD228" s="18"/>
      <c r="BTE228" s="18"/>
      <c r="BTF228" s="18"/>
      <c r="BTG228" s="18"/>
      <c r="BTH228" s="18"/>
      <c r="BTI228" s="18"/>
    </row>
    <row r="229" spans="1:1881" s="428" customFormat="1" ht="90" customHeight="1" x14ac:dyDescent="0.3">
      <c r="A229" s="100">
        <v>619</v>
      </c>
      <c r="B229" s="375" t="s">
        <v>58</v>
      </c>
      <c r="C229" s="375" t="s">
        <v>349</v>
      </c>
      <c r="D229" s="87" t="s">
        <v>352</v>
      </c>
      <c r="E229" s="818" t="e">
        <f>INDEX('PY1 Data(H)'!$A$1:$CZ$265,MATCH('Unit Data from Audit Worksheet'!$A229,'PY1 Data(H)'!$A$1:$A$258,0),MATCH('Unit Data from Audit Worksheet'!$D$2,'PY1 Data(H)'!$A$1:$CZ$1,0))</f>
        <v>#N/A</v>
      </c>
      <c r="F229" s="819">
        <v>0</v>
      </c>
      <c r="G229" s="432" t="str">
        <f>IF(ISBLANK(F229),"Please do not leave blank ",IF(F229=H229,"","Please review percentage"))</f>
        <v/>
      </c>
      <c r="H229" s="1045">
        <f>ROUND(IFERROR((F228/F227)*100,0),1)</f>
        <v>0</v>
      </c>
      <c r="I229" s="187"/>
      <c r="J229" s="187"/>
      <c r="K229"/>
      <c r="L229" s="550"/>
      <c r="M229"/>
      <c r="N229" s="18"/>
      <c r="O229" s="187"/>
      <c r="P229" s="18"/>
      <c r="Q229" s="18"/>
      <c r="R229" s="18"/>
      <c r="S229" s="18"/>
      <c r="T229" s="18"/>
      <c r="U229" s="18"/>
      <c r="V229" s="18"/>
      <c r="W229" s="18"/>
      <c r="X229" s="18"/>
      <c r="Y229" s="18"/>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8"/>
      <c r="ER229" s="18"/>
      <c r="ES229" s="18"/>
      <c r="ET229" s="18"/>
      <c r="EU229" s="18"/>
      <c r="EV229" s="18"/>
      <c r="EW229" s="18"/>
      <c r="EX229" s="18"/>
      <c r="EY229" s="18"/>
      <c r="EZ229" s="18"/>
      <c r="FA229" s="18"/>
      <c r="FB229" s="18"/>
      <c r="FC229" s="18"/>
      <c r="FD229" s="18"/>
      <c r="FE229" s="18"/>
      <c r="FF229" s="18"/>
      <c r="FG229" s="18"/>
      <c r="FH229" s="18"/>
      <c r="FI229" s="18"/>
      <c r="FJ229" s="18"/>
      <c r="FK229" s="18"/>
      <c r="FL229" s="18"/>
      <c r="FM229" s="18"/>
      <c r="FN229" s="18"/>
      <c r="FO229" s="18"/>
      <c r="FP229" s="18"/>
      <c r="FQ229" s="18"/>
      <c r="FR229" s="18"/>
      <c r="FS229" s="18"/>
      <c r="FT229" s="18"/>
      <c r="FU229" s="18"/>
      <c r="FV229" s="18"/>
      <c r="FW229" s="18"/>
      <c r="FX229" s="18"/>
      <c r="FY229" s="18"/>
      <c r="FZ229" s="18"/>
      <c r="GA229" s="18"/>
      <c r="GB229" s="18"/>
      <c r="GC229" s="18"/>
      <c r="GD229" s="18"/>
      <c r="GE229" s="18"/>
      <c r="GF229" s="18"/>
      <c r="GG229" s="18"/>
      <c r="GH229" s="18"/>
      <c r="GI229" s="18"/>
      <c r="GJ229" s="18"/>
      <c r="GK229" s="18"/>
      <c r="GL229" s="18"/>
      <c r="GM229" s="18"/>
      <c r="GN229" s="18"/>
      <c r="GO229" s="18"/>
      <c r="GP229" s="18"/>
      <c r="GQ229" s="18"/>
      <c r="GR229" s="18"/>
      <c r="GS229" s="18"/>
      <c r="GT229" s="18"/>
      <c r="GU229" s="18"/>
      <c r="GV229" s="18"/>
      <c r="GW229" s="18"/>
      <c r="GX229" s="18"/>
      <c r="GY229" s="18"/>
      <c r="GZ229" s="18"/>
      <c r="HA229" s="18"/>
      <c r="HB229" s="18"/>
      <c r="HC229" s="18"/>
      <c r="HD229" s="18"/>
      <c r="HE229" s="18"/>
      <c r="HF229" s="18"/>
      <c r="HG229" s="18"/>
      <c r="HH229" s="18"/>
      <c r="HI229" s="18"/>
      <c r="HJ229" s="18"/>
      <c r="HK229" s="18"/>
      <c r="HL229" s="18"/>
      <c r="HM229" s="18"/>
      <c r="HN229" s="18"/>
      <c r="HO229" s="18"/>
      <c r="HP229" s="18"/>
      <c r="HQ229" s="18"/>
      <c r="HR229" s="18"/>
      <c r="HS229" s="18"/>
      <c r="HT229" s="18"/>
      <c r="HU229" s="18"/>
      <c r="HV229" s="18"/>
      <c r="HW229" s="18"/>
      <c r="HX229" s="18"/>
      <c r="HY229" s="18"/>
      <c r="HZ229" s="18"/>
      <c r="IA229" s="18"/>
      <c r="IB229" s="18"/>
      <c r="IC229" s="18"/>
      <c r="ID229" s="18"/>
      <c r="IE229" s="18"/>
      <c r="IF229" s="18"/>
      <c r="IG229" s="18"/>
      <c r="IH229" s="18"/>
      <c r="II229" s="18"/>
      <c r="IJ229" s="18"/>
      <c r="IK229" s="18"/>
      <c r="IL229" s="18"/>
      <c r="IM229" s="18"/>
      <c r="IN229" s="18"/>
      <c r="IO229" s="18"/>
      <c r="IP229" s="18"/>
      <c r="IQ229" s="18"/>
      <c r="IR229" s="18"/>
      <c r="IS229" s="18"/>
      <c r="IT229" s="18"/>
      <c r="IU229" s="18"/>
      <c r="IV229" s="18"/>
      <c r="IW229" s="18"/>
      <c r="IX229" s="18"/>
      <c r="IY229" s="18"/>
      <c r="IZ229" s="18"/>
      <c r="JA229" s="18"/>
      <c r="JB229" s="18"/>
      <c r="JC229" s="18"/>
      <c r="JD229" s="18"/>
      <c r="JE229" s="18"/>
      <c r="JF229" s="18"/>
      <c r="JG229" s="18"/>
      <c r="JH229" s="18"/>
      <c r="JI229" s="18"/>
      <c r="JJ229" s="18"/>
      <c r="JK229" s="18"/>
      <c r="JL229" s="18"/>
      <c r="JM229" s="18"/>
      <c r="JN229" s="18"/>
      <c r="JO229" s="18"/>
      <c r="JP229" s="18"/>
      <c r="JQ229" s="18"/>
      <c r="JR229" s="18"/>
      <c r="JS229" s="18"/>
      <c r="JT229" s="18"/>
      <c r="JU229" s="18"/>
      <c r="JV229" s="18"/>
      <c r="JW229" s="18"/>
      <c r="JX229" s="18"/>
      <c r="JY229" s="18"/>
      <c r="JZ229" s="18"/>
      <c r="KA229" s="18"/>
      <c r="KB229" s="18"/>
      <c r="KC229" s="18"/>
      <c r="KD229" s="18"/>
      <c r="KE229" s="18"/>
      <c r="KF229" s="18"/>
      <c r="KG229" s="18"/>
      <c r="KH229" s="18"/>
      <c r="KI229" s="18"/>
      <c r="KJ229" s="18"/>
      <c r="KK229" s="18"/>
      <c r="KL229" s="18"/>
      <c r="KM229" s="18"/>
      <c r="KN229" s="18"/>
      <c r="KO229" s="18"/>
      <c r="KP229" s="18"/>
      <c r="KQ229" s="18"/>
      <c r="KR229" s="18"/>
      <c r="KS229" s="18"/>
      <c r="KT229" s="18"/>
      <c r="KU229" s="18"/>
      <c r="KV229" s="18"/>
      <c r="KW229" s="18"/>
      <c r="KX229" s="18"/>
      <c r="KY229" s="18"/>
      <c r="KZ229" s="18"/>
      <c r="LA229" s="18"/>
      <c r="LB229" s="18"/>
      <c r="LC229" s="18"/>
      <c r="LD229" s="18"/>
      <c r="LE229" s="18"/>
      <c r="LF229" s="18"/>
      <c r="LG229" s="18"/>
      <c r="LH229" s="18"/>
      <c r="LI229" s="18"/>
      <c r="LJ229" s="18"/>
      <c r="LK229" s="18"/>
      <c r="LL229" s="18"/>
      <c r="LM229" s="18"/>
      <c r="LN229" s="18"/>
      <c r="LO229" s="18"/>
      <c r="LP229" s="18"/>
      <c r="LQ229" s="18"/>
      <c r="LR229" s="18"/>
      <c r="LS229" s="18"/>
      <c r="LT229" s="18"/>
      <c r="LU229" s="18"/>
      <c r="LV229" s="18"/>
      <c r="LW229" s="18"/>
      <c r="LX229" s="18"/>
      <c r="LY229" s="18"/>
      <c r="LZ229" s="18"/>
      <c r="MA229" s="18"/>
      <c r="MB229" s="18"/>
      <c r="MC229" s="18"/>
      <c r="MD229" s="18"/>
      <c r="ME229" s="18"/>
      <c r="MF229" s="18"/>
      <c r="MG229" s="18"/>
      <c r="MH229" s="18"/>
      <c r="MI229" s="18"/>
      <c r="MJ229" s="18"/>
      <c r="MK229" s="18"/>
      <c r="ML229" s="18"/>
      <c r="MM229" s="18"/>
      <c r="MN229" s="18"/>
      <c r="MO229" s="18"/>
      <c r="MP229" s="18"/>
      <c r="MQ229" s="18"/>
      <c r="MR229" s="18"/>
      <c r="MS229" s="18"/>
      <c r="MT229" s="18"/>
      <c r="MU229" s="18"/>
      <c r="MV229" s="18"/>
      <c r="MW229" s="18"/>
      <c r="MX229" s="18"/>
      <c r="MY229" s="18"/>
      <c r="MZ229" s="18"/>
      <c r="NA229" s="18"/>
      <c r="NB229" s="18"/>
      <c r="NC229" s="18"/>
      <c r="ND229" s="18"/>
      <c r="NE229" s="18"/>
      <c r="NF229" s="18"/>
      <c r="NG229" s="18"/>
      <c r="NH229" s="18"/>
      <c r="NI229" s="18"/>
      <c r="NJ229" s="18"/>
      <c r="NK229" s="18"/>
      <c r="NL229" s="18"/>
      <c r="NM229" s="18"/>
      <c r="NN229" s="18"/>
      <c r="NO229" s="18"/>
      <c r="NP229" s="18"/>
      <c r="NQ229" s="18"/>
      <c r="NR229" s="18"/>
      <c r="NS229" s="18"/>
      <c r="NT229" s="18"/>
      <c r="NU229" s="18"/>
      <c r="NV229" s="18"/>
      <c r="NW229" s="18"/>
      <c r="NX229" s="18"/>
      <c r="NY229" s="18"/>
      <c r="NZ229" s="18"/>
      <c r="OA229" s="18"/>
      <c r="OB229" s="18"/>
      <c r="OC229" s="18"/>
      <c r="OD229" s="18"/>
      <c r="OE229" s="18"/>
      <c r="OF229" s="18"/>
      <c r="OG229" s="18"/>
      <c r="OH229" s="18"/>
      <c r="OI229" s="18"/>
      <c r="OJ229" s="18"/>
      <c r="OK229" s="18"/>
      <c r="OL229" s="18"/>
      <c r="OM229" s="18"/>
      <c r="ON229" s="18"/>
      <c r="OO229" s="18"/>
      <c r="OP229" s="18"/>
      <c r="OQ229" s="18"/>
      <c r="OR229" s="18"/>
      <c r="OS229" s="18"/>
      <c r="OT229" s="18"/>
      <c r="OU229" s="18"/>
      <c r="OV229" s="18"/>
      <c r="OW229" s="18"/>
      <c r="OX229" s="18"/>
      <c r="OY229" s="18"/>
      <c r="OZ229" s="18"/>
      <c r="PA229" s="18"/>
      <c r="PB229" s="18"/>
      <c r="PC229" s="18"/>
      <c r="PD229" s="18"/>
      <c r="PE229" s="18"/>
      <c r="PF229" s="18"/>
      <c r="PG229" s="18"/>
      <c r="PH229" s="18"/>
      <c r="PI229" s="18"/>
      <c r="PJ229" s="18"/>
      <c r="PK229" s="18"/>
      <c r="PL229" s="18"/>
      <c r="PM229" s="18"/>
      <c r="PN229" s="18"/>
      <c r="PO229" s="18"/>
      <c r="PP229" s="18"/>
      <c r="PQ229" s="18"/>
      <c r="PR229" s="18"/>
      <c r="PS229" s="18"/>
      <c r="PT229" s="18"/>
      <c r="PU229" s="18"/>
      <c r="PV229" s="18"/>
      <c r="PW229" s="18"/>
      <c r="PX229" s="18"/>
      <c r="PY229" s="18"/>
      <c r="PZ229" s="18"/>
      <c r="QA229" s="18"/>
      <c r="QB229" s="18"/>
      <c r="QC229" s="18"/>
      <c r="QD229" s="18"/>
      <c r="QE229" s="18"/>
      <c r="QF229" s="18"/>
      <c r="QG229" s="18"/>
      <c r="QH229" s="18"/>
      <c r="QI229" s="18"/>
      <c r="QJ229" s="18"/>
      <c r="QK229" s="18"/>
      <c r="QL229" s="18"/>
      <c r="QM229" s="18"/>
      <c r="QN229" s="18"/>
      <c r="QO229" s="18"/>
      <c r="QP229" s="18"/>
      <c r="QQ229" s="18"/>
      <c r="QR229" s="18"/>
      <c r="QS229" s="18"/>
      <c r="QT229" s="18"/>
      <c r="QU229" s="18"/>
      <c r="QV229" s="18"/>
      <c r="QW229" s="18"/>
      <c r="QX229" s="18"/>
      <c r="QY229" s="18"/>
      <c r="QZ229" s="18"/>
      <c r="RA229" s="18"/>
      <c r="RB229" s="18"/>
      <c r="RC229" s="18"/>
      <c r="RD229" s="18"/>
      <c r="RE229" s="18"/>
      <c r="RF229" s="18"/>
      <c r="RG229" s="18"/>
      <c r="RH229" s="18"/>
      <c r="RI229" s="18"/>
      <c r="RJ229" s="18"/>
      <c r="RK229" s="18"/>
      <c r="RL229" s="18"/>
      <c r="RM229" s="18"/>
      <c r="RN229" s="18"/>
      <c r="RO229" s="18"/>
      <c r="RP229" s="18"/>
      <c r="RQ229" s="18"/>
      <c r="RR229" s="18"/>
      <c r="RS229" s="18"/>
      <c r="RT229" s="18"/>
      <c r="RU229" s="18"/>
      <c r="RV229" s="18"/>
      <c r="RW229" s="18"/>
      <c r="RX229" s="18"/>
      <c r="RY229" s="18"/>
      <c r="RZ229" s="18"/>
      <c r="SA229" s="18"/>
      <c r="SB229" s="18"/>
      <c r="SC229" s="18"/>
      <c r="SD229" s="18"/>
      <c r="SE229" s="18"/>
      <c r="SF229" s="18"/>
      <c r="SG229" s="18"/>
      <c r="SH229" s="18"/>
      <c r="SI229" s="18"/>
      <c r="SJ229" s="18"/>
      <c r="SK229" s="18"/>
      <c r="SL229" s="18"/>
      <c r="SM229" s="18"/>
      <c r="SN229" s="18"/>
      <c r="SO229" s="18"/>
      <c r="SP229" s="18"/>
      <c r="SQ229" s="18"/>
      <c r="SR229" s="18"/>
      <c r="SS229" s="18"/>
      <c r="ST229" s="18"/>
      <c r="SU229" s="18"/>
      <c r="SV229" s="18"/>
      <c r="SW229" s="18"/>
      <c r="SX229" s="18"/>
      <c r="SY229" s="18"/>
      <c r="SZ229" s="18"/>
      <c r="TA229" s="18"/>
      <c r="TB229" s="18"/>
      <c r="TC229" s="18"/>
      <c r="TD229" s="18"/>
      <c r="TE229" s="18"/>
      <c r="TF229" s="18"/>
      <c r="TG229" s="18"/>
      <c r="TH229" s="18"/>
      <c r="TI229" s="18"/>
      <c r="TJ229" s="18"/>
      <c r="TK229" s="18"/>
      <c r="TL229" s="18"/>
      <c r="TM229" s="18"/>
      <c r="TN229" s="18"/>
      <c r="TO229" s="18"/>
      <c r="TP229" s="18"/>
      <c r="TQ229" s="18"/>
      <c r="TR229" s="18"/>
      <c r="TS229" s="18"/>
      <c r="TT229" s="18"/>
      <c r="TU229" s="18"/>
      <c r="TV229" s="18"/>
      <c r="TW229" s="18"/>
      <c r="TX229" s="18"/>
      <c r="TY229" s="18"/>
      <c r="TZ229" s="18"/>
      <c r="UA229" s="18"/>
      <c r="UB229" s="18"/>
      <c r="UC229" s="18"/>
      <c r="UD229" s="18"/>
      <c r="UE229" s="18"/>
      <c r="UF229" s="18"/>
      <c r="UG229" s="18"/>
      <c r="UH229" s="18"/>
      <c r="UI229" s="18"/>
      <c r="UJ229" s="18"/>
      <c r="UK229" s="18"/>
      <c r="UL229" s="18"/>
      <c r="UM229" s="18"/>
      <c r="UN229" s="18"/>
      <c r="UO229" s="18"/>
      <c r="UP229" s="18"/>
      <c r="UQ229" s="18"/>
      <c r="UR229" s="18"/>
      <c r="US229" s="18"/>
      <c r="UT229" s="18"/>
      <c r="UU229" s="18"/>
      <c r="UV229" s="18"/>
      <c r="UW229" s="18"/>
      <c r="UX229" s="18"/>
      <c r="UY229" s="18"/>
      <c r="UZ229" s="18"/>
      <c r="VA229" s="18"/>
      <c r="VB229" s="18"/>
      <c r="VC229" s="18"/>
      <c r="VD229" s="18"/>
      <c r="VE229" s="18"/>
      <c r="VF229" s="18"/>
      <c r="VG229" s="18"/>
      <c r="VH229" s="18"/>
      <c r="VI229" s="18"/>
      <c r="VJ229" s="18"/>
      <c r="VK229" s="18"/>
      <c r="VL229" s="18"/>
      <c r="VM229" s="18"/>
      <c r="VN229" s="18"/>
      <c r="VO229" s="18"/>
      <c r="VP229" s="18"/>
      <c r="VQ229" s="18"/>
      <c r="VR229" s="18"/>
      <c r="VS229" s="18"/>
      <c r="VT229" s="18"/>
      <c r="VU229" s="18"/>
      <c r="VV229" s="18"/>
      <c r="VW229" s="18"/>
      <c r="VX229" s="18"/>
      <c r="VY229" s="18"/>
      <c r="VZ229" s="18"/>
      <c r="WA229" s="18"/>
      <c r="WB229" s="18"/>
      <c r="WC229" s="18"/>
      <c r="WD229" s="18"/>
      <c r="WE229" s="18"/>
      <c r="WF229" s="18"/>
      <c r="WG229" s="18"/>
      <c r="WH229" s="18"/>
      <c r="WI229" s="18"/>
      <c r="WJ229" s="18"/>
      <c r="WK229" s="18"/>
      <c r="WL229" s="18"/>
      <c r="WM229" s="18"/>
      <c r="WN229" s="18"/>
      <c r="WO229" s="18"/>
      <c r="WP229" s="18"/>
      <c r="WQ229" s="18"/>
      <c r="WR229" s="18"/>
      <c r="WS229" s="18"/>
      <c r="WT229" s="18"/>
      <c r="WU229" s="18"/>
      <c r="WV229" s="18"/>
      <c r="WW229" s="18"/>
      <c r="WX229" s="18"/>
      <c r="WY229" s="18"/>
      <c r="WZ229" s="18"/>
      <c r="XA229" s="18"/>
      <c r="XB229" s="18"/>
      <c r="XC229" s="18"/>
      <c r="XD229" s="18"/>
      <c r="XE229" s="18"/>
      <c r="XF229" s="18"/>
      <c r="XG229" s="18"/>
      <c r="XH229" s="18"/>
      <c r="XI229" s="18"/>
      <c r="XJ229" s="18"/>
      <c r="XK229" s="18"/>
      <c r="XL229" s="18"/>
      <c r="XM229" s="18"/>
      <c r="XN229" s="18"/>
      <c r="XO229" s="18"/>
      <c r="XP229" s="18"/>
      <c r="XQ229" s="18"/>
      <c r="XR229" s="18"/>
      <c r="XS229" s="18"/>
      <c r="XT229" s="18"/>
      <c r="XU229" s="18"/>
      <c r="XV229" s="18"/>
      <c r="XW229" s="18"/>
      <c r="XX229" s="18"/>
      <c r="XY229" s="18"/>
      <c r="XZ229" s="18"/>
      <c r="YA229" s="18"/>
      <c r="YB229" s="18"/>
      <c r="YC229" s="18"/>
      <c r="YD229" s="18"/>
      <c r="YE229" s="18"/>
      <c r="YF229" s="18"/>
      <c r="YG229" s="18"/>
      <c r="YH229" s="18"/>
      <c r="YI229" s="18"/>
      <c r="YJ229" s="18"/>
      <c r="YK229" s="18"/>
      <c r="YL229" s="18"/>
      <c r="YM229" s="18"/>
      <c r="YN229" s="18"/>
      <c r="YO229" s="18"/>
      <c r="YP229" s="18"/>
      <c r="YQ229" s="18"/>
      <c r="YR229" s="18"/>
      <c r="YS229" s="18"/>
      <c r="YT229" s="18"/>
      <c r="YU229" s="18"/>
      <c r="YV229" s="18"/>
      <c r="YW229" s="18"/>
      <c r="YX229" s="18"/>
      <c r="YY229" s="18"/>
      <c r="YZ229" s="18"/>
      <c r="ZA229" s="18"/>
      <c r="ZB229" s="18"/>
      <c r="ZC229" s="18"/>
      <c r="ZD229" s="18"/>
      <c r="ZE229" s="18"/>
      <c r="ZF229" s="18"/>
      <c r="ZG229" s="18"/>
      <c r="ZH229" s="18"/>
      <c r="ZI229" s="18"/>
      <c r="ZJ229" s="18"/>
      <c r="ZK229" s="18"/>
      <c r="ZL229" s="18"/>
      <c r="ZM229" s="18"/>
      <c r="ZN229" s="18"/>
      <c r="ZO229" s="18"/>
      <c r="ZP229" s="18"/>
      <c r="ZQ229" s="18"/>
      <c r="ZR229" s="18"/>
      <c r="ZS229" s="18"/>
      <c r="ZT229" s="18"/>
      <c r="ZU229" s="18"/>
      <c r="ZV229" s="18"/>
      <c r="ZW229" s="18"/>
      <c r="ZX229" s="18"/>
      <c r="ZY229" s="18"/>
      <c r="ZZ229" s="18"/>
      <c r="AAA229" s="18"/>
      <c r="AAB229" s="18"/>
      <c r="AAC229" s="18"/>
      <c r="AAD229" s="18"/>
      <c r="AAE229" s="18"/>
      <c r="AAF229" s="18"/>
      <c r="AAG229" s="18"/>
      <c r="AAH229" s="18"/>
      <c r="AAI229" s="18"/>
      <c r="AAJ229" s="18"/>
      <c r="AAK229" s="18"/>
      <c r="AAL229" s="18"/>
      <c r="AAM229" s="18"/>
      <c r="AAN229" s="18"/>
      <c r="AAO229" s="18"/>
      <c r="AAP229" s="18"/>
      <c r="AAQ229" s="18"/>
      <c r="AAR229" s="18"/>
      <c r="AAS229" s="18"/>
      <c r="AAT229" s="18"/>
      <c r="AAU229" s="18"/>
      <c r="AAV229" s="18"/>
      <c r="AAW229" s="18"/>
      <c r="AAX229" s="18"/>
      <c r="AAY229" s="18"/>
      <c r="AAZ229" s="18"/>
      <c r="ABA229" s="18"/>
      <c r="ABB229" s="18"/>
      <c r="ABC229" s="18"/>
      <c r="ABD229" s="18"/>
      <c r="ABE229" s="18"/>
      <c r="ABF229" s="18"/>
      <c r="ABG229" s="18"/>
      <c r="ABH229" s="18"/>
      <c r="ABI229" s="18"/>
      <c r="ABJ229" s="18"/>
      <c r="ABK229" s="18"/>
      <c r="ABL229" s="18"/>
      <c r="ABM229" s="18"/>
      <c r="ABN229" s="18"/>
      <c r="ABO229" s="18"/>
      <c r="ABP229" s="18"/>
      <c r="ABQ229" s="18"/>
      <c r="ABR229" s="18"/>
      <c r="ABS229" s="18"/>
      <c r="ABT229" s="18"/>
      <c r="ABU229" s="18"/>
      <c r="ABV229" s="18"/>
      <c r="ABW229" s="18"/>
      <c r="ABX229" s="18"/>
      <c r="ABY229" s="18"/>
      <c r="ABZ229" s="18"/>
      <c r="ACA229" s="18"/>
      <c r="ACB229" s="18"/>
      <c r="ACC229" s="18"/>
      <c r="ACD229" s="18"/>
      <c r="ACE229" s="18"/>
      <c r="ACF229" s="18"/>
      <c r="ACG229" s="18"/>
      <c r="ACH229" s="18"/>
      <c r="ACI229" s="18"/>
      <c r="ACJ229" s="18"/>
      <c r="ACK229" s="18"/>
      <c r="ACL229" s="18"/>
      <c r="ACM229" s="18"/>
      <c r="ACN229" s="18"/>
      <c r="ACO229" s="18"/>
      <c r="ACP229" s="18"/>
      <c r="ACQ229" s="18"/>
      <c r="ACR229" s="18"/>
      <c r="ACS229" s="18"/>
      <c r="ACT229" s="18"/>
      <c r="ACU229" s="18"/>
      <c r="ACV229" s="18"/>
      <c r="ACW229" s="18"/>
      <c r="ACX229" s="18"/>
      <c r="ACY229" s="18"/>
      <c r="ACZ229" s="18"/>
      <c r="ADA229" s="18"/>
      <c r="ADB229" s="18"/>
      <c r="ADC229" s="18"/>
      <c r="ADD229" s="18"/>
      <c r="ADE229" s="18"/>
      <c r="ADF229" s="18"/>
      <c r="ADG229" s="18"/>
      <c r="ADH229" s="18"/>
      <c r="ADI229" s="18"/>
      <c r="ADJ229" s="18"/>
      <c r="ADK229" s="18"/>
      <c r="ADL229" s="18"/>
      <c r="ADM229" s="18"/>
      <c r="ADN229" s="18"/>
      <c r="ADO229" s="18"/>
      <c r="ADP229" s="18"/>
      <c r="ADQ229" s="18"/>
      <c r="ADR229" s="18"/>
      <c r="ADS229" s="18"/>
      <c r="ADT229" s="18"/>
      <c r="ADU229" s="18"/>
      <c r="ADV229" s="18"/>
      <c r="ADW229" s="18"/>
      <c r="ADX229" s="18"/>
      <c r="ADY229" s="18"/>
      <c r="ADZ229" s="18"/>
      <c r="AEA229" s="18"/>
      <c r="AEB229" s="18"/>
      <c r="AEC229" s="18"/>
      <c r="AED229" s="18"/>
      <c r="AEE229" s="18"/>
      <c r="AEF229" s="18"/>
      <c r="AEG229" s="18"/>
      <c r="AEH229" s="18"/>
      <c r="AEI229" s="18"/>
      <c r="AEJ229" s="18"/>
      <c r="AEK229" s="18"/>
      <c r="AEL229" s="18"/>
      <c r="AEM229" s="18"/>
      <c r="AEN229" s="18"/>
      <c r="AEO229" s="18"/>
      <c r="AEP229" s="18"/>
      <c r="AEQ229" s="18"/>
      <c r="AER229" s="18"/>
      <c r="AES229" s="18"/>
      <c r="AET229" s="18"/>
      <c r="AEU229" s="18"/>
      <c r="AEV229" s="18"/>
      <c r="AEW229" s="18"/>
      <c r="AEX229" s="18"/>
      <c r="AEY229" s="18"/>
      <c r="AEZ229" s="18"/>
      <c r="AFA229" s="18"/>
      <c r="AFB229" s="18"/>
      <c r="AFC229" s="18"/>
      <c r="AFD229" s="18"/>
      <c r="AFE229" s="18"/>
      <c r="AFF229" s="18"/>
      <c r="AFG229" s="18"/>
      <c r="AFH229" s="18"/>
      <c r="AFI229" s="18"/>
      <c r="AFJ229" s="18"/>
      <c r="AFK229" s="18"/>
      <c r="AFL229" s="18"/>
      <c r="AFM229" s="18"/>
      <c r="AFN229" s="18"/>
      <c r="AFO229" s="18"/>
      <c r="AFP229" s="18"/>
      <c r="AFQ229" s="18"/>
      <c r="AFR229" s="18"/>
      <c r="AFS229" s="18"/>
      <c r="AFT229" s="18"/>
      <c r="AFU229" s="18"/>
      <c r="AFV229" s="18"/>
      <c r="AFW229" s="18"/>
      <c r="AFX229" s="18"/>
      <c r="AFY229" s="18"/>
      <c r="AFZ229" s="18"/>
      <c r="AGA229" s="18"/>
      <c r="AGB229" s="18"/>
      <c r="AGC229" s="18"/>
      <c r="AGD229" s="18"/>
      <c r="AGE229" s="18"/>
      <c r="AGF229" s="18"/>
      <c r="AGG229" s="18"/>
      <c r="AGH229" s="18"/>
      <c r="AGI229" s="18"/>
      <c r="AGJ229" s="18"/>
      <c r="AGK229" s="18"/>
      <c r="AGL229" s="18"/>
      <c r="AGM229" s="18"/>
      <c r="AGN229" s="18"/>
      <c r="AGO229" s="18"/>
      <c r="AGP229" s="18"/>
      <c r="AGQ229" s="18"/>
      <c r="AGR229" s="18"/>
      <c r="AGS229" s="18"/>
      <c r="AGT229" s="18"/>
      <c r="AGU229" s="18"/>
      <c r="AGV229" s="18"/>
      <c r="AGW229" s="18"/>
      <c r="AGX229" s="18"/>
      <c r="AGY229" s="18"/>
      <c r="AGZ229" s="18"/>
      <c r="AHA229" s="18"/>
      <c r="AHB229" s="18"/>
      <c r="AHC229" s="18"/>
      <c r="AHD229" s="18"/>
      <c r="AHE229" s="18"/>
      <c r="AHF229" s="18"/>
      <c r="AHG229" s="18"/>
      <c r="AHH229" s="18"/>
      <c r="AHI229" s="18"/>
      <c r="AHJ229" s="18"/>
      <c r="AHK229" s="18"/>
      <c r="AHL229" s="18"/>
      <c r="AHM229" s="18"/>
      <c r="AHN229" s="18"/>
      <c r="AHO229" s="18"/>
      <c r="AHP229" s="18"/>
      <c r="AHQ229" s="18"/>
      <c r="AHR229" s="18"/>
      <c r="AHS229" s="18"/>
      <c r="AHT229" s="18"/>
      <c r="AHU229" s="18"/>
      <c r="AHV229" s="18"/>
      <c r="AHW229" s="18"/>
      <c r="AHX229" s="18"/>
      <c r="AHY229" s="18"/>
      <c r="AHZ229" s="18"/>
      <c r="AIA229" s="18"/>
      <c r="AIB229" s="18"/>
      <c r="AIC229" s="18"/>
      <c r="AID229" s="18"/>
      <c r="AIE229" s="18"/>
      <c r="AIF229" s="18"/>
      <c r="AIG229" s="18"/>
      <c r="AIH229" s="18"/>
      <c r="AII229" s="18"/>
      <c r="AIJ229" s="18"/>
      <c r="AIK229" s="18"/>
      <c r="AIL229" s="18"/>
      <c r="AIM229" s="18"/>
      <c r="AIN229" s="18"/>
      <c r="AIO229" s="18"/>
      <c r="AIP229" s="18"/>
      <c r="AIQ229" s="18"/>
      <c r="AIR229" s="18"/>
      <c r="AIS229" s="18"/>
      <c r="AIT229" s="18"/>
      <c r="AIU229" s="18"/>
      <c r="AIV229" s="18"/>
      <c r="AIW229" s="18"/>
      <c r="AIX229" s="18"/>
      <c r="AIY229" s="18"/>
      <c r="AIZ229" s="18"/>
      <c r="AJA229" s="18"/>
      <c r="AJB229" s="18"/>
      <c r="AJC229" s="18"/>
      <c r="AJD229" s="18"/>
      <c r="AJE229" s="18"/>
      <c r="AJF229" s="18"/>
      <c r="AJG229" s="18"/>
      <c r="AJH229" s="18"/>
      <c r="AJI229" s="18"/>
      <c r="AJJ229" s="18"/>
      <c r="AJK229" s="18"/>
      <c r="AJL229" s="18"/>
      <c r="AJM229" s="18"/>
      <c r="AJN229" s="18"/>
      <c r="AJO229" s="18"/>
      <c r="AJP229" s="18"/>
      <c r="AJQ229" s="18"/>
      <c r="AJR229" s="18"/>
      <c r="AJS229" s="18"/>
      <c r="AJT229" s="18"/>
      <c r="AJU229" s="18"/>
      <c r="AJV229" s="18"/>
      <c r="AJW229" s="18"/>
      <c r="AJX229" s="18"/>
      <c r="AJY229" s="18"/>
      <c r="AJZ229" s="18"/>
      <c r="AKA229" s="18"/>
      <c r="AKB229" s="18"/>
      <c r="AKC229" s="18"/>
      <c r="AKD229" s="18"/>
      <c r="AKE229" s="18"/>
      <c r="AKF229" s="18"/>
      <c r="AKG229" s="18"/>
      <c r="AKH229" s="18"/>
      <c r="AKI229" s="18"/>
      <c r="AKJ229" s="18"/>
      <c r="AKK229" s="18"/>
      <c r="AKL229" s="18"/>
      <c r="AKM229" s="18"/>
      <c r="AKN229" s="18"/>
      <c r="AKO229" s="18"/>
      <c r="AKP229" s="18"/>
      <c r="AKQ229" s="18"/>
      <c r="AKR229" s="18"/>
      <c r="AKS229" s="18"/>
      <c r="AKT229" s="18"/>
      <c r="AKU229" s="18"/>
      <c r="AKV229" s="18"/>
      <c r="AKW229" s="18"/>
      <c r="AKX229" s="18"/>
      <c r="AKY229" s="18"/>
      <c r="AKZ229" s="18"/>
      <c r="ALA229" s="18"/>
      <c r="ALB229" s="18"/>
      <c r="ALC229" s="18"/>
      <c r="ALD229" s="18"/>
      <c r="ALE229" s="18"/>
      <c r="ALF229" s="18"/>
      <c r="ALG229" s="18"/>
      <c r="ALH229" s="18"/>
      <c r="ALI229" s="18"/>
      <c r="ALJ229" s="18"/>
      <c r="ALK229" s="18"/>
      <c r="ALL229" s="18"/>
      <c r="ALM229" s="18"/>
      <c r="ALN229" s="18"/>
      <c r="ALO229" s="18"/>
      <c r="ALP229" s="18"/>
      <c r="ALQ229" s="18"/>
      <c r="ALR229" s="18"/>
      <c r="ALS229" s="18"/>
      <c r="ALT229" s="18"/>
      <c r="ALU229" s="18"/>
      <c r="ALV229" s="18"/>
      <c r="ALW229" s="18"/>
      <c r="ALX229" s="18"/>
      <c r="ALY229" s="18"/>
      <c r="ALZ229" s="18"/>
      <c r="AMA229" s="18"/>
      <c r="AMB229" s="18"/>
      <c r="AMC229" s="18"/>
      <c r="AMD229" s="18"/>
      <c r="AME229" s="18"/>
      <c r="AMF229" s="18"/>
      <c r="AMG229" s="18"/>
      <c r="AMH229" s="18"/>
      <c r="AMI229" s="18"/>
      <c r="AMJ229" s="18"/>
      <c r="AMK229" s="18"/>
      <c r="AML229" s="18"/>
      <c r="AMM229" s="18"/>
      <c r="AMN229" s="18"/>
      <c r="AMO229" s="18"/>
      <c r="AMP229" s="18"/>
      <c r="AMQ229" s="18"/>
      <c r="AMR229" s="18"/>
      <c r="AMS229" s="18"/>
      <c r="AMT229" s="18"/>
      <c r="AMU229" s="18"/>
      <c r="AMV229" s="18"/>
      <c r="AMW229" s="18"/>
      <c r="AMX229" s="18"/>
      <c r="AMY229" s="18"/>
      <c r="AMZ229" s="18"/>
      <c r="ANA229" s="18"/>
      <c r="ANB229" s="18"/>
      <c r="ANC229" s="18"/>
      <c r="AND229" s="18"/>
      <c r="ANE229" s="18"/>
      <c r="ANF229" s="18"/>
      <c r="ANG229" s="18"/>
      <c r="ANH229" s="18"/>
      <c r="ANI229" s="18"/>
      <c r="ANJ229" s="18"/>
      <c r="ANK229" s="18"/>
      <c r="ANL229" s="18"/>
      <c r="ANM229" s="18"/>
      <c r="ANN229" s="18"/>
      <c r="ANO229" s="18"/>
      <c r="ANP229" s="18"/>
      <c r="ANQ229" s="18"/>
      <c r="ANR229" s="18"/>
      <c r="ANS229" s="18"/>
      <c r="ANT229" s="18"/>
      <c r="ANU229" s="18"/>
      <c r="ANV229" s="18"/>
      <c r="ANW229" s="18"/>
      <c r="ANX229" s="18"/>
      <c r="ANY229" s="18"/>
      <c r="ANZ229" s="18"/>
      <c r="AOA229" s="18"/>
      <c r="AOB229" s="18"/>
      <c r="AOC229" s="18"/>
      <c r="AOD229" s="18"/>
      <c r="AOE229" s="18"/>
      <c r="AOF229" s="18"/>
      <c r="AOG229" s="18"/>
      <c r="AOH229" s="18"/>
      <c r="AOI229" s="18"/>
      <c r="AOJ229" s="18"/>
      <c r="AOK229" s="18"/>
      <c r="AOL229" s="18"/>
      <c r="AOM229" s="18"/>
      <c r="AON229" s="18"/>
      <c r="AOO229" s="18"/>
      <c r="AOP229" s="18"/>
      <c r="AOQ229" s="18"/>
      <c r="AOR229" s="18"/>
      <c r="AOS229" s="18"/>
      <c r="AOT229" s="18"/>
      <c r="AOU229" s="18"/>
      <c r="AOV229" s="18"/>
      <c r="AOW229" s="18"/>
      <c r="AOX229" s="18"/>
      <c r="AOY229" s="18"/>
      <c r="AOZ229" s="18"/>
      <c r="APA229" s="18"/>
      <c r="APB229" s="18"/>
      <c r="APC229" s="18"/>
      <c r="APD229" s="18"/>
      <c r="APE229" s="18"/>
      <c r="APF229" s="18"/>
      <c r="APG229" s="18"/>
      <c r="APH229" s="18"/>
      <c r="API229" s="18"/>
      <c r="APJ229" s="18"/>
      <c r="APK229" s="18"/>
      <c r="APL229" s="18"/>
      <c r="APM229" s="18"/>
      <c r="APN229" s="18"/>
      <c r="APO229" s="18"/>
      <c r="APP229" s="18"/>
      <c r="APQ229" s="18"/>
      <c r="APR229" s="18"/>
      <c r="APS229" s="18"/>
      <c r="APT229" s="18"/>
      <c r="APU229" s="18"/>
      <c r="APV229" s="18"/>
      <c r="APW229" s="18"/>
      <c r="APX229" s="18"/>
      <c r="APY229" s="18"/>
      <c r="APZ229" s="18"/>
      <c r="AQA229" s="18"/>
      <c r="AQB229" s="18"/>
      <c r="AQC229" s="18"/>
      <c r="AQD229" s="18"/>
      <c r="AQE229" s="18"/>
      <c r="AQF229" s="18"/>
      <c r="AQG229" s="18"/>
      <c r="AQH229" s="18"/>
      <c r="AQI229" s="18"/>
      <c r="AQJ229" s="18"/>
      <c r="AQK229" s="18"/>
      <c r="AQL229" s="18"/>
      <c r="AQM229" s="18"/>
      <c r="AQN229" s="18"/>
      <c r="AQO229" s="18"/>
      <c r="AQP229" s="18"/>
      <c r="AQQ229" s="18"/>
      <c r="AQR229" s="18"/>
      <c r="AQS229" s="18"/>
      <c r="AQT229" s="18"/>
      <c r="AQU229" s="18"/>
      <c r="AQV229" s="18"/>
      <c r="AQW229" s="18"/>
      <c r="AQX229" s="18"/>
      <c r="AQY229" s="18"/>
      <c r="AQZ229" s="18"/>
      <c r="ARA229" s="18"/>
      <c r="ARB229" s="18"/>
      <c r="ARC229" s="18"/>
      <c r="ARD229" s="18"/>
      <c r="ARE229" s="18"/>
      <c r="ARF229" s="18"/>
      <c r="ARG229" s="18"/>
      <c r="ARH229" s="18"/>
      <c r="ARI229" s="18"/>
      <c r="ARJ229" s="18"/>
      <c r="ARK229" s="18"/>
      <c r="ARL229" s="18"/>
      <c r="ARM229" s="18"/>
      <c r="ARN229" s="18"/>
      <c r="ARO229" s="18"/>
      <c r="ARP229" s="18"/>
      <c r="ARQ229" s="18"/>
      <c r="ARR229" s="18"/>
      <c r="ARS229" s="18"/>
      <c r="ART229" s="18"/>
      <c r="ARU229" s="18"/>
      <c r="ARV229" s="18"/>
      <c r="ARW229" s="18"/>
      <c r="ARX229" s="18"/>
      <c r="ARY229" s="18"/>
      <c r="ARZ229" s="18"/>
      <c r="ASA229" s="18"/>
      <c r="ASB229" s="18"/>
      <c r="ASC229" s="18"/>
      <c r="ASD229" s="18"/>
      <c r="ASE229" s="18"/>
      <c r="ASF229" s="18"/>
      <c r="ASG229" s="18"/>
      <c r="ASH229" s="18"/>
      <c r="ASI229" s="18"/>
      <c r="ASJ229" s="18"/>
      <c r="ASK229" s="18"/>
      <c r="ASL229" s="18"/>
      <c r="ASM229" s="18"/>
      <c r="ASN229" s="18"/>
      <c r="ASO229" s="18"/>
      <c r="ASP229" s="18"/>
      <c r="ASQ229" s="18"/>
      <c r="ASR229" s="18"/>
      <c r="ASS229" s="18"/>
      <c r="AST229" s="18"/>
      <c r="ASU229" s="18"/>
      <c r="ASV229" s="18"/>
      <c r="ASW229" s="18"/>
      <c r="ASX229" s="18"/>
      <c r="ASY229" s="18"/>
      <c r="ASZ229" s="18"/>
      <c r="ATA229" s="18"/>
      <c r="ATB229" s="18"/>
      <c r="ATC229" s="18"/>
      <c r="ATD229" s="18"/>
      <c r="ATE229" s="18"/>
      <c r="ATF229" s="18"/>
      <c r="ATG229" s="18"/>
      <c r="ATH229" s="18"/>
      <c r="ATI229" s="18"/>
      <c r="ATJ229" s="18"/>
      <c r="ATK229" s="18"/>
      <c r="ATL229" s="18"/>
      <c r="ATM229" s="18"/>
      <c r="ATN229" s="18"/>
      <c r="ATO229" s="18"/>
      <c r="ATP229" s="18"/>
      <c r="ATQ229" s="18"/>
      <c r="ATR229" s="18"/>
      <c r="ATS229" s="18"/>
      <c r="ATT229" s="18"/>
      <c r="ATU229" s="18"/>
      <c r="ATV229" s="18"/>
      <c r="ATW229" s="18"/>
      <c r="ATX229" s="18"/>
      <c r="ATY229" s="18"/>
      <c r="ATZ229" s="18"/>
      <c r="AUA229" s="18"/>
      <c r="AUB229" s="18"/>
      <c r="AUC229" s="18"/>
      <c r="AUD229" s="18"/>
      <c r="AUE229" s="18"/>
      <c r="AUF229" s="18"/>
      <c r="AUG229" s="18"/>
      <c r="AUH229" s="18"/>
      <c r="AUI229" s="18"/>
      <c r="AUJ229" s="18"/>
      <c r="AUK229" s="18"/>
      <c r="AUL229" s="18"/>
      <c r="AUM229" s="18"/>
      <c r="AUN229" s="18"/>
      <c r="AUO229" s="18"/>
      <c r="AUP229" s="18"/>
      <c r="AUQ229" s="18"/>
      <c r="AUR229" s="18"/>
      <c r="AUS229" s="18"/>
      <c r="AUT229" s="18"/>
      <c r="AUU229" s="18"/>
      <c r="AUV229" s="18"/>
      <c r="AUW229" s="18"/>
      <c r="AUX229" s="18"/>
      <c r="AUY229" s="18"/>
      <c r="AUZ229" s="18"/>
      <c r="AVA229" s="18"/>
      <c r="AVB229" s="18"/>
      <c r="AVC229" s="18"/>
      <c r="AVD229" s="18"/>
      <c r="AVE229" s="18"/>
      <c r="AVF229" s="18"/>
      <c r="AVG229" s="18"/>
      <c r="AVH229" s="18"/>
      <c r="AVI229" s="18"/>
      <c r="AVJ229" s="18"/>
      <c r="AVK229" s="18"/>
      <c r="AVL229" s="18"/>
      <c r="AVM229" s="18"/>
      <c r="AVN229" s="18"/>
      <c r="AVO229" s="18"/>
      <c r="AVP229" s="18"/>
      <c r="AVQ229" s="18"/>
      <c r="AVR229" s="18"/>
      <c r="AVS229" s="18"/>
      <c r="AVT229" s="18"/>
      <c r="AVU229" s="18"/>
      <c r="AVV229" s="18"/>
      <c r="AVW229" s="18"/>
      <c r="AVX229" s="18"/>
      <c r="AVY229" s="18"/>
      <c r="AVZ229" s="18"/>
      <c r="AWA229" s="18"/>
      <c r="AWB229" s="18"/>
      <c r="AWC229" s="18"/>
      <c r="AWD229" s="18"/>
      <c r="AWE229" s="18"/>
      <c r="AWF229" s="18"/>
      <c r="AWG229" s="18"/>
      <c r="AWH229" s="18"/>
      <c r="AWI229" s="18"/>
      <c r="AWJ229" s="18"/>
      <c r="AWK229" s="18"/>
      <c r="AWL229" s="18"/>
      <c r="AWM229" s="18"/>
      <c r="AWN229" s="18"/>
      <c r="AWO229" s="18"/>
      <c r="AWP229" s="18"/>
      <c r="AWQ229" s="18"/>
      <c r="AWR229" s="18"/>
      <c r="AWS229" s="18"/>
      <c r="AWT229" s="18"/>
      <c r="AWU229" s="18"/>
      <c r="AWV229" s="18"/>
      <c r="AWW229" s="18"/>
      <c r="AWX229" s="18"/>
      <c r="AWY229" s="18"/>
      <c r="AWZ229" s="18"/>
      <c r="AXA229" s="18"/>
      <c r="AXB229" s="18"/>
      <c r="AXC229" s="18"/>
      <c r="AXD229" s="18"/>
      <c r="AXE229" s="18"/>
      <c r="AXF229" s="18"/>
      <c r="AXG229" s="18"/>
      <c r="AXH229" s="18"/>
      <c r="AXI229" s="18"/>
      <c r="AXJ229" s="18"/>
      <c r="AXK229" s="18"/>
      <c r="AXL229" s="18"/>
      <c r="AXM229" s="18"/>
      <c r="AXN229" s="18"/>
      <c r="AXO229" s="18"/>
      <c r="AXP229" s="18"/>
      <c r="AXQ229" s="18"/>
      <c r="AXR229" s="18"/>
      <c r="AXS229" s="18"/>
      <c r="AXT229" s="18"/>
      <c r="AXU229" s="18"/>
      <c r="AXV229" s="18"/>
      <c r="AXW229" s="18"/>
      <c r="AXX229" s="18"/>
      <c r="AXY229" s="18"/>
      <c r="AXZ229" s="18"/>
      <c r="AYA229" s="18"/>
      <c r="AYB229" s="18"/>
      <c r="AYC229" s="18"/>
      <c r="AYD229" s="18"/>
      <c r="AYE229" s="18"/>
      <c r="AYF229" s="18"/>
      <c r="AYG229" s="18"/>
      <c r="AYH229" s="18"/>
      <c r="AYI229" s="18"/>
      <c r="AYJ229" s="18"/>
      <c r="AYK229" s="18"/>
      <c r="AYL229" s="18"/>
      <c r="AYM229" s="18"/>
      <c r="AYN229" s="18"/>
      <c r="AYO229" s="18"/>
      <c r="AYP229" s="18"/>
      <c r="AYQ229" s="18"/>
      <c r="AYR229" s="18"/>
      <c r="AYS229" s="18"/>
      <c r="AYT229" s="18"/>
      <c r="AYU229" s="18"/>
      <c r="AYV229" s="18"/>
      <c r="AYW229" s="18"/>
      <c r="AYX229" s="18"/>
      <c r="AYY229" s="18"/>
      <c r="AYZ229" s="18"/>
      <c r="AZA229" s="18"/>
      <c r="AZB229" s="18"/>
      <c r="AZC229" s="18"/>
      <c r="AZD229" s="18"/>
      <c r="AZE229" s="18"/>
      <c r="AZF229" s="18"/>
      <c r="AZG229" s="18"/>
      <c r="AZH229" s="18"/>
      <c r="AZI229" s="18"/>
      <c r="AZJ229" s="18"/>
      <c r="AZK229" s="18"/>
      <c r="AZL229" s="18"/>
      <c r="AZM229" s="18"/>
      <c r="AZN229" s="18"/>
      <c r="AZO229" s="18"/>
      <c r="AZP229" s="18"/>
      <c r="AZQ229" s="18"/>
      <c r="AZR229" s="18"/>
      <c r="AZS229" s="18"/>
      <c r="AZT229" s="18"/>
      <c r="AZU229" s="18"/>
      <c r="AZV229" s="18"/>
      <c r="AZW229" s="18"/>
      <c r="AZX229" s="18"/>
      <c r="AZY229" s="18"/>
      <c r="AZZ229" s="18"/>
      <c r="BAA229" s="18"/>
      <c r="BAB229" s="18"/>
      <c r="BAC229" s="18"/>
      <c r="BAD229" s="18"/>
      <c r="BAE229" s="18"/>
      <c r="BAF229" s="18"/>
      <c r="BAG229" s="18"/>
      <c r="BAH229" s="18"/>
      <c r="BAI229" s="18"/>
      <c r="BAJ229" s="18"/>
      <c r="BAK229" s="18"/>
      <c r="BAL229" s="18"/>
      <c r="BAM229" s="18"/>
      <c r="BAN229" s="18"/>
      <c r="BAO229" s="18"/>
      <c r="BAP229" s="18"/>
      <c r="BAQ229" s="18"/>
      <c r="BAR229" s="18"/>
      <c r="BAS229" s="18"/>
      <c r="BAT229" s="18"/>
      <c r="BAU229" s="18"/>
      <c r="BAV229" s="18"/>
      <c r="BAW229" s="18"/>
      <c r="BAX229" s="18"/>
      <c r="BAY229" s="18"/>
      <c r="BAZ229" s="18"/>
      <c r="BBA229" s="18"/>
      <c r="BBB229" s="18"/>
      <c r="BBC229" s="18"/>
      <c r="BBD229" s="18"/>
      <c r="BBE229" s="18"/>
      <c r="BBF229" s="18"/>
      <c r="BBG229" s="18"/>
      <c r="BBH229" s="18"/>
      <c r="BBI229" s="18"/>
      <c r="BBJ229" s="18"/>
      <c r="BBK229" s="18"/>
      <c r="BBL229" s="18"/>
      <c r="BBM229" s="18"/>
      <c r="BBN229" s="18"/>
      <c r="BBO229" s="18"/>
      <c r="BBP229" s="18"/>
      <c r="BBQ229" s="18"/>
      <c r="BBR229" s="18"/>
      <c r="BBS229" s="18"/>
      <c r="BBT229" s="18"/>
      <c r="BBU229" s="18"/>
      <c r="BBV229" s="18"/>
      <c r="BBW229" s="18"/>
      <c r="BBX229" s="18"/>
      <c r="BBY229" s="18"/>
      <c r="BBZ229" s="18"/>
      <c r="BCA229" s="18"/>
      <c r="BCB229" s="18"/>
      <c r="BCC229" s="18"/>
      <c r="BCD229" s="18"/>
      <c r="BCE229" s="18"/>
      <c r="BCF229" s="18"/>
      <c r="BCG229" s="18"/>
      <c r="BCH229" s="18"/>
      <c r="BCI229" s="18"/>
      <c r="BCJ229" s="18"/>
      <c r="BCK229" s="18"/>
      <c r="BCL229" s="18"/>
      <c r="BCM229" s="18"/>
      <c r="BCN229" s="18"/>
      <c r="BCO229" s="18"/>
      <c r="BCP229" s="18"/>
      <c r="BCQ229" s="18"/>
      <c r="BCR229" s="18"/>
      <c r="BCS229" s="18"/>
      <c r="BCT229" s="18"/>
      <c r="BCU229" s="18"/>
      <c r="BCV229" s="18"/>
      <c r="BCW229" s="18"/>
      <c r="BCX229" s="18"/>
      <c r="BCY229" s="18"/>
      <c r="BCZ229" s="18"/>
      <c r="BDA229" s="18"/>
      <c r="BDB229" s="18"/>
      <c r="BDC229" s="18"/>
      <c r="BDD229" s="18"/>
      <c r="BDE229" s="18"/>
      <c r="BDF229" s="18"/>
      <c r="BDG229" s="18"/>
      <c r="BDH229" s="18"/>
      <c r="BDI229" s="18"/>
      <c r="BDJ229" s="18"/>
      <c r="BDK229" s="18"/>
      <c r="BDL229" s="18"/>
      <c r="BDM229" s="18"/>
      <c r="BDN229" s="18"/>
      <c r="BDO229" s="18"/>
      <c r="BDP229" s="18"/>
      <c r="BDQ229" s="18"/>
      <c r="BDR229" s="18"/>
      <c r="BDS229" s="18"/>
      <c r="BDT229" s="18"/>
      <c r="BDU229" s="18"/>
      <c r="BDV229" s="18"/>
      <c r="BDW229" s="18"/>
      <c r="BDX229" s="18"/>
      <c r="BDY229" s="18"/>
      <c r="BDZ229" s="18"/>
      <c r="BEA229" s="18"/>
      <c r="BEB229" s="18"/>
      <c r="BEC229" s="18"/>
      <c r="BED229" s="18"/>
      <c r="BEE229" s="18"/>
      <c r="BEF229" s="18"/>
      <c r="BEG229" s="18"/>
      <c r="BEH229" s="18"/>
      <c r="BEI229" s="18"/>
      <c r="BEJ229" s="18"/>
      <c r="BEK229" s="18"/>
      <c r="BEL229" s="18"/>
      <c r="BEM229" s="18"/>
      <c r="BEN229" s="18"/>
      <c r="BEO229" s="18"/>
      <c r="BEP229" s="18"/>
      <c r="BEQ229" s="18"/>
      <c r="BER229" s="18"/>
      <c r="BES229" s="18"/>
      <c r="BET229" s="18"/>
      <c r="BEU229" s="18"/>
      <c r="BEV229" s="18"/>
      <c r="BEW229" s="18"/>
      <c r="BEX229" s="18"/>
      <c r="BEY229" s="18"/>
      <c r="BEZ229" s="18"/>
      <c r="BFA229" s="18"/>
      <c r="BFB229" s="18"/>
      <c r="BFC229" s="18"/>
      <c r="BFD229" s="18"/>
      <c r="BFE229" s="18"/>
      <c r="BFF229" s="18"/>
      <c r="BFG229" s="18"/>
      <c r="BFH229" s="18"/>
      <c r="BFI229" s="18"/>
      <c r="BFJ229" s="18"/>
      <c r="BFK229" s="18"/>
      <c r="BFL229" s="18"/>
      <c r="BFM229" s="18"/>
      <c r="BFN229" s="18"/>
      <c r="BFO229" s="18"/>
      <c r="BFP229" s="18"/>
      <c r="BFQ229" s="18"/>
      <c r="BFR229" s="18"/>
      <c r="BFS229" s="18"/>
      <c r="BFT229" s="18"/>
      <c r="BFU229" s="18"/>
      <c r="BFV229" s="18"/>
      <c r="BFW229" s="18"/>
      <c r="BFX229" s="18"/>
      <c r="BFY229" s="18"/>
      <c r="BFZ229" s="18"/>
      <c r="BGA229" s="18"/>
      <c r="BGB229" s="18"/>
      <c r="BGC229" s="18"/>
      <c r="BGD229" s="18"/>
      <c r="BGE229" s="18"/>
      <c r="BGF229" s="18"/>
      <c r="BGG229" s="18"/>
      <c r="BGH229" s="18"/>
      <c r="BGI229" s="18"/>
      <c r="BGJ229" s="18"/>
      <c r="BGK229" s="18"/>
      <c r="BGL229" s="18"/>
      <c r="BGM229" s="18"/>
      <c r="BGN229" s="18"/>
      <c r="BGO229" s="18"/>
      <c r="BGP229" s="18"/>
      <c r="BGQ229" s="18"/>
      <c r="BGR229" s="18"/>
      <c r="BGS229" s="18"/>
      <c r="BGT229" s="18"/>
      <c r="BGU229" s="18"/>
      <c r="BGV229" s="18"/>
      <c r="BGW229" s="18"/>
      <c r="BGX229" s="18"/>
      <c r="BGY229" s="18"/>
      <c r="BGZ229" s="18"/>
      <c r="BHA229" s="18"/>
      <c r="BHB229" s="18"/>
      <c r="BHC229" s="18"/>
      <c r="BHD229" s="18"/>
      <c r="BHE229" s="18"/>
      <c r="BHF229" s="18"/>
      <c r="BHG229" s="18"/>
      <c r="BHH229" s="18"/>
      <c r="BHI229" s="18"/>
      <c r="BHJ229" s="18"/>
      <c r="BHK229" s="18"/>
      <c r="BHL229" s="18"/>
      <c r="BHM229" s="18"/>
      <c r="BHN229" s="18"/>
      <c r="BHO229" s="18"/>
      <c r="BHP229" s="18"/>
      <c r="BHQ229" s="18"/>
      <c r="BHR229" s="18"/>
      <c r="BHS229" s="18"/>
      <c r="BHT229" s="18"/>
      <c r="BHU229" s="18"/>
      <c r="BHV229" s="18"/>
      <c r="BHW229" s="18"/>
      <c r="BHX229" s="18"/>
      <c r="BHY229" s="18"/>
      <c r="BHZ229" s="18"/>
      <c r="BIA229" s="18"/>
      <c r="BIB229" s="18"/>
      <c r="BIC229" s="18"/>
      <c r="BID229" s="18"/>
      <c r="BIE229" s="18"/>
      <c r="BIF229" s="18"/>
      <c r="BIG229" s="18"/>
      <c r="BIH229" s="18"/>
      <c r="BII229" s="18"/>
      <c r="BIJ229" s="18"/>
      <c r="BIK229" s="18"/>
      <c r="BIL229" s="18"/>
      <c r="BIM229" s="18"/>
      <c r="BIN229" s="18"/>
      <c r="BIO229" s="18"/>
      <c r="BIP229" s="18"/>
      <c r="BIQ229" s="18"/>
      <c r="BIR229" s="18"/>
      <c r="BIS229" s="18"/>
      <c r="BIT229" s="18"/>
      <c r="BIU229" s="18"/>
      <c r="BIV229" s="18"/>
      <c r="BIW229" s="18"/>
      <c r="BIX229" s="18"/>
      <c r="BIY229" s="18"/>
      <c r="BIZ229" s="18"/>
      <c r="BJA229" s="18"/>
      <c r="BJB229" s="18"/>
      <c r="BJC229" s="18"/>
      <c r="BJD229" s="18"/>
      <c r="BJE229" s="18"/>
      <c r="BJF229" s="18"/>
      <c r="BJG229" s="18"/>
      <c r="BJH229" s="18"/>
      <c r="BJI229" s="18"/>
      <c r="BJJ229" s="18"/>
      <c r="BJK229" s="18"/>
      <c r="BJL229" s="18"/>
      <c r="BJM229" s="18"/>
      <c r="BJN229" s="18"/>
      <c r="BJO229" s="18"/>
      <c r="BJP229" s="18"/>
      <c r="BJQ229" s="18"/>
      <c r="BJR229" s="18"/>
      <c r="BJS229" s="18"/>
      <c r="BJT229" s="18"/>
      <c r="BJU229" s="18"/>
      <c r="BJV229" s="18"/>
      <c r="BJW229" s="18"/>
      <c r="BJX229" s="18"/>
      <c r="BJY229" s="18"/>
      <c r="BJZ229" s="18"/>
      <c r="BKA229" s="18"/>
      <c r="BKB229" s="18"/>
      <c r="BKC229" s="18"/>
      <c r="BKD229" s="18"/>
      <c r="BKE229" s="18"/>
      <c r="BKF229" s="18"/>
      <c r="BKG229" s="18"/>
      <c r="BKH229" s="18"/>
      <c r="BKI229" s="18"/>
      <c r="BKJ229" s="18"/>
      <c r="BKK229" s="18"/>
      <c r="BKL229" s="18"/>
      <c r="BKM229" s="18"/>
      <c r="BKN229" s="18"/>
      <c r="BKO229" s="18"/>
      <c r="BKP229" s="18"/>
      <c r="BKQ229" s="18"/>
      <c r="BKR229" s="18"/>
      <c r="BKS229" s="18"/>
      <c r="BKT229" s="18"/>
      <c r="BKU229" s="18"/>
      <c r="BKV229" s="18"/>
      <c r="BKW229" s="18"/>
      <c r="BKX229" s="18"/>
      <c r="BKY229" s="18"/>
      <c r="BKZ229" s="18"/>
      <c r="BLA229" s="18"/>
      <c r="BLB229" s="18"/>
      <c r="BLC229" s="18"/>
      <c r="BLD229" s="18"/>
      <c r="BLE229" s="18"/>
      <c r="BLF229" s="18"/>
      <c r="BLG229" s="18"/>
      <c r="BLH229" s="18"/>
      <c r="BLI229" s="18"/>
      <c r="BLJ229" s="18"/>
      <c r="BLK229" s="18"/>
      <c r="BLL229" s="18"/>
      <c r="BLM229" s="18"/>
      <c r="BLN229" s="18"/>
      <c r="BLO229" s="18"/>
      <c r="BLP229" s="18"/>
      <c r="BLQ229" s="18"/>
      <c r="BLR229" s="18"/>
      <c r="BLS229" s="18"/>
      <c r="BLT229" s="18"/>
      <c r="BLU229" s="18"/>
      <c r="BLV229" s="18"/>
      <c r="BLW229" s="18"/>
      <c r="BLX229" s="18"/>
      <c r="BLY229" s="18"/>
      <c r="BLZ229" s="18"/>
      <c r="BMA229" s="18"/>
      <c r="BMB229" s="18"/>
      <c r="BMC229" s="18"/>
      <c r="BMD229" s="18"/>
      <c r="BME229" s="18"/>
      <c r="BMF229" s="18"/>
      <c r="BMG229" s="18"/>
      <c r="BMH229" s="18"/>
      <c r="BMI229" s="18"/>
      <c r="BMJ229" s="18"/>
      <c r="BMK229" s="18"/>
      <c r="BML229" s="18"/>
      <c r="BMM229" s="18"/>
      <c r="BMN229" s="18"/>
      <c r="BMO229" s="18"/>
      <c r="BMP229" s="18"/>
      <c r="BMQ229" s="18"/>
      <c r="BMR229" s="18"/>
      <c r="BMS229" s="18"/>
      <c r="BMT229" s="18"/>
      <c r="BMU229" s="18"/>
      <c r="BMV229" s="18"/>
      <c r="BMW229" s="18"/>
      <c r="BMX229" s="18"/>
      <c r="BMY229" s="18"/>
      <c r="BMZ229" s="18"/>
      <c r="BNA229" s="18"/>
      <c r="BNB229" s="18"/>
      <c r="BNC229" s="18"/>
      <c r="BND229" s="18"/>
      <c r="BNE229" s="18"/>
      <c r="BNF229" s="18"/>
      <c r="BNG229" s="18"/>
      <c r="BNH229" s="18"/>
      <c r="BNI229" s="18"/>
      <c r="BNJ229" s="18"/>
      <c r="BNK229" s="18"/>
      <c r="BNL229" s="18"/>
      <c r="BNM229" s="18"/>
      <c r="BNN229" s="18"/>
      <c r="BNO229" s="18"/>
      <c r="BNP229" s="18"/>
      <c r="BNQ229" s="18"/>
      <c r="BNR229" s="18"/>
      <c r="BNS229" s="18"/>
      <c r="BNT229" s="18"/>
      <c r="BNU229" s="18"/>
      <c r="BNV229" s="18"/>
      <c r="BNW229" s="18"/>
      <c r="BNX229" s="18"/>
      <c r="BNY229" s="18"/>
      <c r="BNZ229" s="18"/>
      <c r="BOA229" s="18"/>
      <c r="BOB229" s="18"/>
      <c r="BOC229" s="18"/>
      <c r="BOD229" s="18"/>
      <c r="BOE229" s="18"/>
      <c r="BOF229" s="18"/>
      <c r="BOG229" s="18"/>
      <c r="BOH229" s="18"/>
      <c r="BOI229" s="18"/>
      <c r="BOJ229" s="18"/>
      <c r="BOK229" s="18"/>
      <c r="BOL229" s="18"/>
      <c r="BOM229" s="18"/>
      <c r="BON229" s="18"/>
      <c r="BOO229" s="18"/>
      <c r="BOP229" s="18"/>
      <c r="BOQ229" s="18"/>
      <c r="BOR229" s="18"/>
      <c r="BOS229" s="18"/>
      <c r="BOT229" s="18"/>
      <c r="BOU229" s="18"/>
      <c r="BOV229" s="18"/>
      <c r="BOW229" s="18"/>
      <c r="BOX229" s="18"/>
      <c r="BOY229" s="18"/>
      <c r="BOZ229" s="18"/>
      <c r="BPA229" s="18"/>
      <c r="BPB229" s="18"/>
      <c r="BPC229" s="18"/>
      <c r="BPD229" s="18"/>
      <c r="BPE229" s="18"/>
      <c r="BPF229" s="18"/>
      <c r="BPG229" s="18"/>
      <c r="BPH229" s="18"/>
      <c r="BPI229" s="18"/>
      <c r="BPJ229" s="18"/>
      <c r="BPK229" s="18"/>
      <c r="BPL229" s="18"/>
      <c r="BPM229" s="18"/>
      <c r="BPN229" s="18"/>
      <c r="BPO229" s="18"/>
      <c r="BPP229" s="18"/>
      <c r="BPQ229" s="18"/>
      <c r="BPR229" s="18"/>
      <c r="BPS229" s="18"/>
      <c r="BPT229" s="18"/>
      <c r="BPU229" s="18"/>
      <c r="BPV229" s="18"/>
      <c r="BPW229" s="18"/>
      <c r="BPX229" s="18"/>
      <c r="BPY229" s="18"/>
      <c r="BPZ229" s="18"/>
      <c r="BQA229" s="18"/>
      <c r="BQB229" s="18"/>
      <c r="BQC229" s="18"/>
      <c r="BQD229" s="18"/>
      <c r="BQE229" s="18"/>
      <c r="BQF229" s="18"/>
      <c r="BQG229" s="18"/>
      <c r="BQH229" s="18"/>
      <c r="BQI229" s="18"/>
      <c r="BQJ229" s="18"/>
      <c r="BQK229" s="18"/>
      <c r="BQL229" s="18"/>
      <c r="BQM229" s="18"/>
      <c r="BQN229" s="18"/>
      <c r="BQO229" s="18"/>
      <c r="BQP229" s="18"/>
      <c r="BQQ229" s="18"/>
      <c r="BQR229" s="18"/>
      <c r="BQS229" s="18"/>
      <c r="BQT229" s="18"/>
      <c r="BQU229" s="18"/>
      <c r="BQV229" s="18"/>
      <c r="BQW229" s="18"/>
      <c r="BQX229" s="18"/>
      <c r="BQY229" s="18"/>
      <c r="BQZ229" s="18"/>
      <c r="BRA229" s="18"/>
      <c r="BRB229" s="18"/>
      <c r="BRC229" s="18"/>
      <c r="BRD229" s="18"/>
      <c r="BRE229" s="18"/>
      <c r="BRF229" s="18"/>
      <c r="BRG229" s="18"/>
      <c r="BRH229" s="18"/>
      <c r="BRI229" s="18"/>
      <c r="BRJ229" s="18"/>
      <c r="BRK229" s="18"/>
      <c r="BRL229" s="18"/>
      <c r="BRM229" s="18"/>
      <c r="BRN229" s="18"/>
      <c r="BRO229" s="18"/>
      <c r="BRP229" s="18"/>
      <c r="BRQ229" s="18"/>
      <c r="BRR229" s="18"/>
      <c r="BRS229" s="18"/>
      <c r="BRT229" s="18"/>
      <c r="BRU229" s="18"/>
      <c r="BRV229" s="18"/>
      <c r="BRW229" s="18"/>
      <c r="BRX229" s="18"/>
      <c r="BRY229" s="18"/>
      <c r="BRZ229" s="18"/>
      <c r="BSA229" s="18"/>
      <c r="BSB229" s="18"/>
      <c r="BSC229" s="18"/>
      <c r="BSD229" s="18"/>
      <c r="BSE229" s="18"/>
      <c r="BSF229" s="18"/>
      <c r="BSG229" s="18"/>
      <c r="BSH229" s="18"/>
      <c r="BSI229" s="18"/>
      <c r="BSJ229" s="18"/>
      <c r="BSK229" s="18"/>
      <c r="BSL229" s="18"/>
      <c r="BSM229" s="18"/>
      <c r="BSN229" s="18"/>
      <c r="BSO229" s="18"/>
      <c r="BSP229" s="18"/>
      <c r="BSQ229" s="18"/>
      <c r="BSR229" s="18"/>
      <c r="BSS229" s="18"/>
      <c r="BST229" s="18"/>
      <c r="BSU229" s="18"/>
      <c r="BSV229" s="18"/>
      <c r="BSW229" s="18"/>
      <c r="BSX229" s="18"/>
      <c r="BSY229" s="18"/>
      <c r="BSZ229" s="18"/>
      <c r="BTA229" s="18"/>
      <c r="BTB229" s="18"/>
      <c r="BTC229" s="18"/>
      <c r="BTD229" s="18"/>
      <c r="BTE229" s="18"/>
      <c r="BTF229" s="18"/>
      <c r="BTG229" s="18"/>
      <c r="BTH229" s="18"/>
      <c r="BTI229" s="18"/>
    </row>
    <row r="230" spans="1:1881" ht="35.25" customHeight="1" x14ac:dyDescent="0.3">
      <c r="A230" s="100"/>
      <c r="B230" s="492" t="s">
        <v>25</v>
      </c>
      <c r="C230" s="502"/>
      <c r="D230" s="495"/>
      <c r="E230" s="495"/>
      <c r="F230" s="509"/>
      <c r="G230" s="477"/>
      <c r="H230" s="17"/>
      <c r="I230" s="72"/>
      <c r="J230" s="72"/>
      <c r="K230"/>
      <c r="L230" s="550"/>
    </row>
    <row r="231" spans="1:1881" ht="151.19999999999999" customHeight="1" x14ac:dyDescent="0.3">
      <c r="A231" s="117">
        <v>621</v>
      </c>
      <c r="B231" s="117" t="s">
        <v>326</v>
      </c>
      <c r="C231" s="117" t="s">
        <v>356</v>
      </c>
      <c r="D231" s="116" t="s">
        <v>674</v>
      </c>
      <c r="E231" s="373" t="e">
        <f>INDEX('PY1 Data(H)'!$A$1:$CZ$265,MATCH('Unit Data from Audit Worksheet'!$A231,'PY1 Data(H)'!$A$1:$A$258,0),MATCH('Unit Data from Audit Worksheet'!$D$2,'PY1 Data(H)'!$A$1:$CZ$1,0))</f>
        <v>#N/A</v>
      </c>
      <c r="F231" s="816">
        <v>0</v>
      </c>
      <c r="G231" s="432" t="s">
        <v>675</v>
      </c>
      <c r="K231"/>
      <c r="L231" s="550"/>
    </row>
    <row r="232" spans="1:1881" ht="178.2" customHeight="1" x14ac:dyDescent="0.3">
      <c r="A232" s="100">
        <v>547</v>
      </c>
      <c r="B232" s="375"/>
      <c r="C232" s="375" t="s">
        <v>159</v>
      </c>
      <c r="D232" s="752" t="s">
        <v>1624</v>
      </c>
      <c r="E232" s="373" t="e">
        <f>INDEX('PY1 Data(H)'!$A$1:$CZ$265,MATCH('Unit Data from Audit Worksheet'!$A232,'PY1 Data(H)'!$A$1:$A$258,0),MATCH('Unit Data from Audit Worksheet'!$D$2,'PY1 Data(H)'!$A$1:$CZ$1,0))</f>
        <v>#N/A</v>
      </c>
      <c r="F232" s="185"/>
      <c r="G232" s="431" t="str">
        <f>IF(F232&lt;1,"Please answer this question","")</f>
        <v>Please answer this question</v>
      </c>
      <c r="H232" s="404"/>
      <c r="I232" s="405"/>
      <c r="J232" s="405"/>
      <c r="K232"/>
      <c r="L232" s="550"/>
    </row>
    <row r="233" spans="1:1881" s="18" customFormat="1" ht="120" customHeight="1" x14ac:dyDescent="0.3">
      <c r="A233" s="191">
        <v>659</v>
      </c>
      <c r="B233" s="462" t="s">
        <v>58</v>
      </c>
      <c r="C233" s="462" t="s">
        <v>346</v>
      </c>
      <c r="D233" s="194" t="s">
        <v>676</v>
      </c>
      <c r="E233" s="373" t="e">
        <f>INDEX('PY1 Data(H)'!$A$1:$CZ$265,MATCH('Unit Data from Audit Worksheet'!$A233,'PY1 Data(H)'!$A$1:$A$258,0),MATCH('Unit Data from Audit Worksheet'!$D$2,'PY1 Data(H)'!$A$1:$CZ$1,0))</f>
        <v>#N/A</v>
      </c>
      <c r="F233" s="816">
        <v>0</v>
      </c>
      <c r="G233" s="432" t="s">
        <v>677</v>
      </c>
      <c r="H233" s="403">
        <f>IF(F230&lt;0,"Error: Enter as positive.",)</f>
        <v>0</v>
      </c>
      <c r="I233" s="244"/>
      <c r="J233" s="244"/>
      <c r="K233"/>
      <c r="L233" s="550"/>
      <c r="M233"/>
      <c r="O233" s="187"/>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row>
    <row r="234" spans="1:1881" ht="65.25" customHeight="1" x14ac:dyDescent="0.3">
      <c r="A234" s="191">
        <v>660</v>
      </c>
      <c r="B234" s="462" t="s">
        <v>58</v>
      </c>
      <c r="C234" s="462" t="s">
        <v>346</v>
      </c>
      <c r="D234" s="194" t="s">
        <v>678</v>
      </c>
      <c r="E234" s="373" t="e">
        <f>INDEX('PY1 Data(H)'!$A$1:$CZ$265,MATCH('Unit Data from Audit Worksheet'!$A234,'PY1 Data(H)'!$A$1:$A$258,0),MATCH('Unit Data from Audit Worksheet'!$D$2,'PY1 Data(H)'!$A$1:$CZ$1,0))</f>
        <v>#N/A</v>
      </c>
      <c r="F234" s="816">
        <v>0</v>
      </c>
      <c r="G234" s="432" t="str">
        <f>IF(ISBLANK(F234),"Please do not leave blank","")</f>
        <v/>
      </c>
      <c r="H234" s="403">
        <f>IF(F231&lt;0,"Note: Number is normally positive.",)</f>
        <v>0</v>
      </c>
      <c r="I234" s="17"/>
      <c r="J234" s="17"/>
      <c r="K234"/>
      <c r="L234" s="550"/>
    </row>
    <row r="235" spans="1:1881" ht="94.5" customHeight="1" x14ac:dyDescent="0.3">
      <c r="A235" s="191">
        <v>661</v>
      </c>
      <c r="B235" s="462" t="s">
        <v>58</v>
      </c>
      <c r="C235" s="462" t="s">
        <v>348</v>
      </c>
      <c r="D235" s="345" t="s">
        <v>679</v>
      </c>
      <c r="E235" s="818" t="e">
        <f>INDEX('PY1 Data(H)'!$A$1:$CZ$265,MATCH('Unit Data from Audit Worksheet'!$A235,'PY1 Data(H)'!$A$1:$A$258,0),MATCH('Unit Data from Audit Worksheet'!$D$2,'PY1 Data(H)'!$A$1:$CZ$1,0))</f>
        <v>#N/A</v>
      </c>
      <c r="F235" s="819">
        <v>0</v>
      </c>
      <c r="G235" s="432" t="str">
        <f>IF(ISBLANK(F235),"Please do not leave blank ",IF(F235=H235,"","Please review percentage"))</f>
        <v/>
      </c>
      <c r="H235" s="820">
        <f>ROUND(IFERROR((F234/F233)*100,0),1)</f>
        <v>0</v>
      </c>
      <c r="I235" s="433"/>
      <c r="J235" s="433"/>
      <c r="K235"/>
      <c r="L235" s="550"/>
    </row>
    <row r="236" spans="1:1881" ht="111.75" customHeight="1" x14ac:dyDescent="0.3">
      <c r="A236" s="100"/>
      <c r="B236" s="375"/>
      <c r="C236" s="375"/>
      <c r="D236" s="24" t="s">
        <v>26</v>
      </c>
      <c r="E236" s="373"/>
      <c r="F236" s="377"/>
      <c r="G236" s="432"/>
      <c r="H236" s="433"/>
      <c r="I236" s="434"/>
      <c r="J236" s="434"/>
      <c r="K236"/>
      <c r="L236" s="550"/>
    </row>
    <row r="237" spans="1:1881" ht="32.25" customHeight="1" x14ac:dyDescent="0.3">
      <c r="A237" s="100"/>
      <c r="B237" s="492" t="s">
        <v>27</v>
      </c>
      <c r="C237" s="502"/>
      <c r="D237" s="495"/>
      <c r="E237" s="508"/>
      <c r="F237" s="508"/>
      <c r="G237" s="477"/>
      <c r="H237" s="17"/>
      <c r="I237" s="72"/>
      <c r="J237" s="72"/>
      <c r="K237"/>
      <c r="L237" s="550"/>
    </row>
    <row r="238" spans="1:1881" ht="63.75" customHeight="1" x14ac:dyDescent="0.3">
      <c r="A238" s="30">
        <v>371</v>
      </c>
      <c r="B238" s="4" t="s">
        <v>55</v>
      </c>
      <c r="C238" s="4" t="s">
        <v>160</v>
      </c>
      <c r="D238" s="21" t="s">
        <v>772</v>
      </c>
      <c r="E238" s="373" t="e">
        <f>INDEX('PY1 Data(H)'!$A$1:$CZ$265,MATCH('Unit Data from Audit Worksheet'!$A238,'PY1 Data(H)'!$A$1:$A$258,0),MATCH('Unit Data from Audit Worksheet'!$D$2,'PY1 Data(H)'!$A$1:$CZ$1,0))</f>
        <v>#N/A</v>
      </c>
      <c r="F238" s="816">
        <v>0</v>
      </c>
      <c r="G238" s="403">
        <f>IF(F238&lt;0,"Error: Enter as positive.",)</f>
        <v>0</v>
      </c>
      <c r="H238" s="17"/>
      <c r="I238" s="72"/>
      <c r="J238" s="72"/>
      <c r="K238"/>
      <c r="L238" s="550"/>
    </row>
    <row r="239" spans="1:1881" ht="63.75" customHeight="1" x14ac:dyDescent="0.3">
      <c r="A239" s="628">
        <v>1075</v>
      </c>
      <c r="B239" s="804" t="s">
        <v>58</v>
      </c>
      <c r="C239" s="464" t="s">
        <v>160</v>
      </c>
      <c r="D239" s="655" t="s">
        <v>1928</v>
      </c>
      <c r="E239" s="630" t="s">
        <v>1663</v>
      </c>
      <c r="F239" s="816">
        <v>0</v>
      </c>
      <c r="G239" s="403"/>
      <c r="H239" s="17"/>
      <c r="I239" s="72"/>
      <c r="J239" s="72"/>
      <c r="K239" s="180"/>
      <c r="L239" s="550"/>
      <c r="M239" s="180"/>
      <c r="Z239" s="180"/>
      <c r="AA239" s="180"/>
      <c r="AB239" s="180"/>
      <c r="AC239" s="180"/>
      <c r="AD239" s="180"/>
      <c r="AE239" s="180"/>
      <c r="AF239" s="180"/>
      <c r="AG239" s="180"/>
      <c r="AH239" s="180"/>
      <c r="AI239" s="180"/>
      <c r="AJ239" s="180"/>
      <c r="AK239" s="180"/>
      <c r="AL239" s="180"/>
      <c r="AM239" s="180"/>
      <c r="AN239" s="180"/>
      <c r="AO239" s="180"/>
      <c r="AP239" s="180"/>
      <c r="AQ239" s="180"/>
      <c r="AR239" s="180"/>
      <c r="AS239" s="180"/>
      <c r="AT239" s="180"/>
      <c r="AU239" s="180"/>
      <c r="AV239" s="180"/>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0"/>
      <c r="BR239" s="180"/>
      <c r="BS239" s="180"/>
      <c r="BT239" s="180"/>
      <c r="BU239" s="180"/>
      <c r="BV239" s="180"/>
      <c r="BW239" s="180"/>
      <c r="BX239" s="180"/>
      <c r="BY239" s="180"/>
      <c r="BZ239" s="180"/>
      <c r="CA239" s="180"/>
      <c r="CB239" s="180"/>
      <c r="CC239" s="180"/>
      <c r="CD239" s="180"/>
      <c r="CE239" s="180"/>
      <c r="CF239" s="180"/>
      <c r="CG239" s="180"/>
      <c r="CH239" s="180"/>
      <c r="CI239" s="180"/>
      <c r="CJ239" s="180"/>
      <c r="CK239" s="180"/>
      <c r="CL239" s="180"/>
      <c r="CM239" s="180"/>
      <c r="CN239" s="180"/>
      <c r="CO239" s="180"/>
      <c r="CP239" s="180"/>
      <c r="CQ239" s="180"/>
      <c r="CR239" s="180"/>
      <c r="CS239" s="180"/>
      <c r="CT239" s="180"/>
      <c r="CU239" s="180"/>
      <c r="CV239" s="180"/>
      <c r="CW239" s="180"/>
      <c r="CX239" s="180"/>
      <c r="CY239" s="180"/>
      <c r="CZ239" s="180"/>
      <c r="DA239" s="180"/>
      <c r="DB239" s="180"/>
      <c r="DC239" s="180"/>
      <c r="DD239" s="180"/>
      <c r="DE239" s="180"/>
      <c r="DF239" s="180"/>
      <c r="DG239" s="180"/>
      <c r="DH239" s="180"/>
      <c r="DI239" s="180"/>
      <c r="DJ239" s="180"/>
      <c r="DK239" s="180"/>
      <c r="DL239" s="180"/>
      <c r="DM239" s="180"/>
      <c r="DN239" s="180"/>
      <c r="DO239" s="180"/>
      <c r="DP239" s="180"/>
      <c r="DQ239" s="180"/>
      <c r="DR239" s="180"/>
      <c r="DS239" s="180"/>
    </row>
    <row r="240" spans="1:1881" ht="63.75" customHeight="1" x14ac:dyDescent="0.3">
      <c r="A240" s="628">
        <v>1076</v>
      </c>
      <c r="B240" s="804" t="s">
        <v>58</v>
      </c>
      <c r="C240" s="464" t="s">
        <v>160</v>
      </c>
      <c r="D240" s="655" t="s">
        <v>1929</v>
      </c>
      <c r="E240" s="630" t="s">
        <v>1663</v>
      </c>
      <c r="F240" s="816">
        <v>0</v>
      </c>
      <c r="G240" s="403"/>
      <c r="H240" s="17"/>
      <c r="I240" s="72"/>
      <c r="J240" s="72"/>
      <c r="K240" s="180"/>
      <c r="L240" s="550"/>
      <c r="M240" s="180"/>
      <c r="Z240" s="180"/>
      <c r="AA240" s="180"/>
      <c r="AB240" s="180"/>
      <c r="AC240" s="180"/>
      <c r="AD240" s="180"/>
      <c r="AE240" s="180"/>
      <c r="AF240" s="180"/>
      <c r="AG240" s="180"/>
      <c r="AH240" s="180"/>
      <c r="AI240" s="180"/>
      <c r="AJ240" s="180"/>
      <c r="AK240" s="180"/>
      <c r="AL240" s="180"/>
      <c r="AM240" s="180"/>
      <c r="AN240" s="180"/>
      <c r="AO240" s="180"/>
      <c r="AP240" s="180"/>
      <c r="AQ240" s="180"/>
      <c r="AR240" s="180"/>
      <c r="AS240" s="180"/>
      <c r="AT240" s="180"/>
      <c r="AU240" s="180"/>
      <c r="AV240" s="180"/>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0"/>
      <c r="BS240" s="180"/>
      <c r="BT240" s="180"/>
      <c r="BU240" s="180"/>
      <c r="BV240" s="180"/>
      <c r="BW240" s="180"/>
      <c r="BX240" s="180"/>
      <c r="BY240" s="180"/>
      <c r="BZ240" s="180"/>
      <c r="CA240" s="180"/>
      <c r="CB240" s="180"/>
      <c r="CC240" s="180"/>
      <c r="CD240" s="180"/>
      <c r="CE240" s="180"/>
      <c r="CF240" s="180"/>
      <c r="CG240" s="180"/>
      <c r="CH240" s="180"/>
      <c r="CI240" s="180"/>
      <c r="CJ240" s="180"/>
      <c r="CK240" s="180"/>
      <c r="CL240" s="180"/>
      <c r="CM240" s="180"/>
      <c r="CN240" s="180"/>
      <c r="CO240" s="180"/>
      <c r="CP240" s="180"/>
      <c r="CQ240" s="180"/>
      <c r="CR240" s="180"/>
      <c r="CS240" s="180"/>
      <c r="CT240" s="180"/>
      <c r="CU240" s="180"/>
      <c r="CV240" s="180"/>
      <c r="CW240" s="180"/>
      <c r="CX240" s="180"/>
      <c r="CY240" s="180"/>
      <c r="CZ240" s="180"/>
      <c r="DA240" s="180"/>
      <c r="DB240" s="180"/>
      <c r="DC240" s="180"/>
      <c r="DD240" s="180"/>
      <c r="DE240" s="180"/>
      <c r="DF240" s="180"/>
      <c r="DG240" s="180"/>
      <c r="DH240" s="180"/>
      <c r="DI240" s="180"/>
      <c r="DJ240" s="180"/>
      <c r="DK240" s="180"/>
      <c r="DL240" s="180"/>
      <c r="DM240" s="180"/>
      <c r="DN240" s="180"/>
      <c r="DO240" s="180"/>
      <c r="DP240" s="180"/>
      <c r="DQ240" s="180"/>
      <c r="DR240" s="180"/>
      <c r="DS240" s="180"/>
    </row>
    <row r="241" spans="1:123" ht="100.8" x14ac:dyDescent="0.3">
      <c r="A241" s="628">
        <v>1077</v>
      </c>
      <c r="B241" s="804" t="s">
        <v>58</v>
      </c>
      <c r="C241" s="723" t="s">
        <v>1932</v>
      </c>
      <c r="D241" s="655" t="s">
        <v>2736</v>
      </c>
      <c r="E241" s="630" t="s">
        <v>1663</v>
      </c>
      <c r="F241" s="816">
        <v>0</v>
      </c>
      <c r="G241" s="403"/>
      <c r="H241" s="17"/>
      <c r="I241" s="72"/>
      <c r="J241" s="72"/>
      <c r="K241" s="180"/>
      <c r="L241" s="550"/>
      <c r="M241" s="180"/>
      <c r="Z241" s="180"/>
      <c r="AA241" s="180"/>
      <c r="AB241" s="180"/>
      <c r="AC241" s="180"/>
      <c r="AD241" s="180"/>
      <c r="AE241" s="180"/>
      <c r="AF241" s="180"/>
      <c r="AG241" s="180"/>
      <c r="AH241" s="180"/>
      <c r="AI241" s="180"/>
      <c r="AJ241" s="180"/>
      <c r="AK241" s="180"/>
      <c r="AL241" s="180"/>
      <c r="AM241" s="180"/>
      <c r="AN241" s="180"/>
      <c r="AO241" s="180"/>
      <c r="AP241" s="180"/>
      <c r="AQ241" s="180"/>
      <c r="AR241" s="180"/>
      <c r="AS241" s="180"/>
      <c r="AT241" s="180"/>
      <c r="AU241" s="180"/>
      <c r="AV241" s="180"/>
      <c r="AW241" s="180"/>
      <c r="AX241" s="180"/>
      <c r="AY241" s="180"/>
      <c r="AZ241" s="180"/>
      <c r="BA241" s="180"/>
      <c r="BB241" s="180"/>
      <c r="BC241" s="180"/>
      <c r="BD241" s="180"/>
      <c r="BE241" s="180"/>
      <c r="BF241" s="180"/>
      <c r="BG241" s="180"/>
      <c r="BH241" s="180"/>
      <c r="BI241" s="180"/>
      <c r="BJ241" s="180"/>
      <c r="BK241" s="180"/>
      <c r="BL241" s="180"/>
      <c r="BM241" s="180"/>
      <c r="BN241" s="180"/>
      <c r="BO241" s="180"/>
      <c r="BP241" s="180"/>
      <c r="BQ241" s="180"/>
      <c r="BR241" s="180"/>
      <c r="BS241" s="180"/>
      <c r="BT241" s="180"/>
      <c r="BU241" s="180"/>
      <c r="BV241" s="180"/>
      <c r="BW241" s="180"/>
      <c r="BX241" s="180"/>
      <c r="BY241" s="180"/>
      <c r="BZ241" s="180"/>
      <c r="CA241" s="180"/>
      <c r="CB241" s="180"/>
      <c r="CC241" s="180"/>
      <c r="CD241" s="180"/>
      <c r="CE241" s="180"/>
      <c r="CF241" s="180"/>
      <c r="CG241" s="180"/>
      <c r="CH241" s="180"/>
      <c r="CI241" s="180"/>
      <c r="CJ241" s="180"/>
      <c r="CK241" s="180"/>
      <c r="CL241" s="180"/>
      <c r="CM241" s="180"/>
      <c r="CN241" s="180"/>
      <c r="CO241" s="180"/>
      <c r="CP241" s="180"/>
      <c r="CQ241" s="180"/>
      <c r="CR241" s="180"/>
      <c r="CS241" s="180"/>
      <c r="CT241" s="180"/>
      <c r="CU241" s="180"/>
      <c r="CV241" s="180"/>
      <c r="CW241" s="180"/>
      <c r="CX241" s="180"/>
      <c r="CY241" s="180"/>
      <c r="CZ241" s="180"/>
      <c r="DA241" s="180"/>
      <c r="DB241" s="180"/>
      <c r="DC241" s="180"/>
      <c r="DD241" s="180"/>
      <c r="DE241" s="180"/>
      <c r="DF241" s="180"/>
      <c r="DG241" s="180"/>
      <c r="DH241" s="180"/>
      <c r="DI241" s="180"/>
      <c r="DJ241" s="180"/>
      <c r="DK241" s="180"/>
      <c r="DL241" s="180"/>
      <c r="DM241" s="180"/>
      <c r="DN241" s="180"/>
      <c r="DO241" s="180"/>
      <c r="DP241" s="180"/>
      <c r="DQ241" s="180"/>
      <c r="DR241" s="180"/>
      <c r="DS241" s="180"/>
    </row>
    <row r="242" spans="1:123" ht="70.5" customHeight="1" x14ac:dyDescent="0.3">
      <c r="A242" s="100">
        <v>513</v>
      </c>
      <c r="B242" s="460" t="s">
        <v>57</v>
      </c>
      <c r="C242" s="4" t="s">
        <v>160</v>
      </c>
      <c r="D242" s="21" t="s">
        <v>773</v>
      </c>
      <c r="E242" s="815" t="e">
        <f>INDEX('PY1 Data(H)'!$A$1:$CZ$265,MATCH('Unit Data from Audit Worksheet'!$A242,'PY1 Data(H)'!$A$1:$A$258,0),MATCH('Unit Data from Audit Worksheet'!$D$2,'PY1 Data(H)'!$A$1:$CZ$1,0))</f>
        <v>#N/A</v>
      </c>
      <c r="F242" s="185">
        <v>0</v>
      </c>
      <c r="G242" s="403">
        <f>IF(F242&lt;0,"Error: Enter as positive.",)</f>
        <v>0</v>
      </c>
      <c r="H242" s="404"/>
      <c r="I242" s="405"/>
      <c r="J242" s="405"/>
      <c r="K242"/>
      <c r="L242" s="550"/>
    </row>
    <row r="243" spans="1:123" ht="80.25" customHeight="1" x14ac:dyDescent="0.3">
      <c r="A243" s="100">
        <v>514</v>
      </c>
      <c r="B243" s="460" t="s">
        <v>57</v>
      </c>
      <c r="C243" s="4" t="s">
        <v>160</v>
      </c>
      <c r="D243" s="21" t="s">
        <v>774</v>
      </c>
      <c r="E243" s="815" t="e">
        <f>INDEX('PY1 Data(H)'!$A$1:$CZ$265,MATCH('Unit Data from Audit Worksheet'!$A243,'PY1 Data(H)'!$A$1:$A$258,0),MATCH('Unit Data from Audit Worksheet'!$D$2,'PY1 Data(H)'!$A$1:$CZ$1,0))</f>
        <v>#N/A</v>
      </c>
      <c r="F243" s="185">
        <v>0</v>
      </c>
      <c r="G243" s="403">
        <f>IF(F243&lt;0,"Error: Enter as positive.",)</f>
        <v>0</v>
      </c>
      <c r="H243" s="17"/>
      <c r="I243" s="405"/>
      <c r="J243" s="405"/>
      <c r="K243"/>
      <c r="L243" s="550"/>
    </row>
    <row r="244" spans="1:123" ht="80.25" customHeight="1" x14ac:dyDescent="0.3">
      <c r="A244" s="100">
        <v>990</v>
      </c>
      <c r="B244" s="977" t="s">
        <v>1978</v>
      </c>
      <c r="C244" s="375" t="s">
        <v>160</v>
      </c>
      <c r="D244" s="21" t="s">
        <v>1509</v>
      </c>
      <c r="E244" s="815" t="e">
        <f>INDEX('PY1 Data(H)'!$A$1:$CZ$265,MATCH('Unit Data from Audit Worksheet'!$A244,'PY1 Data(H)'!$A$1:$A$258,0),MATCH('Unit Data from Audit Worksheet'!$D$2,'PY1 Data(H)'!$A$1:$CZ$1,0))</f>
        <v>#N/A</v>
      </c>
      <c r="F244" s="185">
        <v>0</v>
      </c>
      <c r="G244" s="403">
        <f>IF(F244&lt;0,"Error: Enter as positive.",)</f>
        <v>0</v>
      </c>
      <c r="H244" s="17"/>
      <c r="I244" s="405"/>
      <c r="J244" s="405"/>
      <c r="K244"/>
      <c r="L244" s="550"/>
    </row>
    <row r="245" spans="1:123" ht="96" customHeight="1" x14ac:dyDescent="0.3">
      <c r="A245" s="375">
        <v>1051</v>
      </c>
      <c r="B245" s="979" t="s">
        <v>1974</v>
      </c>
      <c r="C245" s="717" t="s">
        <v>1514</v>
      </c>
      <c r="D245" s="803" t="s">
        <v>1505</v>
      </c>
      <c r="E245" s="815" t="e">
        <f>INDEX('PY1 Data(H)'!$A$1:$CZ$265,MATCH('Unit Data from Audit Worksheet'!$A245,'PY1 Data(H)'!$A$1:$A$258,0),MATCH('Unit Data from Audit Worksheet'!$D$2,'PY1 Data(H)'!$A$1:$CZ$1,0))</f>
        <v>#N/A</v>
      </c>
      <c r="F245" s="185">
        <v>0</v>
      </c>
      <c r="G245" s="403">
        <f>IF(F245&lt;0,"Error: Enter as positive.",)</f>
        <v>0</v>
      </c>
      <c r="H245" s="17"/>
      <c r="I245" s="405"/>
      <c r="J245" s="405"/>
      <c r="K245" s="180"/>
      <c r="L245" s="550"/>
      <c r="M245" s="180"/>
      <c r="Z245" s="180"/>
      <c r="AA245" s="180"/>
      <c r="AB245" s="180"/>
      <c r="AC245" s="180"/>
      <c r="AD245" s="180"/>
      <c r="AE245" s="180"/>
      <c r="AF245" s="180"/>
      <c r="AG245" s="180"/>
      <c r="AH245" s="180"/>
      <c r="AI245" s="180"/>
      <c r="AJ245" s="180"/>
      <c r="AK245" s="180"/>
      <c r="AL245" s="180"/>
      <c r="AM245" s="180"/>
      <c r="AN245" s="180"/>
      <c r="AO245" s="180"/>
      <c r="AP245" s="180"/>
      <c r="AQ245" s="180"/>
      <c r="AR245" s="180"/>
      <c r="AS245" s="180"/>
      <c r="AT245" s="180"/>
      <c r="AU245" s="180"/>
      <c r="AV245" s="180"/>
      <c r="AW245" s="180"/>
      <c r="AX245" s="180"/>
      <c r="AY245" s="180"/>
      <c r="AZ245" s="180"/>
      <c r="BA245" s="180"/>
      <c r="BB245" s="180"/>
      <c r="BC245" s="180"/>
      <c r="BD245" s="180"/>
      <c r="BE245" s="180"/>
      <c r="BF245" s="180"/>
      <c r="BG245" s="180"/>
      <c r="BH245" s="180"/>
      <c r="BI245" s="180"/>
      <c r="BJ245" s="180"/>
      <c r="BK245" s="180"/>
      <c r="BL245" s="180"/>
      <c r="BM245" s="180"/>
      <c r="BN245" s="180"/>
      <c r="BO245" s="180"/>
      <c r="BP245" s="180"/>
      <c r="BQ245" s="180"/>
      <c r="BR245" s="180"/>
      <c r="BS245" s="180"/>
      <c r="BT245" s="180"/>
      <c r="BU245" s="180"/>
      <c r="BV245" s="180"/>
      <c r="BW245" s="180"/>
      <c r="BX245" s="180"/>
      <c r="BY245" s="180"/>
      <c r="BZ245" s="180"/>
      <c r="CA245" s="180"/>
      <c r="CB245" s="180"/>
      <c r="CC245" s="180"/>
      <c r="CD245" s="180"/>
      <c r="CE245" s="180"/>
      <c r="CF245" s="180"/>
      <c r="CG245" s="180"/>
      <c r="CH245" s="180"/>
      <c r="CI245" s="180"/>
      <c r="CJ245" s="180"/>
      <c r="CK245" s="180"/>
      <c r="CL245" s="180"/>
      <c r="CM245" s="180"/>
      <c r="CN245" s="180"/>
      <c r="CO245" s="180"/>
      <c r="CP245" s="180"/>
      <c r="CQ245" s="180"/>
      <c r="CR245" s="180"/>
      <c r="CS245" s="180"/>
      <c r="CT245" s="180"/>
      <c r="CU245" s="180"/>
      <c r="CV245" s="180"/>
      <c r="CW245" s="180"/>
      <c r="CX245" s="180"/>
      <c r="CY245" s="180"/>
      <c r="CZ245" s="180"/>
      <c r="DA245" s="180"/>
      <c r="DB245" s="180"/>
      <c r="DC245" s="180"/>
      <c r="DD245" s="180"/>
      <c r="DE245" s="180"/>
      <c r="DF245" s="180"/>
      <c r="DG245" s="180"/>
      <c r="DH245" s="180"/>
      <c r="DI245" s="180"/>
      <c r="DJ245" s="180"/>
      <c r="DK245" s="180"/>
      <c r="DL245" s="180"/>
      <c r="DM245" s="180"/>
      <c r="DN245" s="180"/>
      <c r="DO245" s="180"/>
      <c r="DP245" s="180"/>
      <c r="DQ245" s="180"/>
      <c r="DR245" s="180"/>
      <c r="DS245" s="180"/>
    </row>
    <row r="246" spans="1:123" ht="32.25" customHeight="1" x14ac:dyDescent="0.3">
      <c r="A246" s="100"/>
      <c r="B246" s="492" t="s">
        <v>28</v>
      </c>
      <c r="C246" s="502"/>
      <c r="D246" s="495"/>
      <c r="E246" s="477"/>
      <c r="F246" s="477"/>
      <c r="G246" s="477"/>
      <c r="H246" s="17"/>
      <c r="I246" s="72"/>
      <c r="J246" s="72"/>
      <c r="K246"/>
      <c r="L246" s="550"/>
    </row>
    <row r="247" spans="1:123" ht="68.25" customHeight="1" x14ac:dyDescent="0.3">
      <c r="A247" s="100">
        <v>6</v>
      </c>
      <c r="B247" s="976" t="s">
        <v>1959</v>
      </c>
      <c r="C247" s="4" t="s">
        <v>161</v>
      </c>
      <c r="D247" s="21" t="s">
        <v>775</v>
      </c>
      <c r="E247" s="373" t="e">
        <f>INDEX('PY1 Data(H)'!$A$1:$CZ$265,MATCH('Unit Data from Audit Worksheet'!$A247,'PY1 Data(H)'!$A$1:$A$258,0),MATCH('Unit Data from Audit Worksheet'!$D$2,'PY1 Data(H)'!$A$1:$CZ$1,0))</f>
        <v>#N/A</v>
      </c>
      <c r="F247" s="816">
        <v>0</v>
      </c>
      <c r="G247" s="403">
        <f>IF(F247&lt;0,"Error: Enter as positive.",)</f>
        <v>0</v>
      </c>
      <c r="H247" s="17"/>
      <c r="I247" s="72"/>
      <c r="J247" s="72"/>
      <c r="K247"/>
      <c r="L247" s="550"/>
    </row>
    <row r="248" spans="1:123" ht="33" customHeight="1" x14ac:dyDescent="0.3">
      <c r="A248" s="100"/>
      <c r="B248" s="492" t="s">
        <v>172</v>
      </c>
      <c r="C248" s="502"/>
      <c r="D248" s="495"/>
      <c r="E248" s="487"/>
      <c r="F248" s="487"/>
      <c r="G248" s="487"/>
      <c r="H248" s="404"/>
      <c r="I248" s="405"/>
      <c r="J248" s="405"/>
      <c r="K248"/>
      <c r="L248" s="550"/>
    </row>
    <row r="249" spans="1:123" ht="141" customHeight="1" x14ac:dyDescent="0.3">
      <c r="A249" s="100">
        <v>541</v>
      </c>
      <c r="B249" s="375" t="s">
        <v>58</v>
      </c>
      <c r="C249" s="375" t="s">
        <v>776</v>
      </c>
      <c r="D249" s="372" t="s">
        <v>777</v>
      </c>
      <c r="E249" s="373" t="e">
        <f>INDEX('PY1 Data(H)'!$A$1:$CZ$265,MATCH('Unit Data from Audit Worksheet'!$A249,'PY1 Data(H)'!$A$1:$A$258,0),MATCH('Unit Data from Audit Worksheet'!$D$2,'PY1 Data(H)'!$A$1:$CZ$1,0))</f>
        <v>#N/A</v>
      </c>
      <c r="F249" s="816">
        <v>0</v>
      </c>
      <c r="G249" s="403"/>
      <c r="H249" s="404"/>
      <c r="I249" s="405"/>
      <c r="J249" s="405"/>
      <c r="K249"/>
      <c r="L249" s="550"/>
    </row>
    <row r="250" spans="1:123" ht="28.5" customHeight="1" x14ac:dyDescent="0.3">
      <c r="A250" s="100"/>
      <c r="B250" s="492" t="s">
        <v>49</v>
      </c>
      <c r="C250" s="502"/>
      <c r="D250" s="495"/>
      <c r="E250" s="506"/>
      <c r="F250" s="506"/>
      <c r="G250" s="506"/>
      <c r="H250" s="404"/>
      <c r="I250" s="405"/>
      <c r="J250" s="405"/>
      <c r="K250"/>
      <c r="L250" s="550"/>
    </row>
    <row r="251" spans="1:123" ht="91.95" customHeight="1" x14ac:dyDescent="0.3">
      <c r="A251" s="100">
        <v>542</v>
      </c>
      <c r="B251" s="375" t="s">
        <v>58</v>
      </c>
      <c r="C251" s="467" t="s">
        <v>778</v>
      </c>
      <c r="D251" s="26" t="s">
        <v>162</v>
      </c>
      <c r="E251" s="373" t="e">
        <f>INDEX('PY1 Data(H)'!$A$1:$CZ$265,MATCH('Unit Data from Audit Worksheet'!$A251,'PY1 Data(H)'!$A$1:$A$258,0),MATCH('Unit Data from Audit Worksheet'!$D$2,'PY1 Data(H)'!$A$1:$CZ$1,0))</f>
        <v>#N/A</v>
      </c>
      <c r="F251" s="816">
        <v>0</v>
      </c>
      <c r="G251" s="403"/>
      <c r="H251" s="404"/>
      <c r="I251" s="435"/>
      <c r="J251" s="435"/>
      <c r="K251"/>
      <c r="L251" s="550"/>
    </row>
    <row r="252" spans="1:123" ht="21.6" customHeight="1" x14ac:dyDescent="0.3">
      <c r="A252" s="100"/>
      <c r="B252" s="492" t="s">
        <v>779</v>
      </c>
      <c r="C252" s="716"/>
      <c r="D252" s="470"/>
      <c r="E252" s="489"/>
      <c r="F252" s="489"/>
      <c r="G252" s="489"/>
      <c r="H252" s="17"/>
      <c r="I252" s="72"/>
      <c r="J252" s="72"/>
      <c r="K252"/>
      <c r="L252" s="550"/>
    </row>
    <row r="253" spans="1:123" ht="12.6" customHeight="1" x14ac:dyDescent="0.3">
      <c r="A253" s="100"/>
      <c r="B253" s="751" t="s">
        <v>12</v>
      </c>
      <c r="C253" s="724"/>
      <c r="D253" s="470"/>
      <c r="E253" s="510"/>
      <c r="F253" s="510"/>
      <c r="G253" s="489"/>
      <c r="H253" s="17"/>
      <c r="I253" s="72"/>
      <c r="J253" s="72"/>
      <c r="K253"/>
      <c r="L253" s="550"/>
    </row>
    <row r="254" spans="1:123" ht="77.25" customHeight="1" x14ac:dyDescent="0.3">
      <c r="A254" s="100">
        <v>528</v>
      </c>
      <c r="B254" s="375" t="s">
        <v>54</v>
      </c>
      <c r="C254" s="4" t="s">
        <v>163</v>
      </c>
      <c r="D254" s="324" t="s">
        <v>1941</v>
      </c>
      <c r="E254" s="373" t="e">
        <f>INDEX('PY1 Data(H)'!$A$1:$CZ$265,MATCH('Unit Data from Audit Worksheet'!$A254,'PY1 Data(H)'!$A$1:$A$258,0),MATCH('Unit Data from Audit Worksheet'!$D$2,'PY1 Data(H)'!$A$1:$CZ$1,0))</f>
        <v>#N/A</v>
      </c>
      <c r="F254" s="816">
        <v>0</v>
      </c>
      <c r="G254" s="403">
        <f>IF(F254="","Error: Unit must enter this information if they levy taxes.",)</f>
        <v>0</v>
      </c>
      <c r="H254" s="436"/>
      <c r="I254" s="72"/>
      <c r="J254" s="72"/>
      <c r="K254"/>
      <c r="L254" s="550"/>
    </row>
    <row r="255" spans="1:123" ht="69" customHeight="1" x14ac:dyDescent="0.3">
      <c r="A255" s="100">
        <v>529</v>
      </c>
      <c r="B255" s="375" t="s">
        <v>54</v>
      </c>
      <c r="C255" s="4" t="s">
        <v>163</v>
      </c>
      <c r="D255" s="324" t="s">
        <v>780</v>
      </c>
      <c r="E255" s="373" t="e">
        <f>INDEX('PY1 Data(H)'!$A$1:$CZ$265,MATCH('Unit Data from Audit Worksheet'!$A255,'PY1 Data(H)'!$A$1:$A$258,0),MATCH('Unit Data from Audit Worksheet'!$D$2,'PY1 Data(H)'!$A$1:$CZ$1,0))</f>
        <v>#N/A</v>
      </c>
      <c r="F255" s="816">
        <v>0</v>
      </c>
      <c r="G255" s="403">
        <f>IF(F255="","Error: Unit must enter this information if they levy taxes.",)</f>
        <v>0</v>
      </c>
      <c r="H255" s="17"/>
      <c r="I255" s="72"/>
      <c r="J255" s="72"/>
      <c r="K255"/>
      <c r="L255" s="550"/>
    </row>
    <row r="256" spans="1:123" ht="69" customHeight="1" x14ac:dyDescent="0.3">
      <c r="A256" s="100">
        <v>530</v>
      </c>
      <c r="B256" s="375" t="s">
        <v>54</v>
      </c>
      <c r="C256" s="4" t="s">
        <v>163</v>
      </c>
      <c r="D256" s="468" t="s">
        <v>781</v>
      </c>
      <c r="E256" s="373" t="e">
        <f>INDEX('PY1 Data(H)'!$A$1:$CZ$265,MATCH('Unit Data from Audit Worksheet'!$A256,'PY1 Data(H)'!$A$1:$A$258,0),MATCH('Unit Data from Audit Worksheet'!$D$2,'PY1 Data(H)'!$A$1:$CZ$1,0))</f>
        <v>#N/A</v>
      </c>
      <c r="F256" s="816">
        <v>0</v>
      </c>
      <c r="G256" s="403">
        <f>IF(F256="","Error: Unit must enter this information if they levy taxes.",)</f>
        <v>0</v>
      </c>
      <c r="H256" s="17"/>
      <c r="I256" s="72"/>
      <c r="J256" s="72"/>
      <c r="K256"/>
      <c r="L256" s="550"/>
    </row>
    <row r="257" spans="1:16" ht="55.5" customHeight="1" x14ac:dyDescent="0.3">
      <c r="A257" s="100">
        <v>531</v>
      </c>
      <c r="B257" s="375" t="s">
        <v>54</v>
      </c>
      <c r="C257" s="4" t="s">
        <v>163</v>
      </c>
      <c r="D257" s="468" t="s">
        <v>782</v>
      </c>
      <c r="E257" s="373" t="e">
        <f>INDEX('PY1 Data(H)'!$A$1:$CZ$265,MATCH('Unit Data from Audit Worksheet'!$A257,'PY1 Data(H)'!$A$1:$A$258,0),MATCH('Unit Data from Audit Worksheet'!$D$2,'PY1 Data(H)'!$A$1:$CZ$1,0))</f>
        <v>#N/A</v>
      </c>
      <c r="F257" s="816">
        <v>0</v>
      </c>
      <c r="G257" s="403">
        <f>IF(F257="","Error: Unit must enter this information if they levy taxes.",)</f>
        <v>0</v>
      </c>
      <c r="H257" s="17"/>
      <c r="I257" s="72"/>
      <c r="J257" s="72"/>
      <c r="K257"/>
      <c r="L257" s="550"/>
    </row>
    <row r="258" spans="1:16" ht="69" customHeight="1" x14ac:dyDescent="0.3">
      <c r="A258" s="100">
        <v>61</v>
      </c>
      <c r="B258" s="4" t="s">
        <v>58</v>
      </c>
      <c r="C258" s="4" t="s">
        <v>163</v>
      </c>
      <c r="D258" s="26" t="s">
        <v>783</v>
      </c>
      <c r="E258" s="824" t="e">
        <f>INDEX('PY1 Data(H)'!$A$1:$CZ$265,MATCH('Unit Data from Audit Worksheet'!$A258,'PY1 Data(H)'!$A$1:$A$258,0),MATCH('Unit Data from Audit Worksheet'!$D$2,'PY1 Data(H)'!$A$1:$CZ$1,0))</f>
        <v>#N/A</v>
      </c>
      <c r="F258" s="825">
        <v>0</v>
      </c>
      <c r="G258" s="403" t="e">
        <f>IF(F258=H258," ","Please check values in account 528, 529, 530 and  531.")</f>
        <v>#DIV/0!</v>
      </c>
      <c r="H258" s="437" t="e">
        <f>ROUND((F254+F255-F256-F257)/(F254+F255)*100,2)</f>
        <v>#DIV/0!</v>
      </c>
      <c r="I258" s="72"/>
      <c r="J258" s="72"/>
      <c r="K258"/>
      <c r="L258" s="550"/>
    </row>
    <row r="259" spans="1:16" ht="69" customHeight="1" x14ac:dyDescent="0.3">
      <c r="A259" s="100">
        <v>102</v>
      </c>
      <c r="B259" s="4" t="s">
        <v>58</v>
      </c>
      <c r="C259" s="4" t="s">
        <v>163</v>
      </c>
      <c r="D259" s="53" t="s">
        <v>784</v>
      </c>
      <c r="E259" s="824" t="e">
        <f>INDEX('PY1 Data(H)'!$A$1:$CZ$265,MATCH('Unit Data from Audit Worksheet'!$A259,'PY1 Data(H)'!$A$1:$A$258,0),MATCH('Unit Data from Audit Worksheet'!$D$2,'PY1 Data(H)'!$A$1:$CZ$1,0))</f>
        <v>#N/A</v>
      </c>
      <c r="F259" s="825">
        <v>0</v>
      </c>
      <c r="G259" s="403" t="e">
        <f>IF(F259=H259," ","Please check values in account 528 and 530.")</f>
        <v>#DIV/0!</v>
      </c>
      <c r="H259" s="437" t="e">
        <f>ROUND((F254-F256)/(F254)*100,2)</f>
        <v>#DIV/0!</v>
      </c>
      <c r="I259" s="72"/>
      <c r="J259" s="72"/>
      <c r="K259"/>
      <c r="L259" s="550"/>
    </row>
    <row r="260" spans="1:16" ht="63.75" customHeight="1" x14ac:dyDescent="0.3">
      <c r="A260" s="100">
        <v>103</v>
      </c>
      <c r="B260" s="4" t="s">
        <v>58</v>
      </c>
      <c r="C260" s="4" t="s">
        <v>163</v>
      </c>
      <c r="D260" s="26" t="s">
        <v>785</v>
      </c>
      <c r="E260" s="824" t="e">
        <f>INDEX('PY1 Data(H)'!$A$1:$CZ$265,MATCH('Unit Data from Audit Worksheet'!$A260,'PY1 Data(H)'!$A$1:$A$258,0),MATCH('Unit Data from Audit Worksheet'!$D$2,'PY1 Data(H)'!$A$1:$CZ$1,0))</f>
        <v>#N/A</v>
      </c>
      <c r="F260" s="825">
        <v>0</v>
      </c>
      <c r="G260" s="403" t="e">
        <f>IF(F260=H260," ","Please check values in account 529 and 531.")</f>
        <v>#DIV/0!</v>
      </c>
      <c r="H260" s="437" t="e">
        <f>ROUND((F255-F257)/F255*100,2)</f>
        <v>#DIV/0!</v>
      </c>
      <c r="I260" s="72"/>
      <c r="J260" s="72"/>
      <c r="K260"/>
      <c r="L260" s="550"/>
      <c r="N260" s="18" t="s">
        <v>563</v>
      </c>
    </row>
    <row r="261" spans="1:16" ht="72" customHeight="1" x14ac:dyDescent="0.3">
      <c r="A261" s="100">
        <v>544</v>
      </c>
      <c r="B261" s="375" t="s">
        <v>58</v>
      </c>
      <c r="C261" s="375" t="s">
        <v>163</v>
      </c>
      <c r="D261" s="21" t="s">
        <v>786</v>
      </c>
      <c r="E261" s="663" t="e">
        <f>INDEX('PY1 Data(H)'!$A$1:$CZ$265,MATCH('Unit Data from Audit Worksheet'!$A261,'PY1 Data(H)'!$A$1:$A$258,0),MATCH('Unit Data from Audit Worksheet'!$D$2,'PY1 Data(H)'!$A$1:$CZ$1,0))</f>
        <v>#N/A</v>
      </c>
      <c r="F261" s="821">
        <v>0</v>
      </c>
      <c r="G261" s="403"/>
      <c r="H261" s="17"/>
      <c r="I261" s="100"/>
      <c r="J261" s="100"/>
      <c r="K261"/>
      <c r="L261" s="550"/>
      <c r="N261" s="18" t="s">
        <v>50</v>
      </c>
    </row>
    <row r="262" spans="1:16" ht="73.5" customHeight="1" x14ac:dyDescent="0.3">
      <c r="A262" s="100">
        <v>545</v>
      </c>
      <c r="B262" s="375" t="s">
        <v>58</v>
      </c>
      <c r="C262" s="375" t="s">
        <v>163</v>
      </c>
      <c r="D262" s="21" t="s">
        <v>787</v>
      </c>
      <c r="E262" s="532"/>
      <c r="F262" s="821">
        <v>0</v>
      </c>
      <c r="G262" s="403"/>
      <c r="H262" s="17"/>
      <c r="I262" s="127"/>
      <c r="J262" s="127"/>
      <c r="K262"/>
      <c r="L262" s="550"/>
      <c r="N262" s="18" t="s">
        <v>51</v>
      </c>
    </row>
    <row r="263" spans="1:16" ht="66" customHeight="1" x14ac:dyDescent="0.3">
      <c r="A263" s="117">
        <v>624</v>
      </c>
      <c r="B263" s="117" t="s">
        <v>58</v>
      </c>
      <c r="C263" s="117"/>
      <c r="D263" s="116" t="s">
        <v>357</v>
      </c>
      <c r="E263" s="532"/>
      <c r="F263" s="715"/>
      <c r="G263" s="431" t="str">
        <f>IF(+F263&lt;1,"Please answer this question","")</f>
        <v>Please answer this question</v>
      </c>
      <c r="H263" s="17"/>
      <c r="I263" s="100"/>
      <c r="J263" s="100"/>
      <c r="K263"/>
      <c r="L263" s="550"/>
      <c r="N263" s="18" t="s">
        <v>564</v>
      </c>
    </row>
    <row r="264" spans="1:16" ht="70.5" customHeight="1" x14ac:dyDescent="0.3">
      <c r="A264" s="117">
        <v>648</v>
      </c>
      <c r="B264" s="981" t="s">
        <v>1977</v>
      </c>
      <c r="C264" s="117" t="s">
        <v>163</v>
      </c>
      <c r="D264" s="116" t="s">
        <v>672</v>
      </c>
      <c r="E264" s="663" t="e">
        <f>INDEX('PY1 Data(H)'!$A$1:$CZ$265,MATCH('Unit Data from Audit Worksheet'!$A264,'PY1 Data(H)'!$A$1:$A$258,0),MATCH('Unit Data from Audit Worksheet'!$D$2,'PY1 Data(H)'!$A$1:$CZ$1,0))</f>
        <v>#N/A</v>
      </c>
      <c r="F264" s="821">
        <v>0</v>
      </c>
      <c r="G264" s="431"/>
      <c r="H264" s="17"/>
      <c r="I264" s="100"/>
      <c r="J264" s="100"/>
      <c r="K264"/>
      <c r="L264" s="550"/>
    </row>
    <row r="265" spans="1:16" ht="180" customHeight="1" x14ac:dyDescent="0.3">
      <c r="A265" s="117">
        <v>991</v>
      </c>
      <c r="B265" s="981" t="s">
        <v>1974</v>
      </c>
      <c r="C265" s="117"/>
      <c r="D265" s="754" t="s">
        <v>1666</v>
      </c>
      <c r="E265" s="525"/>
      <c r="F265" s="715"/>
      <c r="G265" s="431"/>
      <c r="H265" s="1007" t="s">
        <v>1667</v>
      </c>
      <c r="I265"/>
      <c r="J265" s="179"/>
      <c r="K265"/>
      <c r="L265" s="550"/>
      <c r="N265" s="18" t="s">
        <v>584</v>
      </c>
    </row>
    <row r="266" spans="1:16" ht="27.75" customHeight="1" x14ac:dyDescent="0.3">
      <c r="A266" s="100"/>
      <c r="B266" s="492" t="s">
        <v>350</v>
      </c>
      <c r="C266" s="492"/>
      <c r="D266" s="492"/>
      <c r="E266" s="511"/>
      <c r="F266" s="511"/>
      <c r="G266" s="512"/>
      <c r="H266" s="17"/>
      <c r="I266" s="100"/>
      <c r="J266" s="100"/>
      <c r="K266"/>
      <c r="L266" s="550"/>
      <c r="N266" s="18" t="s">
        <v>585</v>
      </c>
    </row>
    <row r="267" spans="1:16" ht="84.6" customHeight="1" x14ac:dyDescent="0.3">
      <c r="A267" s="100">
        <v>620</v>
      </c>
      <c r="B267" s="375" t="s">
        <v>58</v>
      </c>
      <c r="C267" s="375"/>
      <c r="D267" s="752" t="s">
        <v>1625</v>
      </c>
      <c r="E267" s="525"/>
      <c r="F267" s="715"/>
      <c r="G267" s="431" t="str">
        <f>IF(F267&lt;1,"Please answer this question","")</f>
        <v>Please answer this question</v>
      </c>
      <c r="H267" s="17"/>
      <c r="I267" s="100"/>
      <c r="J267" s="100"/>
      <c r="K267"/>
      <c r="L267" s="550"/>
      <c r="N267" s="18" t="s">
        <v>586</v>
      </c>
    </row>
    <row r="268" spans="1:16" ht="123.75" customHeight="1" x14ac:dyDescent="0.3">
      <c r="A268" s="718"/>
      <c r="B268" s="1074" t="s">
        <v>461</v>
      </c>
      <c r="C268" s="1074"/>
      <c r="D268" s="1074"/>
      <c r="E268" s="522"/>
      <c r="F268" s="522"/>
      <c r="G268" s="522"/>
      <c r="H268" s="17"/>
      <c r="I268" s="100"/>
      <c r="J268" s="100"/>
      <c r="K268"/>
      <c r="N268" s="18" t="s">
        <v>464</v>
      </c>
    </row>
    <row r="269" spans="1:16" ht="63" customHeight="1" x14ac:dyDescent="0.3">
      <c r="A269" s="191">
        <v>947</v>
      </c>
      <c r="B269" s="462"/>
      <c r="C269" s="462"/>
      <c r="D269" s="345" t="s">
        <v>423</v>
      </c>
      <c r="E269" s="573"/>
      <c r="F269" s="822"/>
      <c r="G269" s="431" t="str">
        <f>IF(ISBLANK(F269),"Please do not leave blank","")</f>
        <v>Please do not leave blank</v>
      </c>
      <c r="H269" s="17"/>
      <c r="I269" s="187"/>
      <c r="J269" s="187"/>
      <c r="K269"/>
      <c r="L269" s="187"/>
      <c r="N269" s="187"/>
      <c r="P269" s="187"/>
    </row>
    <row r="270" spans="1:16" ht="65.25" customHeight="1" x14ac:dyDescent="0.3">
      <c r="A270" s="191">
        <v>948</v>
      </c>
      <c r="B270" s="462"/>
      <c r="C270" s="462"/>
      <c r="D270" s="345" t="s">
        <v>424</v>
      </c>
      <c r="E270" s="573"/>
      <c r="F270" s="822"/>
      <c r="G270" s="431" t="str">
        <f t="shared" ref="G270:G272" si="4">IF(ISBLANK(F270),"Please do not leave blank","")</f>
        <v>Please do not leave blank</v>
      </c>
      <c r="H270" s="17"/>
      <c r="I270" s="187"/>
      <c r="J270" s="187"/>
      <c r="K270"/>
      <c r="L270" s="187"/>
      <c r="N270" s="187"/>
      <c r="P270" s="187"/>
    </row>
    <row r="271" spans="1:16" ht="76.5" customHeight="1" x14ac:dyDescent="0.3">
      <c r="A271" s="191">
        <v>949</v>
      </c>
      <c r="B271" s="462"/>
      <c r="C271" s="462"/>
      <c r="D271" s="345" t="s">
        <v>425</v>
      </c>
      <c r="E271" s="573"/>
      <c r="F271" s="822"/>
      <c r="G271" s="431" t="str">
        <f t="shared" si="4"/>
        <v>Please do not leave blank</v>
      </c>
      <c r="H271" s="17"/>
      <c r="I271" s="187"/>
      <c r="J271" s="187"/>
      <c r="K271"/>
      <c r="L271" s="187"/>
      <c r="N271" s="187"/>
      <c r="P271" s="187"/>
    </row>
    <row r="272" spans="1:16" ht="60" customHeight="1" x14ac:dyDescent="0.3">
      <c r="A272" s="191">
        <v>950</v>
      </c>
      <c r="B272" s="462"/>
      <c r="C272" s="462"/>
      <c r="D272" s="345" t="s">
        <v>1646</v>
      </c>
      <c r="E272" s="573"/>
      <c r="F272" s="822"/>
      <c r="G272" s="431" t="str">
        <f t="shared" si="4"/>
        <v>Please do not leave blank</v>
      </c>
      <c r="H272" s="17"/>
      <c r="I272" s="187"/>
      <c r="J272" s="187"/>
      <c r="K272"/>
      <c r="L272" s="187"/>
      <c r="N272" s="187"/>
      <c r="P272" s="187"/>
    </row>
    <row r="273" spans="1:16" ht="80.400000000000006" customHeight="1" x14ac:dyDescent="0.3">
      <c r="A273" s="191">
        <v>952</v>
      </c>
      <c r="B273" s="462"/>
      <c r="C273" s="462"/>
      <c r="D273" s="416" t="s">
        <v>1621</v>
      </c>
      <c r="E273" s="573"/>
      <c r="F273" s="823"/>
      <c r="G273" s="431" t="s">
        <v>807</v>
      </c>
      <c r="H273" s="17"/>
      <c r="I273" s="438"/>
      <c r="J273" s="438"/>
      <c r="K273"/>
      <c r="L273" s="187"/>
      <c r="N273" s="187"/>
      <c r="P273" s="187"/>
    </row>
    <row r="274" spans="1:16" ht="33" customHeight="1" thickBot="1" x14ac:dyDescent="0.35">
      <c r="A274" s="100"/>
      <c r="B274" s="513"/>
      <c r="C274" s="514"/>
      <c r="D274" s="515" t="s">
        <v>414</v>
      </c>
      <c r="E274" s="501"/>
      <c r="F274" s="516"/>
      <c r="G274" s="517"/>
      <c r="H274" s="518"/>
      <c r="I274" s="187"/>
      <c r="J274" s="187"/>
      <c r="K274"/>
      <c r="L274" s="187"/>
      <c r="N274" s="187"/>
      <c r="P274" s="187"/>
    </row>
    <row r="275" spans="1:16" ht="15" thickBot="1" x14ac:dyDescent="0.35">
      <c r="B275" s="1071" t="s">
        <v>462</v>
      </c>
      <c r="C275" s="1072"/>
      <c r="D275" s="1072"/>
      <c r="E275" s="1073"/>
      <c r="F275" s="72"/>
      <c r="G275" s="431"/>
      <c r="H275" s="17"/>
      <c r="I275" s="100"/>
      <c r="J275" s="100"/>
      <c r="K275"/>
    </row>
    <row r="276" spans="1:16" ht="75.75" customHeight="1" x14ac:dyDescent="0.3">
      <c r="B276" s="1057" t="s">
        <v>463</v>
      </c>
      <c r="C276" s="1057"/>
      <c r="D276" s="1057"/>
      <c r="E276" s="1057"/>
      <c r="F276" s="72"/>
      <c r="G276" s="431"/>
      <c r="H276" s="17"/>
      <c r="I276" s="100"/>
      <c r="J276" s="100"/>
      <c r="K276"/>
    </row>
    <row r="277" spans="1:16" ht="15" thickBot="1" x14ac:dyDescent="0.35">
      <c r="A277" s="720"/>
      <c r="B277" s="439"/>
      <c r="C277" s="439"/>
      <c r="D277" s="440"/>
      <c r="E277" s="373"/>
      <c r="F277" s="72"/>
      <c r="G277" s="431"/>
      <c r="H277" s="17"/>
      <c r="I277" s="100"/>
      <c r="J277" s="100"/>
      <c r="K277"/>
    </row>
    <row r="278" spans="1:16" ht="15" thickBot="1" x14ac:dyDescent="0.35">
      <c r="B278" s="149" t="s">
        <v>403</v>
      </c>
      <c r="C278" s="150" t="s">
        <v>404</v>
      </c>
      <c r="D278" s="441"/>
      <c r="E278" s="442"/>
      <c r="F278" s="92"/>
      <c r="G278" s="431"/>
      <c r="H278" s="17"/>
      <c r="I278" s="100"/>
      <c r="J278" s="100"/>
      <c r="K278"/>
    </row>
    <row r="279" spans="1:16" ht="44.25" customHeight="1" thickBot="1" x14ac:dyDescent="0.35">
      <c r="B279" s="153" t="s">
        <v>428</v>
      </c>
      <c r="C279" s="152"/>
      <c r="D279" s="151"/>
      <c r="E279" s="376"/>
      <c r="F279" s="443"/>
      <c r="G279" s="431"/>
      <c r="H279" s="17"/>
      <c r="I279" s="100"/>
      <c r="J279" s="100"/>
      <c r="K279"/>
    </row>
    <row r="280" spans="1:16" ht="44.25" customHeight="1" thickBot="1" x14ac:dyDescent="0.35">
      <c r="B280" s="153"/>
      <c r="C280" s="159"/>
      <c r="D280" s="444" t="s">
        <v>452</v>
      </c>
      <c r="E280" s="445"/>
      <c r="F280" s="446"/>
      <c r="G280" s="446"/>
      <c r="H280" s="17"/>
      <c r="I280" s="100"/>
      <c r="J280" s="100"/>
    </row>
    <row r="281" spans="1:16" ht="32.4" customHeight="1" thickBot="1" x14ac:dyDescent="0.35">
      <c r="A281" s="279">
        <v>960</v>
      </c>
      <c r="B281" s="1064" t="s">
        <v>429</v>
      </c>
      <c r="C281" s="1065"/>
      <c r="D281" s="1051"/>
      <c r="E281" s="651" t="str">
        <f>IF(ISBLANK($D281),"&lt;&lt;&lt;&lt;&lt;&lt;&lt;&lt;&lt;&lt;&lt;&lt;&lt;&lt;&lt;","")</f>
        <v>&lt;&lt;&lt;&lt;&lt;&lt;&lt;&lt;&lt;&lt;&lt;&lt;&lt;&lt;&lt;</v>
      </c>
      <c r="F281" s="652" t="str">
        <f>IF(ISBLANK($D281),"Required","")</f>
        <v>Required</v>
      </c>
      <c r="G281" s="523"/>
      <c r="H281" s="404"/>
      <c r="I281" s="100"/>
      <c r="J281" s="100"/>
    </row>
    <row r="282" spans="1:16" ht="32.4" customHeight="1" thickBot="1" x14ac:dyDescent="0.35">
      <c r="A282" s="279">
        <v>962</v>
      </c>
      <c r="B282" s="1062" t="s">
        <v>405</v>
      </c>
      <c r="C282" s="1063"/>
      <c r="D282" s="1051"/>
      <c r="E282" s="651" t="str">
        <f>IF(ISBLANK($D282),"&lt;&lt;&lt;&lt;&lt;&lt;&lt;&lt;&lt;&lt;&lt;&lt;&lt;&lt;&lt;","")</f>
        <v>&lt;&lt;&lt;&lt;&lt;&lt;&lt;&lt;&lt;&lt;&lt;&lt;&lt;&lt;&lt;</v>
      </c>
      <c r="F282" s="652" t="str">
        <f>IF(ISBLANK($D282),"Required","")</f>
        <v>Required</v>
      </c>
      <c r="H282" s="17"/>
      <c r="I282" s="100"/>
      <c r="J282" s="100"/>
    </row>
    <row r="283" spans="1:16" ht="32.4" customHeight="1" thickBot="1" x14ac:dyDescent="0.35">
      <c r="A283" s="279">
        <v>964</v>
      </c>
      <c r="B283" s="1062" t="s">
        <v>406</v>
      </c>
      <c r="C283" s="1063"/>
      <c r="D283" s="1052"/>
      <c r="E283" s="651" t="str">
        <f>IF(ISBLANK($D283),"&lt;&lt;&lt;&lt;&lt;&lt;&lt;&lt;&lt;&lt;&lt;&lt;&lt;&lt;&lt;","")</f>
        <v>&lt;&lt;&lt;&lt;&lt;&lt;&lt;&lt;&lt;&lt;&lt;&lt;&lt;&lt;&lt;</v>
      </c>
      <c r="F283" s="652" t="str">
        <f>IF(ISBLANK($D283),"Required","")</f>
        <v>Required</v>
      </c>
      <c r="H283" s="17"/>
      <c r="I283" s="236"/>
      <c r="J283" s="236"/>
    </row>
    <row r="284" spans="1:16" ht="32.4" customHeight="1" thickBot="1" x14ac:dyDescent="0.35">
      <c r="A284" s="650">
        <v>966</v>
      </c>
      <c r="B284" s="1058" t="s">
        <v>1619</v>
      </c>
      <c r="C284" s="1059"/>
      <c r="D284" s="1053"/>
      <c r="E284" s="651" t="str">
        <f>IF(ISBLANK($D284),"&lt;&lt;&lt;&lt;&lt;&lt;&lt;&lt;&lt;&lt;&lt;&lt;&lt;&lt;&lt;","")</f>
        <v>&lt;&lt;&lt;&lt;&lt;&lt;&lt;&lt;&lt;&lt;&lt;&lt;&lt;&lt;&lt;</v>
      </c>
      <c r="F284" s="652" t="str">
        <f>IF(ISBLANK($D284),"Required","")</f>
        <v>Required</v>
      </c>
      <c r="G284"/>
      <c r="H284" s="17"/>
      <c r="I284" s="100"/>
      <c r="J284" s="100"/>
    </row>
    <row r="285" spans="1:16" ht="32.4" customHeight="1" thickBot="1" x14ac:dyDescent="0.35">
      <c r="A285" s="650"/>
      <c r="B285" s="1058" t="s">
        <v>1620</v>
      </c>
      <c r="C285" s="1059"/>
      <c r="D285" s="1051"/>
      <c r="E285" s="653"/>
      <c r="F285" s="652"/>
      <c r="G285"/>
      <c r="H285" s="17"/>
      <c r="I285" s="100"/>
      <c r="J285" s="100"/>
    </row>
    <row r="286" spans="1:16" ht="32.4" customHeight="1" thickBot="1" x14ac:dyDescent="0.35">
      <c r="A286" s="279">
        <v>968</v>
      </c>
      <c r="B286" s="1060" t="s">
        <v>408</v>
      </c>
      <c r="C286" s="1061"/>
      <c r="D286" s="1054"/>
      <c r="E286" s="654" t="str">
        <f>IF(ISBLANK($D286),"&lt;&lt;&lt;&lt;&lt;&lt;&lt;&lt;&lt;&lt;&lt;&lt;&lt;&lt;&lt;","")</f>
        <v>&lt;&lt;&lt;&lt;&lt;&lt;&lt;&lt;&lt;&lt;&lt;&lt;&lt;&lt;&lt;</v>
      </c>
      <c r="F286" s="652" t="str">
        <f>IF(ISBLANK($D286),"Required","")</f>
        <v>Required</v>
      </c>
      <c r="H286" s="17"/>
      <c r="I286" s="100"/>
      <c r="J286" s="100"/>
    </row>
    <row r="287" spans="1:16" ht="17.399999999999999" customHeight="1" x14ac:dyDescent="0.3">
      <c r="A287" s="100"/>
      <c r="B287" s="519"/>
      <c r="C287" s="519"/>
      <c r="D287" s="524" t="s">
        <v>45</v>
      </c>
      <c r="E287" s="520"/>
      <c r="F287" s="520"/>
      <c r="G287" s="520"/>
      <c r="H287" s="521"/>
      <c r="I287" s="100"/>
      <c r="J287" s="100"/>
    </row>
    <row r="288" spans="1:16" x14ac:dyDescent="0.3">
      <c r="A288" s="100"/>
      <c r="B288" s="375"/>
      <c r="C288" s="375"/>
      <c r="D288" s="157"/>
      <c r="E288" s="188"/>
      <c r="F288" s="447"/>
      <c r="G288" s="447"/>
      <c r="H288" s="17"/>
      <c r="I288" s="100"/>
      <c r="J288" s="100"/>
    </row>
    <row r="289" spans="1:10" x14ac:dyDescent="0.3">
      <c r="A289" s="100"/>
      <c r="B289" s="375"/>
      <c r="C289" s="375"/>
      <c r="D289" s="21"/>
      <c r="E289" s="373"/>
      <c r="F289" s="447"/>
      <c r="G289" s="447"/>
      <c r="H289" s="17"/>
      <c r="I289" s="100"/>
      <c r="J289" s="100"/>
    </row>
    <row r="290" spans="1:10" x14ac:dyDescent="0.3">
      <c r="A290" s="721">
        <f>SUBTOTAL(109,A9:A286)</f>
        <v>106600</v>
      </c>
      <c r="E290" s="550"/>
    </row>
    <row r="291" spans="1:10" x14ac:dyDescent="0.3">
      <c r="A291" s="100"/>
      <c r="B291" s="469"/>
      <c r="C291" s="469"/>
      <c r="D291" s="448"/>
      <c r="E291" s="252"/>
      <c r="F291" s="18"/>
      <c r="G291" s="449"/>
      <c r="H291" s="17"/>
      <c r="I291" s="100"/>
      <c r="J291" s="100"/>
    </row>
    <row r="292" spans="1:10" x14ac:dyDescent="0.3">
      <c r="B292" s="279"/>
      <c r="C292" s="279"/>
      <c r="D292" s="448" t="s">
        <v>1728</v>
      </c>
      <c r="E292" s="252" t="e">
        <f>SUM(E9:E267)</f>
        <v>#N/A</v>
      </c>
      <c r="F292" s="187"/>
      <c r="G292" s="449"/>
      <c r="H292" s="17"/>
      <c r="I292" s="100"/>
      <c r="J292" s="100"/>
    </row>
    <row r="293" spans="1:10" x14ac:dyDescent="0.3">
      <c r="B293" s="279"/>
      <c r="C293" s="279"/>
      <c r="D293" s="450"/>
      <c r="E293" s="252" t="e">
        <f>E191</f>
        <v>#N/A</v>
      </c>
      <c r="F293" s="187"/>
      <c r="G293" s="449"/>
      <c r="H293" s="17"/>
      <c r="I293" s="100"/>
      <c r="J293" s="100"/>
    </row>
    <row r="294" spans="1:10" x14ac:dyDescent="0.3">
      <c r="B294" s="279"/>
      <c r="C294" s="279"/>
      <c r="D294" s="450"/>
      <c r="E294" s="252" t="e">
        <f>E198</f>
        <v>#N/A</v>
      </c>
      <c r="F294" s="187"/>
      <c r="G294" s="449"/>
      <c r="H294" s="17"/>
      <c r="I294" s="100"/>
      <c r="J294" s="100"/>
    </row>
    <row r="295" spans="1:10" x14ac:dyDescent="0.3">
      <c r="B295" s="279"/>
      <c r="C295" s="279"/>
      <c r="D295" s="450"/>
      <c r="E295" s="252" t="e">
        <f>E204</f>
        <v>#N/A</v>
      </c>
      <c r="F295" s="187"/>
      <c r="G295" s="449"/>
      <c r="H295" s="17"/>
      <c r="I295" s="100"/>
      <c r="J295" s="100"/>
    </row>
    <row r="296" spans="1:10" x14ac:dyDescent="0.3">
      <c r="B296" s="279"/>
      <c r="C296" s="279"/>
      <c r="D296" s="450"/>
      <c r="E296" s="252" t="e">
        <f>E210</f>
        <v>#N/A</v>
      </c>
      <c r="F296" s="187"/>
      <c r="G296" s="449"/>
      <c r="H296" s="17"/>
      <c r="I296" s="100"/>
      <c r="J296" s="100"/>
    </row>
    <row r="297" spans="1:10" x14ac:dyDescent="0.3">
      <c r="D297" s="316"/>
      <c r="E297" s="252" t="e">
        <f>E211</f>
        <v>#N/A</v>
      </c>
      <c r="F297" s="187"/>
      <c r="H297" s="17"/>
      <c r="I297" s="100"/>
      <c r="J297" s="100"/>
    </row>
    <row r="298" spans="1:10" x14ac:dyDescent="0.3">
      <c r="D298" s="316"/>
      <c r="E298" s="253"/>
      <c r="F298" s="187"/>
      <c r="H298" s="17"/>
      <c r="I298" s="100"/>
      <c r="J298" s="100"/>
    </row>
    <row r="299" spans="1:10" x14ac:dyDescent="0.3">
      <c r="D299" s="316"/>
      <c r="E299" s="252" t="e">
        <f>E292-E293-E294-E295-E296-E297</f>
        <v>#N/A</v>
      </c>
      <c r="F299" s="187"/>
      <c r="H299" s="17"/>
      <c r="I299" s="100"/>
      <c r="J299" s="100"/>
    </row>
    <row r="300" spans="1:10" x14ac:dyDescent="0.3">
      <c r="D300" s="316"/>
      <c r="E300" s="188"/>
      <c r="F300" s="187"/>
      <c r="I300" s="100"/>
      <c r="J300" s="100"/>
    </row>
    <row r="301" spans="1:10" x14ac:dyDescent="0.3">
      <c r="E301" s="251"/>
      <c r="F301" s="187"/>
      <c r="G301" s="452"/>
      <c r="I301" s="100"/>
      <c r="J301" s="100"/>
    </row>
    <row r="302" spans="1:10" x14ac:dyDescent="0.3">
      <c r="E302" s="188"/>
      <c r="F302" s="187"/>
      <c r="I302" s="100"/>
      <c r="J302" s="100"/>
    </row>
    <row r="303" spans="1:10" x14ac:dyDescent="0.3">
      <c r="E303" s="188"/>
      <c r="F303" s="187"/>
      <c r="I303" s="100"/>
      <c r="J303" s="100"/>
    </row>
    <row r="304" spans="1:10" x14ac:dyDescent="0.3">
      <c r="E304" s="188"/>
      <c r="F304" s="187"/>
      <c r="I304" s="100"/>
      <c r="J304" s="100"/>
    </row>
    <row r="305" spans="9:12" x14ac:dyDescent="0.3">
      <c r="I305" s="100"/>
      <c r="J305" s="100"/>
    </row>
    <row r="306" spans="9:12" x14ac:dyDescent="0.3">
      <c r="I306" s="100"/>
      <c r="J306" s="100"/>
    </row>
    <row r="307" spans="9:12" x14ac:dyDescent="0.3">
      <c r="I307" s="100"/>
      <c r="J307" s="100"/>
    </row>
    <row r="308" spans="9:12" x14ac:dyDescent="0.3">
      <c r="I308" s="100"/>
      <c r="J308" s="100"/>
    </row>
    <row r="309" spans="9:12" x14ac:dyDescent="0.3">
      <c r="I309" s="100"/>
      <c r="J309" s="100"/>
    </row>
    <row r="310" spans="9:12" x14ac:dyDescent="0.3">
      <c r="I310" s="100"/>
      <c r="J310" s="100"/>
    </row>
    <row r="311" spans="9:12" x14ac:dyDescent="0.3">
      <c r="I311" s="100"/>
      <c r="J311" s="100"/>
    </row>
    <row r="312" spans="9:12" x14ac:dyDescent="0.3">
      <c r="I312" s="187"/>
      <c r="J312" s="187"/>
    </row>
    <row r="313" spans="9:12" x14ac:dyDescent="0.3">
      <c r="I313" s="187"/>
      <c r="J313" s="187"/>
      <c r="L313" s="188"/>
    </row>
    <row r="314" spans="9:12" x14ac:dyDescent="0.3">
      <c r="I314" s="187"/>
      <c r="J314" s="187"/>
      <c r="L314" s="188"/>
    </row>
    <row r="315" spans="9:12" x14ac:dyDescent="0.3">
      <c r="I315" s="187"/>
      <c r="J315" s="187"/>
      <c r="L315" s="188"/>
    </row>
    <row r="316" spans="9:12" x14ac:dyDescent="0.3">
      <c r="I316" s="187"/>
      <c r="J316" s="187"/>
      <c r="L316" s="188"/>
    </row>
    <row r="317" spans="9:12" x14ac:dyDescent="0.3">
      <c r="I317" s="187"/>
      <c r="J317" s="187"/>
      <c r="L317" s="188"/>
    </row>
    <row r="318" spans="9:12" x14ac:dyDescent="0.3">
      <c r="I318" s="187"/>
      <c r="J318" s="187"/>
      <c r="L318" s="188"/>
    </row>
    <row r="319" spans="9:12" x14ac:dyDescent="0.3">
      <c r="I319" s="100"/>
      <c r="J319" s="100"/>
      <c r="L319" s="188"/>
    </row>
    <row r="320" spans="9:12" x14ac:dyDescent="0.3">
      <c r="I320" s="100"/>
      <c r="J320" s="100"/>
      <c r="K320" s="188"/>
      <c r="L320" s="188"/>
    </row>
    <row r="321" spans="9:12" x14ac:dyDescent="0.3">
      <c r="I321" s="100"/>
      <c r="J321" s="100"/>
      <c r="K321" s="188"/>
      <c r="L321" s="188"/>
    </row>
    <row r="322" spans="9:12" x14ac:dyDescent="0.3">
      <c r="I322" s="100"/>
      <c r="J322" s="100"/>
      <c r="K322" s="188"/>
      <c r="L322" s="188"/>
    </row>
    <row r="323" spans="9:12" x14ac:dyDescent="0.3">
      <c r="I323" s="100"/>
      <c r="J323" s="100"/>
      <c r="K323" s="188"/>
      <c r="L323" s="188"/>
    </row>
    <row r="324" spans="9:12" x14ac:dyDescent="0.3">
      <c r="I324" s="100"/>
      <c r="J324" s="100"/>
      <c r="K324" s="188"/>
      <c r="L324" s="188"/>
    </row>
    <row r="325" spans="9:12" x14ac:dyDescent="0.3">
      <c r="I325" s="100"/>
      <c r="J325" s="100"/>
      <c r="K325" s="188"/>
      <c r="L325" s="188"/>
    </row>
    <row r="326" spans="9:12" x14ac:dyDescent="0.3">
      <c r="I326" s="100"/>
      <c r="J326" s="100"/>
      <c r="K326" s="188"/>
      <c r="L326" s="188"/>
    </row>
    <row r="327" spans="9:12" x14ac:dyDescent="0.3">
      <c r="I327" s="100"/>
      <c r="J327" s="100"/>
      <c r="K327" s="188"/>
      <c r="L327" s="188"/>
    </row>
    <row r="328" spans="9:12" x14ac:dyDescent="0.3">
      <c r="I328" s="187"/>
      <c r="J328" s="187"/>
      <c r="K328" s="188"/>
      <c r="L328" s="188"/>
    </row>
    <row r="329" spans="9:12" x14ac:dyDescent="0.3">
      <c r="I329" s="187"/>
      <c r="J329" s="187"/>
      <c r="K329" s="188"/>
      <c r="L329" s="188"/>
    </row>
    <row r="330" spans="9:12" x14ac:dyDescent="0.3">
      <c r="I330" s="187"/>
      <c r="J330" s="187"/>
      <c r="K330" s="188"/>
      <c r="L330" s="188"/>
    </row>
    <row r="331" spans="9:12" x14ac:dyDescent="0.3">
      <c r="I331" s="187"/>
      <c r="J331" s="187"/>
      <c r="K331" s="188"/>
      <c r="L331" s="188"/>
    </row>
    <row r="332" spans="9:12" x14ac:dyDescent="0.3">
      <c r="I332" s="187"/>
      <c r="J332" s="187"/>
      <c r="K332" s="188"/>
      <c r="L332" s="188"/>
    </row>
    <row r="333" spans="9:12" x14ac:dyDescent="0.3">
      <c r="I333" s="187"/>
      <c r="J333" s="187"/>
      <c r="K333" s="188"/>
      <c r="L333" s="188"/>
    </row>
    <row r="334" spans="9:12" x14ac:dyDescent="0.3">
      <c r="I334" s="187"/>
      <c r="J334" s="187"/>
      <c r="K334" s="188"/>
      <c r="L334" s="188"/>
    </row>
    <row r="335" spans="9:12" x14ac:dyDescent="0.3">
      <c r="I335" s="187"/>
      <c r="J335" s="187"/>
      <c r="K335" s="188"/>
      <c r="L335" s="188"/>
    </row>
    <row r="336" spans="9:12" x14ac:dyDescent="0.3">
      <c r="I336" s="187"/>
      <c r="J336" s="187"/>
      <c r="K336" s="188"/>
      <c r="L336" s="188"/>
    </row>
    <row r="337" spans="8:12" x14ac:dyDescent="0.3">
      <c r="I337" s="187"/>
      <c r="J337" s="187"/>
      <c r="K337" s="188"/>
      <c r="L337" s="188"/>
    </row>
    <row r="338" spans="8:12" x14ac:dyDescent="0.3">
      <c r="I338" s="187"/>
      <c r="J338" s="187"/>
      <c r="K338" s="188"/>
      <c r="L338" s="188"/>
    </row>
    <row r="339" spans="8:12" x14ac:dyDescent="0.3">
      <c r="I339" s="187"/>
      <c r="J339" s="187"/>
      <c r="K339" s="188"/>
      <c r="L339" s="188"/>
    </row>
    <row r="340" spans="8:12" x14ac:dyDescent="0.3">
      <c r="I340" s="187"/>
      <c r="J340" s="187"/>
      <c r="K340" s="188"/>
      <c r="L340" s="188"/>
    </row>
    <row r="341" spans="8:12" x14ac:dyDescent="0.3">
      <c r="I341" s="187"/>
      <c r="J341" s="187"/>
      <c r="K341" s="188"/>
      <c r="L341" s="188"/>
    </row>
    <row r="342" spans="8:12" x14ac:dyDescent="0.3">
      <c r="I342" s="187"/>
      <c r="J342" s="187"/>
      <c r="K342" s="188"/>
      <c r="L342" s="188"/>
    </row>
    <row r="343" spans="8:12" x14ac:dyDescent="0.3">
      <c r="I343" s="187"/>
      <c r="J343" s="187"/>
      <c r="K343" s="188"/>
      <c r="L343" s="188"/>
    </row>
    <row r="344" spans="8:12" x14ac:dyDescent="0.3">
      <c r="I344" s="187"/>
      <c r="J344" s="187"/>
      <c r="K344" s="188"/>
      <c r="L344" s="188"/>
    </row>
    <row r="345" spans="8:12" x14ac:dyDescent="0.3">
      <c r="I345" s="187"/>
      <c r="J345" s="187"/>
      <c r="K345" s="188"/>
      <c r="L345" s="188"/>
    </row>
    <row r="346" spans="8:12" x14ac:dyDescent="0.3">
      <c r="H346" s="311" t="s">
        <v>1927</v>
      </c>
      <c r="I346" s="187"/>
      <c r="J346" s="187"/>
      <c r="K346" s="188"/>
      <c r="L346" s="188"/>
    </row>
    <row r="347" spans="8:12" x14ac:dyDescent="0.3">
      <c r="I347" s="187"/>
      <c r="J347" s="187"/>
      <c r="K347" s="188"/>
      <c r="L347" s="188"/>
    </row>
    <row r="348" spans="8:12" x14ac:dyDescent="0.3">
      <c r="I348" s="187"/>
      <c r="J348" s="187"/>
      <c r="K348" s="188"/>
      <c r="L348" s="188"/>
    </row>
    <row r="349" spans="8:12" x14ac:dyDescent="0.3">
      <c r="I349" s="187"/>
      <c r="J349" s="187"/>
      <c r="K349" s="188"/>
      <c r="L349" s="188"/>
    </row>
    <row r="350" spans="8:12" x14ac:dyDescent="0.3">
      <c r="I350" s="187"/>
      <c r="J350" s="187"/>
      <c r="K350" s="188"/>
      <c r="L350" s="188"/>
    </row>
    <row r="351" spans="8:12" x14ac:dyDescent="0.3">
      <c r="I351" s="187"/>
      <c r="J351" s="187"/>
      <c r="K351" s="188"/>
      <c r="L351" s="188"/>
    </row>
    <row r="352" spans="8:12" x14ac:dyDescent="0.3">
      <c r="I352" s="187"/>
      <c r="J352" s="187"/>
      <c r="K352" s="188"/>
      <c r="L352" s="188"/>
    </row>
    <row r="353" spans="9:12" x14ac:dyDescent="0.3">
      <c r="I353" s="187"/>
      <c r="J353" s="187"/>
      <c r="K353" s="188"/>
      <c r="L353" s="188"/>
    </row>
    <row r="354" spans="9:12" x14ac:dyDescent="0.3">
      <c r="I354" s="187"/>
      <c r="J354" s="187"/>
      <c r="K354" s="188"/>
      <c r="L354" s="188"/>
    </row>
    <row r="355" spans="9:12" x14ac:dyDescent="0.3">
      <c r="I355" s="187"/>
      <c r="J355" s="187"/>
      <c r="K355" s="188"/>
      <c r="L355" s="188"/>
    </row>
    <row r="356" spans="9:12" x14ac:dyDescent="0.3">
      <c r="I356" s="187"/>
      <c r="J356" s="187"/>
      <c r="K356" s="188"/>
      <c r="L356" s="188"/>
    </row>
    <row r="357" spans="9:12" x14ac:dyDescent="0.3">
      <c r="I357" s="187"/>
      <c r="J357" s="187"/>
      <c r="K357" s="188"/>
      <c r="L357" s="188"/>
    </row>
    <row r="358" spans="9:12" x14ac:dyDescent="0.3">
      <c r="I358" s="187"/>
      <c r="J358" s="187"/>
      <c r="K358" s="188"/>
      <c r="L358" s="188"/>
    </row>
    <row r="359" spans="9:12" x14ac:dyDescent="0.3">
      <c r="I359" s="187"/>
      <c r="J359" s="187"/>
      <c r="K359" s="188"/>
      <c r="L359" s="188"/>
    </row>
    <row r="360" spans="9:12" x14ac:dyDescent="0.3">
      <c r="I360" s="187"/>
      <c r="J360" s="187"/>
      <c r="K360" s="188"/>
      <c r="L360" s="188"/>
    </row>
    <row r="361" spans="9:12" x14ac:dyDescent="0.3">
      <c r="I361" s="187"/>
      <c r="J361" s="187"/>
      <c r="K361" s="188"/>
      <c r="L361" s="188"/>
    </row>
    <row r="362" spans="9:12" x14ac:dyDescent="0.3">
      <c r="I362" s="187"/>
      <c r="J362" s="187"/>
      <c r="K362" s="188"/>
      <c r="L362" s="188"/>
    </row>
    <row r="363" spans="9:12" x14ac:dyDescent="0.3">
      <c r="I363" s="187"/>
      <c r="J363" s="187"/>
      <c r="K363" s="188"/>
      <c r="L363" s="188"/>
    </row>
    <row r="364" spans="9:12" x14ac:dyDescent="0.3">
      <c r="I364" s="187"/>
      <c r="J364" s="187"/>
      <c r="K364" s="188"/>
      <c r="L364" s="188"/>
    </row>
    <row r="365" spans="9:12" x14ac:dyDescent="0.3">
      <c r="I365" s="187"/>
      <c r="J365" s="187"/>
      <c r="K365" s="188"/>
      <c r="L365" s="188"/>
    </row>
    <row r="366" spans="9:12" x14ac:dyDescent="0.3">
      <c r="I366" s="187"/>
      <c r="J366" s="187"/>
      <c r="K366" s="188"/>
      <c r="L366" s="188"/>
    </row>
    <row r="367" spans="9:12" x14ac:dyDescent="0.3">
      <c r="I367" s="187"/>
      <c r="J367" s="187"/>
      <c r="K367" s="188"/>
      <c r="L367" s="188"/>
    </row>
    <row r="368" spans="9:12" x14ac:dyDescent="0.3">
      <c r="I368" s="187"/>
      <c r="J368" s="187"/>
      <c r="K368" s="188"/>
      <c r="L368" s="188"/>
    </row>
    <row r="369" spans="9:12" x14ac:dyDescent="0.3">
      <c r="I369" s="187"/>
      <c r="J369" s="187"/>
      <c r="K369" s="188"/>
      <c r="L369" s="188"/>
    </row>
    <row r="370" spans="9:12" x14ac:dyDescent="0.3">
      <c r="I370" s="187"/>
      <c r="J370" s="187"/>
      <c r="K370" s="188"/>
      <c r="L370" s="188"/>
    </row>
    <row r="371" spans="9:12" x14ac:dyDescent="0.3">
      <c r="I371" s="187"/>
      <c r="J371" s="187"/>
      <c r="K371" s="188"/>
      <c r="L371" s="188"/>
    </row>
    <row r="372" spans="9:12" x14ac:dyDescent="0.3">
      <c r="I372" s="187"/>
      <c r="J372" s="187"/>
      <c r="K372" s="188"/>
      <c r="L372" s="188"/>
    </row>
    <row r="373" spans="9:12" x14ac:dyDescent="0.3">
      <c r="I373" s="187"/>
      <c r="J373" s="187"/>
      <c r="K373" s="188"/>
      <c r="L373" s="188"/>
    </row>
    <row r="374" spans="9:12" x14ac:dyDescent="0.3">
      <c r="I374" s="187"/>
      <c r="J374" s="187"/>
      <c r="K374" s="188"/>
      <c r="L374" s="188"/>
    </row>
    <row r="375" spans="9:12" x14ac:dyDescent="0.3">
      <c r="I375" s="187"/>
      <c r="J375" s="187"/>
      <c r="K375" s="188"/>
      <c r="L375" s="188"/>
    </row>
    <row r="376" spans="9:12" x14ac:dyDescent="0.3">
      <c r="I376" s="187"/>
      <c r="J376" s="187"/>
      <c r="K376" s="188"/>
      <c r="L376" s="188"/>
    </row>
    <row r="377" spans="9:12" x14ac:dyDescent="0.3">
      <c r="I377" s="187"/>
      <c r="J377" s="187"/>
      <c r="K377" s="188"/>
      <c r="L377" s="188"/>
    </row>
    <row r="378" spans="9:12" x14ac:dyDescent="0.3">
      <c r="I378" s="187"/>
      <c r="J378" s="187"/>
      <c r="K378" s="188"/>
      <c r="L378" s="188"/>
    </row>
    <row r="379" spans="9:12" x14ac:dyDescent="0.3">
      <c r="I379" s="187"/>
      <c r="J379" s="187"/>
      <c r="K379" s="188"/>
      <c r="L379" s="188"/>
    </row>
    <row r="380" spans="9:12" x14ac:dyDescent="0.3">
      <c r="I380" s="187"/>
      <c r="J380" s="187"/>
      <c r="K380" s="188"/>
      <c r="L380" s="188"/>
    </row>
    <row r="381" spans="9:12" x14ac:dyDescent="0.3">
      <c r="I381" s="187"/>
      <c r="J381" s="187"/>
      <c r="K381" s="188"/>
      <c r="L381" s="188"/>
    </row>
    <row r="382" spans="9:12" x14ac:dyDescent="0.3">
      <c r="I382" s="187"/>
      <c r="J382" s="187"/>
      <c r="K382" s="188"/>
    </row>
    <row r="383" spans="9:12" x14ac:dyDescent="0.3">
      <c r="I383" s="187"/>
      <c r="J383" s="187"/>
      <c r="K383" s="188"/>
    </row>
    <row r="384" spans="9:12" x14ac:dyDescent="0.3">
      <c r="I384" s="187"/>
      <c r="J384" s="187"/>
      <c r="K384" s="188"/>
    </row>
    <row r="385" spans="9:11" x14ac:dyDescent="0.3">
      <c r="I385" s="187"/>
      <c r="J385" s="187"/>
      <c r="K385" s="188"/>
    </row>
    <row r="386" spans="9:11" x14ac:dyDescent="0.3">
      <c r="I386" s="187"/>
      <c r="J386" s="187"/>
      <c r="K386" s="188"/>
    </row>
    <row r="387" spans="9:11" x14ac:dyDescent="0.3">
      <c r="I387" s="187"/>
      <c r="J387" s="187"/>
      <c r="K387" s="188"/>
    </row>
    <row r="388" spans="9:11" x14ac:dyDescent="0.3">
      <c r="I388" s="187"/>
      <c r="J388" s="187"/>
      <c r="K388" s="188"/>
    </row>
    <row r="389" spans="9:11" x14ac:dyDescent="0.3">
      <c r="I389" s="187"/>
      <c r="J389" s="187"/>
    </row>
    <row r="390" spans="9:11" x14ac:dyDescent="0.3">
      <c r="I390" s="187"/>
      <c r="J390" s="187"/>
    </row>
    <row r="391" spans="9:11" x14ac:dyDescent="0.3">
      <c r="I391" s="187"/>
      <c r="J391" s="187"/>
    </row>
    <row r="392" spans="9:11" x14ac:dyDescent="0.3">
      <c r="I392" s="187"/>
      <c r="J392" s="187"/>
    </row>
    <row r="393" spans="9:11" x14ac:dyDescent="0.3">
      <c r="I393" s="187"/>
      <c r="J393" s="187"/>
    </row>
    <row r="394" spans="9:11" x14ac:dyDescent="0.3">
      <c r="I394" s="187"/>
      <c r="J394" s="187"/>
    </row>
    <row r="395" spans="9:11" x14ac:dyDescent="0.3">
      <c r="I395" s="187"/>
      <c r="J395" s="187"/>
    </row>
    <row r="396" spans="9:11" x14ac:dyDescent="0.3">
      <c r="I396" s="187"/>
      <c r="J396" s="187"/>
    </row>
    <row r="397" spans="9:11" x14ac:dyDescent="0.3">
      <c r="I397" s="100"/>
      <c r="J397" s="100"/>
    </row>
    <row r="398" spans="9:11" x14ac:dyDescent="0.3">
      <c r="I398" s="100"/>
      <c r="J398" s="100"/>
    </row>
    <row r="399" spans="9:11" x14ac:dyDescent="0.3">
      <c r="I399" s="100"/>
      <c r="J399" s="100"/>
    </row>
    <row r="400" spans="9:11" x14ac:dyDescent="0.3">
      <c r="I400" s="100"/>
      <c r="J400" s="100"/>
    </row>
    <row r="401" spans="9:10" x14ac:dyDescent="0.3">
      <c r="I401" s="100"/>
      <c r="J401" s="100"/>
    </row>
    <row r="402" spans="9:10" x14ac:dyDescent="0.3">
      <c r="I402" s="100"/>
      <c r="J402" s="100"/>
    </row>
    <row r="403" spans="9:10" x14ac:dyDescent="0.3">
      <c r="I403" s="100"/>
      <c r="J403" s="100"/>
    </row>
    <row r="404" spans="9:10" x14ac:dyDescent="0.3">
      <c r="I404" s="100"/>
      <c r="J404" s="100"/>
    </row>
    <row r="405" spans="9:10" x14ac:dyDescent="0.3">
      <c r="I405" s="100"/>
      <c r="J405" s="100"/>
    </row>
    <row r="406" spans="9:10" x14ac:dyDescent="0.3">
      <c r="I406" s="100"/>
      <c r="J406" s="100"/>
    </row>
  </sheetData>
  <sheetProtection algorithmName="SHA-512" hashValue="Cd896bgEmCV2vL4LShpMKfbZQv4pWWsdS1dv3NlkN/wAM/QbcpNaJEMEGnFWYUtzRwJoWoH6kAAQORyC9j4IHw==" saltValue="/bUwKsx83BatYzw14TYaoQ==" spinCount="100000" sheet="1" formatCells="0"/>
  <dataConsolidate link="1"/>
  <mergeCells count="14">
    <mergeCell ref="E2:G2"/>
    <mergeCell ref="B2:C2"/>
    <mergeCell ref="B124:D124"/>
    <mergeCell ref="B275:E275"/>
    <mergeCell ref="B268:D268"/>
    <mergeCell ref="B6:G6"/>
    <mergeCell ref="B7:G7"/>
    <mergeCell ref="B276:E276"/>
    <mergeCell ref="B284:C284"/>
    <mergeCell ref="B286:C286"/>
    <mergeCell ref="B283:C283"/>
    <mergeCell ref="B281:C281"/>
    <mergeCell ref="B282:C282"/>
    <mergeCell ref="B285:C285"/>
  </mergeCells>
  <phoneticPr fontId="54" type="noConversion"/>
  <conditionalFormatting sqref="H154 H76 H78:H79">
    <cfRule type="cellIs" dxfId="118" priority="108" stopIfTrue="1" operator="notEqual">
      <formula>0</formula>
    </cfRule>
  </conditionalFormatting>
  <conditionalFormatting sqref="H155">
    <cfRule type="cellIs" dxfId="117" priority="106" stopIfTrue="1" operator="notEqual">
      <formula>0</formula>
    </cfRule>
  </conditionalFormatting>
  <conditionalFormatting sqref="G254:G257 G261:G262">
    <cfRule type="cellIs" dxfId="116" priority="105" stopIfTrue="1" operator="notEqual">
      <formula>0</formula>
    </cfRule>
  </conditionalFormatting>
  <conditionalFormatting sqref="H25">
    <cfRule type="cellIs" dxfId="115" priority="104" stopIfTrue="1" operator="notEqual">
      <formula>0</formula>
    </cfRule>
  </conditionalFormatting>
  <conditionalFormatting sqref="H39:H40">
    <cfRule type="cellIs" dxfId="114" priority="103" stopIfTrue="1" operator="notEqual">
      <formula>0</formula>
    </cfRule>
  </conditionalFormatting>
  <conditionalFormatting sqref="H59">
    <cfRule type="cellIs" dxfId="113" priority="102" stopIfTrue="1" operator="notEqual">
      <formula>0</formula>
    </cfRule>
  </conditionalFormatting>
  <conditionalFormatting sqref="H103">
    <cfRule type="cellIs" dxfId="112" priority="100" stopIfTrue="1" operator="notEqual">
      <formula>0</formula>
    </cfRule>
  </conditionalFormatting>
  <conditionalFormatting sqref="H122">
    <cfRule type="cellIs" dxfId="111" priority="99" stopIfTrue="1" operator="notEqual">
      <formula>0</formula>
    </cfRule>
  </conditionalFormatting>
  <conditionalFormatting sqref="H137">
    <cfRule type="cellIs" dxfId="110" priority="98" stopIfTrue="1" operator="notEqual">
      <formula>0</formula>
    </cfRule>
  </conditionalFormatting>
  <conditionalFormatting sqref="H138">
    <cfRule type="cellIs" dxfId="109" priority="97" stopIfTrue="1" operator="notEqual">
      <formula>0</formula>
    </cfRule>
  </conditionalFormatting>
  <conditionalFormatting sqref="G236">
    <cfRule type="cellIs" priority="69" stopIfTrue="1" operator="equal">
      <formula>";;;"</formula>
    </cfRule>
  </conditionalFormatting>
  <conditionalFormatting sqref="G236">
    <cfRule type="cellIs" dxfId="108" priority="68" stopIfTrue="1" operator="equal">
      <formula>0</formula>
    </cfRule>
  </conditionalFormatting>
  <conditionalFormatting sqref="G235">
    <cfRule type="cellIs" priority="66" stopIfTrue="1" operator="equal">
      <formula>";;;"</formula>
    </cfRule>
  </conditionalFormatting>
  <conditionalFormatting sqref="G235">
    <cfRule type="cellIs" dxfId="107" priority="65" stopIfTrue="1" operator="equal">
      <formula>0</formula>
    </cfRule>
  </conditionalFormatting>
  <conditionalFormatting sqref="G235">
    <cfRule type="cellIs" dxfId="106" priority="64" stopIfTrue="1" operator="equal">
      <formula>0</formula>
    </cfRule>
  </conditionalFormatting>
  <conditionalFormatting sqref="G234">
    <cfRule type="cellIs" priority="54" stopIfTrue="1" operator="equal">
      <formula>";;;"</formula>
    </cfRule>
  </conditionalFormatting>
  <conditionalFormatting sqref="G234">
    <cfRule type="cellIs" dxfId="105" priority="53" stopIfTrue="1" operator="equal">
      <formula>0</formula>
    </cfRule>
  </conditionalFormatting>
  <conditionalFormatting sqref="G234">
    <cfRule type="cellIs" dxfId="104" priority="52" stopIfTrue="1" operator="equal">
      <formula>0</formula>
    </cfRule>
  </conditionalFormatting>
  <conditionalFormatting sqref="G229">
    <cfRule type="cellIs" priority="21" stopIfTrue="1" operator="equal">
      <formula>";;;"</formula>
    </cfRule>
  </conditionalFormatting>
  <conditionalFormatting sqref="G229">
    <cfRule type="cellIs" dxfId="103" priority="20" stopIfTrue="1" operator="equal">
      <formula>0</formula>
    </cfRule>
  </conditionalFormatting>
  <conditionalFormatting sqref="G229">
    <cfRule type="cellIs" dxfId="102" priority="19" stopIfTrue="1" operator="equal">
      <formula>0</formula>
    </cfRule>
  </conditionalFormatting>
  <conditionalFormatting sqref="G227">
    <cfRule type="cellIs" priority="18" stopIfTrue="1" operator="equal">
      <formula>";;;"</formula>
    </cfRule>
  </conditionalFormatting>
  <conditionalFormatting sqref="G227">
    <cfRule type="cellIs" dxfId="101" priority="17" stopIfTrue="1" operator="equal">
      <formula>0</formula>
    </cfRule>
  </conditionalFormatting>
  <conditionalFormatting sqref="G227">
    <cfRule type="cellIs" dxfId="100" priority="16" stopIfTrue="1" operator="equal">
      <formula>0</formula>
    </cfRule>
  </conditionalFormatting>
  <conditionalFormatting sqref="G228">
    <cfRule type="cellIs" priority="15" stopIfTrue="1" operator="equal">
      <formula>";;;"</formula>
    </cfRule>
  </conditionalFormatting>
  <conditionalFormatting sqref="G228">
    <cfRule type="cellIs" dxfId="99" priority="14" stopIfTrue="1" operator="equal">
      <formula>0</formula>
    </cfRule>
  </conditionalFormatting>
  <conditionalFormatting sqref="G228">
    <cfRule type="cellIs" dxfId="98" priority="13" stopIfTrue="1" operator="equal">
      <formula>0</formula>
    </cfRule>
  </conditionalFormatting>
  <conditionalFormatting sqref="G231">
    <cfRule type="cellIs" priority="12" stopIfTrue="1" operator="equal">
      <formula>";;;"</formula>
    </cfRule>
  </conditionalFormatting>
  <conditionalFormatting sqref="G231">
    <cfRule type="cellIs" dxfId="97" priority="11" stopIfTrue="1" operator="equal">
      <formula>0</formula>
    </cfRule>
  </conditionalFormatting>
  <conditionalFormatting sqref="G231">
    <cfRule type="cellIs" dxfId="96" priority="10" stopIfTrue="1" operator="equal">
      <formula>0</formula>
    </cfRule>
  </conditionalFormatting>
  <conditionalFormatting sqref="G233">
    <cfRule type="cellIs" priority="4" stopIfTrue="1" operator="equal">
      <formula>";;;"</formula>
    </cfRule>
  </conditionalFormatting>
  <conditionalFormatting sqref="G233">
    <cfRule type="cellIs" dxfId="95" priority="3" stopIfTrue="1" operator="equal">
      <formula>0</formula>
    </cfRule>
  </conditionalFormatting>
  <conditionalFormatting sqref="G233">
    <cfRule type="cellIs" dxfId="94" priority="2" stopIfTrue="1" operator="equal">
      <formula>0</formula>
    </cfRule>
  </conditionalFormatting>
  <conditionalFormatting sqref="H77">
    <cfRule type="expression" dxfId="93" priority="1">
      <formula>$F$77=""</formula>
    </cfRule>
  </conditionalFormatting>
  <dataValidations xWindow="829" yWindow="690" count="19">
    <dataValidation type="list" allowBlank="1" showInputMessage="1" showErrorMessage="1" prompt="Please select your answer from the drop-down list." sqref="F85" xr:uid="{00000000-0002-0000-0100-000005000000}">
      <formula1>$O$2:$O$4</formula1>
    </dataValidation>
    <dataValidation type="list" allowBlank="1" showInputMessage="1" showErrorMessage="1" prompt="Please select your answer from the drop down list." sqref="F267 F263 F224" xr:uid="{FCE57F22-20D9-4CFA-AFE5-1751E216D3C1}">
      <formula1>$P$1:$P$2</formula1>
    </dataValidation>
    <dataValidation type="list" allowBlank="1" showInputMessage="1" showErrorMessage="1" prompt="Please select your answer from the drop down list." sqref="F232" xr:uid="{2CD3BDAD-30EF-425F-BB01-D3FF43CDAA81}">
      <formula1>$P$1:$P$4</formula1>
    </dataValidation>
    <dataValidation type="list" allowBlank="1" showInputMessage="1" showErrorMessage="1" prompt="Please select your response from the drop-down menu." sqref="F271" xr:uid="{DB0EB8F5-2DE0-4833-AFDF-F7BB7A8D56E1}">
      <formula1>$N$8:$N$10</formula1>
    </dataValidation>
    <dataValidation type="list" allowBlank="1" showInputMessage="1" showErrorMessage="1" prompt="Please select your answer from the drop down list." sqref="F265" xr:uid="{7FCE12A8-B6A0-48F9-9BA0-C3D89D188CEE}">
      <formula1>"20,21,22,23"</formula1>
    </dataValidation>
    <dataValidation type="list" operator="greaterThan" allowBlank="1" showInputMessage="1" showErrorMessage="1" prompt="Please select appropriate answer from drop down list." sqref="F185" xr:uid="{D9A20B08-5895-4736-8659-042438D0E620}">
      <formula1>"1,2,3"</formula1>
    </dataValidation>
    <dataValidation type="custom" allowBlank="1" showInputMessage="1" showErrorMessage="1" error="Please enter a numeric value.  If this data is not applicable to your unit of government, the cell should be populated with zero." sqref="F177 F173 F157 F30:F41 F27:F28 F46:F61 F63:F76 F160:F169 F86:F103 F105:F122 F125:F138 F142:F155 F81 F181:F183 F20:F25 F78:F79 F43:F44" xr:uid="{B5815DCD-160E-4CA9-A461-76D5F396E4F1}">
      <formula1>ISNUMBER(F20)</formula1>
    </dataValidation>
    <dataValidation type="custom" allowBlank="1" showErrorMessage="1" error="Please enter a numeric value.  If this data is not applicable to your unit of government, the cell should be populated with zero." prompt="_x000a__x000a_" sqref="F221 F200:F203 F206:F209 F194:F197 F218:F219 F214:F216" xr:uid="{DA17F63A-7740-447E-B0DD-1FD94F0BE4C8}">
      <formula1>ISNUMBER(F194)</formula1>
    </dataValidation>
    <dataValidation type="custom" allowBlank="1" showErrorMessage="1" error="Please enter a numeric value.  If this data is not applicable to your unit of government, the cell should be populated with zero." sqref="F264 F254:F262 F251 F247 F226:F229 F233:F235 F249 F238:F245" xr:uid="{6656F482-2030-43E8-B669-24F0F4187CE8}">
      <formula1>ISNUMBER(F226)</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230" xr:uid="{8DAFED68-C7CC-4E4B-B0DE-1B3BA6E17585}">
      <formula1>-ISNUMBER(221)</formula1>
    </dataValidation>
    <dataValidation type="list" allowBlank="1" showInputMessage="1" showErrorMessage="1" prompt="Please select appropriate answer from drop down list." sqref="F184" xr:uid="{15C60609-2D17-4E28-A2AB-41834F9A09EE}">
      <formula1>"1,2"</formula1>
    </dataValidation>
    <dataValidation type="custom" allowBlank="1" showInputMessage="1" showErrorMessage="1" error="Please enter a numeric value. If this data is not applicable to your unit of government, the cell should be populated with zero." sqref="F9:F19" xr:uid="{2B8A4F99-9CD2-4D02-A062-E988EF3799E5}">
      <formula1>ISNUMBER(F9)</formula1>
    </dataValidation>
    <dataValidation type="list" allowBlank="1" showInputMessage="1" showErrorMessage="1" prompt="Please select your answer from drop down list." sqref="F175 F139:F140" xr:uid="{B28A4ED8-9280-4348-99A1-3B99F5248D33}">
      <formula1>$P$1:$P$2</formula1>
    </dataValidation>
    <dataValidation type="custom" allowBlank="1" showErrorMessage="1" error="Please enter a numeric value.  If this data is not applicable to your unit of government, the cell should be populated wih zero." sqref="F231" xr:uid="{EE3DADAD-5656-406D-A714-9D6C22BCD542}">
      <formula1>ISNUMBER(F231)</formula1>
    </dataValidation>
    <dataValidation type="list" allowBlank="1" showInputMessage="1" showErrorMessage="1" error="Please enter a numeric value.  If this data is not applicable to your unit of government, the cell should be populated with zero." prompt="Please select your answer from the drop down list._x000a_" sqref="F171" xr:uid="{D5C6965D-2887-4BB7-9AAD-B150E1F049E6}">
      <formula1>"1, 2,3"</formula1>
    </dataValidation>
    <dataValidation type="list" allowBlank="1" showInputMessage="1" showErrorMessage="1" error="Please enter a numeric value.  If this data is not applicable to your unit of government, the cell should be populated with zero." prompt="Please select your answer from the drop down list." sqref="F170" xr:uid="{CB2C6E7F-7BC8-4064-AC01-4376819B3BBA}">
      <formula1>"1, 2,3"</formula1>
    </dataValidation>
    <dataValidation type="list" allowBlank="1" showInputMessage="1" showErrorMessage="1" prompt="Please select your response from the drop-down menu." sqref="F272" xr:uid="{4AB0A0E0-96FC-4194-B5A7-E7BCBCE1281A}">
      <formula1>$N$1:$N$2</formula1>
    </dataValidation>
    <dataValidation type="list" allowBlank="1" showInputMessage="1" showErrorMessage="1" prompt="Please select your answer  from the drop down list." sqref="F77" xr:uid="{A85FF889-D99F-45B3-A284-6701B76512B6}">
      <formula1>$N$4:$N$6</formula1>
    </dataValidation>
    <dataValidation type="date" operator="greaterThan" allowBlank="1" showInputMessage="1" showErrorMessage="1" sqref="D283" xr:uid="{C8DA7ABB-FA9F-4CDE-A5CE-A042E506B59C}">
      <formula1>45107</formula1>
    </dataValidation>
  </dataValidations>
  <printOptions headings="1" gridLines="1"/>
  <pageMargins left="0.25" right="0.25" top="0.25" bottom="0.75" header="0.3" footer="0.3"/>
  <pageSetup scale="76" fitToHeight="0" orientation="portrait" r:id="rId1"/>
  <headerFooter>
    <oddFooter>&amp;LPage &amp;P&amp;R&amp;Z&amp;F</oddFooter>
  </headerFooter>
  <ignoredErrors>
    <ignoredError sqref="H258:H260" unlockedFormula="1"/>
  </ignoredErrors>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Names(H)'!$A$1:$A$80</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5F4B-0208-438D-B7E1-1D455154237E}">
  <sheetPr codeName="Sheet3"/>
  <dimension ref="A1:M55"/>
  <sheetViews>
    <sheetView zoomScaleNormal="100" workbookViewId="0">
      <selection activeCell="C11" sqref="C11"/>
    </sheetView>
  </sheetViews>
  <sheetFormatPr defaultRowHeight="14.4" x14ac:dyDescent="0.3"/>
  <cols>
    <col min="1" max="1" width="5.88671875" style="155" customWidth="1"/>
    <col min="2" max="2" width="86.33203125" customWidth="1"/>
    <col min="3" max="3" width="19" customWidth="1"/>
    <col min="4" max="4" width="50.33203125" style="527" customWidth="1"/>
    <col min="5" max="5" width="24.33203125" customWidth="1"/>
    <col min="6" max="6" width="48.88671875" customWidth="1"/>
    <col min="7" max="7" width="32.109375" customWidth="1"/>
    <col min="8" max="9" width="8.88671875" style="633"/>
    <col min="10" max="10" width="1.6640625" style="633" customWidth="1"/>
    <col min="11" max="12" width="8.88671875" style="633" hidden="1" customWidth="1"/>
    <col min="13" max="13" width="13" style="633" customWidth="1"/>
  </cols>
  <sheetData>
    <row r="1" spans="1:13" s="562" customFormat="1" ht="12" customHeight="1" thickBot="1" x14ac:dyDescent="0.35">
      <c r="A1" s="561"/>
      <c r="D1" s="624"/>
      <c r="E1"/>
      <c r="F1"/>
      <c r="G1"/>
      <c r="H1" s="632"/>
      <c r="I1" s="632"/>
      <c r="J1" s="632"/>
      <c r="K1" s="632"/>
      <c r="L1" s="632"/>
      <c r="M1" s="632"/>
    </row>
    <row r="2" spans="1:13" ht="34.950000000000003" customHeight="1" thickBot="1" x14ac:dyDescent="0.35">
      <c r="A2" s="1080" t="s">
        <v>1538</v>
      </c>
      <c r="B2" s="1081"/>
      <c r="C2" s="1081"/>
      <c r="D2" s="1082"/>
    </row>
    <row r="3" spans="1:13" s="562" customFormat="1" ht="8.4" customHeight="1" thickBot="1" x14ac:dyDescent="0.35">
      <c r="A3" s="623"/>
      <c r="D3" s="624"/>
      <c r="E3"/>
      <c r="F3"/>
      <c r="G3"/>
      <c r="H3" s="632"/>
      <c r="I3" s="632"/>
      <c r="J3" s="632"/>
      <c r="K3" s="632"/>
      <c r="L3" s="632"/>
      <c r="M3" s="632"/>
    </row>
    <row r="4" spans="1:13" ht="16.95" customHeight="1" thickBot="1" x14ac:dyDescent="0.35">
      <c r="A4" s="1083" t="s">
        <v>1539</v>
      </c>
      <c r="B4" s="1084"/>
      <c r="C4" s="1084"/>
      <c r="D4" s="1085"/>
    </row>
    <row r="5" spans="1:13" ht="9" customHeight="1" thickBot="1" x14ac:dyDescent="0.35">
      <c r="A5"/>
      <c r="D5"/>
      <c r="H5"/>
      <c r="I5"/>
      <c r="J5"/>
      <c r="K5"/>
      <c r="L5"/>
      <c r="M5"/>
    </row>
    <row r="6" spans="1:13" ht="18.600000000000001" customHeight="1" thickBot="1" x14ac:dyDescent="0.35">
      <c r="A6" s="1086" t="s">
        <v>877</v>
      </c>
      <c r="B6" s="1087"/>
      <c r="C6" s="1087"/>
      <c r="D6" s="1088"/>
    </row>
    <row r="7" spans="1:13" s="180" customFormat="1" ht="7.95" customHeight="1" thickBot="1" x14ac:dyDescent="0.35"/>
    <row r="8" spans="1:13" s="180" customFormat="1" ht="36.6" customHeight="1" thickBot="1" x14ac:dyDescent="0.4">
      <c r="A8" s="1089" t="s">
        <v>1947</v>
      </c>
      <c r="B8" s="1090"/>
      <c r="C8" s="1090"/>
      <c r="D8" s="1091"/>
    </row>
    <row r="9" spans="1:13" s="562" customFormat="1" ht="13.95" customHeight="1" thickBot="1" x14ac:dyDescent="0.35">
      <c r="A9" s="625"/>
      <c r="B9" s="626"/>
      <c r="C9" s="626"/>
      <c r="D9" s="631"/>
      <c r="E9" s="1078" t="s">
        <v>1958</v>
      </c>
      <c r="F9"/>
      <c r="G9"/>
      <c r="H9" s="632"/>
      <c r="I9" s="632"/>
      <c r="J9" s="632"/>
      <c r="K9" s="632"/>
      <c r="L9" s="632"/>
      <c r="M9" s="632"/>
    </row>
    <row r="10" spans="1:13" ht="47.25" customHeight="1" x14ac:dyDescent="0.3">
      <c r="A10" s="770" t="s">
        <v>815</v>
      </c>
      <c r="B10" s="771"/>
      <c r="C10" s="771"/>
      <c r="D10" s="772"/>
      <c r="E10" s="1079"/>
    </row>
    <row r="11" spans="1:13" s="538" customFormat="1" ht="40.200000000000003" customHeight="1" x14ac:dyDescent="0.3">
      <c r="A11" s="658">
        <v>906</v>
      </c>
      <c r="B11" s="659" t="s">
        <v>466</v>
      </c>
      <c r="C11" s="755"/>
      <c r="D11" s="955" t="str">
        <f t="shared" ref="D11:D32" si="0">IF(C11="","This Question must be answered before uploading, the report will not be processed if left blank","")</f>
        <v>This Question must be answered before uploading, the report will not be processed if left blank</v>
      </c>
      <c r="E11" s="1046"/>
      <c r="F11"/>
      <c r="G11"/>
      <c r="H11" s="634"/>
      <c r="I11" s="634"/>
      <c r="J11" s="634"/>
      <c r="K11" s="634"/>
      <c r="L11" s="634"/>
      <c r="M11" s="634"/>
    </row>
    <row r="12" spans="1:13" ht="40.200000000000003" customHeight="1" x14ac:dyDescent="0.3">
      <c r="A12" s="658">
        <v>907</v>
      </c>
      <c r="B12" s="659" t="s">
        <v>1521</v>
      </c>
      <c r="C12" s="755"/>
      <c r="D12" s="955" t="str">
        <f t="shared" si="0"/>
        <v>This Question must be answered before uploading, the report will not be processed if left blank</v>
      </c>
      <c r="E12" s="1047"/>
      <c r="H12" s="634"/>
      <c r="I12" s="634"/>
      <c r="J12" s="634"/>
      <c r="K12" s="634"/>
      <c r="L12" s="634"/>
    </row>
    <row r="13" spans="1:13" s="180" customFormat="1" ht="51.6" customHeight="1" x14ac:dyDescent="0.3">
      <c r="A13" s="799">
        <v>1055</v>
      </c>
      <c r="B13" s="659" t="s">
        <v>1942</v>
      </c>
      <c r="C13" s="755"/>
      <c r="D13" s="725" t="str">
        <f>IF(C13="","This question must be answered before uploading. The report will not be processed if left blank.",IF(C13="Yes","Financial Performance Indicator of Concern that requires a response.  Please provide source document and page number in cell E13.",""))</f>
        <v>This question must be answered before uploading. The report will not be processed if left blank.</v>
      </c>
      <c r="E13" s="1048"/>
      <c r="F13"/>
      <c r="G13"/>
      <c r="H13" s="634"/>
      <c r="I13" s="634"/>
      <c r="J13" s="634"/>
      <c r="K13" s="634"/>
      <c r="L13" s="634"/>
      <c r="M13" s="633"/>
    </row>
    <row r="14" spans="1:13" s="180" customFormat="1" ht="48.6" customHeight="1" x14ac:dyDescent="0.3">
      <c r="A14" s="799">
        <v>1056</v>
      </c>
      <c r="B14" s="659" t="s">
        <v>1518</v>
      </c>
      <c r="C14" s="755"/>
      <c r="D14" s="955" t="str">
        <f>IF(C14="","This question must be answered before uploading. The report will not be processed if left blank.",IF(C14="Yes"," Financial Performance Indicator of Concern that requires a response.  Please provide source document and page number in cell E14.",""))</f>
        <v>This question must be answered before uploading. The report will not be processed if left blank.</v>
      </c>
      <c r="E14" s="1048"/>
      <c r="F14"/>
      <c r="G14"/>
      <c r="H14" s="634"/>
      <c r="I14" s="634"/>
      <c r="J14" s="634"/>
      <c r="K14" s="634"/>
      <c r="L14" s="634"/>
      <c r="M14" s="633"/>
    </row>
    <row r="15" spans="1:13" s="180" customFormat="1" ht="55.2" customHeight="1" x14ac:dyDescent="0.3">
      <c r="A15" s="658">
        <v>1057</v>
      </c>
      <c r="B15" s="659" t="s">
        <v>1954</v>
      </c>
      <c r="C15" s="755"/>
      <c r="D15" s="955" t="str">
        <f>IF(C15="","This question must be answered before uploading. The report will not be processed if left blank.",IF(C15="Yes","Financial Performance Indicator of Concern that requires a response.  Please provide source document and page number in cell E15.",""))</f>
        <v>This question must be answered before uploading. The report will not be processed if left blank.</v>
      </c>
      <c r="E15" s="1047"/>
      <c r="F15"/>
      <c r="G15"/>
      <c r="H15" s="634"/>
      <c r="I15" s="634"/>
      <c r="J15" s="634"/>
      <c r="K15" s="634"/>
      <c r="L15" s="634"/>
      <c r="M15" s="633"/>
    </row>
    <row r="16" spans="1:13" ht="49.2" customHeight="1" x14ac:dyDescent="0.3">
      <c r="A16" s="799">
        <v>1058</v>
      </c>
      <c r="B16" s="659" t="s">
        <v>1955</v>
      </c>
      <c r="C16" s="755"/>
      <c r="D16" s="955" t="str">
        <f>IF(C16="","This question must be answered before uploading. The report will not be processed if left blank.",IF(C16="Yes","Financial Performance Indicator of Concern that requires a response.  Please provide source document and page number in cell E16.",""))</f>
        <v>This question must be answered before uploading. The report will not be processed if left blank.</v>
      </c>
      <c r="E16" s="1047"/>
    </row>
    <row r="17" spans="1:13" ht="113.4" customHeight="1" x14ac:dyDescent="0.3">
      <c r="A17" s="658">
        <v>1059</v>
      </c>
      <c r="B17" s="627" t="s">
        <v>1979</v>
      </c>
      <c r="C17" s="755"/>
      <c r="D17" s="955" t="str">
        <f>IF(C17="","This question must be answered before uploading. The report will not be processed if left blank.",IF(C17="No","Financial Performance Indicator of Concern that requires a response.  Please provide source document and page number in cell E17.",""))</f>
        <v>This question must be answered before uploading. The report will not be processed if left blank.</v>
      </c>
      <c r="E17" s="1047"/>
      <c r="H17" s="634"/>
      <c r="I17" s="634"/>
      <c r="J17" s="634"/>
      <c r="K17" s="634"/>
      <c r="L17" s="634"/>
    </row>
    <row r="18" spans="1:13" s="180" customFormat="1" ht="113.4" customHeight="1" x14ac:dyDescent="0.3">
      <c r="A18" s="658">
        <v>1078</v>
      </c>
      <c r="B18" s="627" t="s">
        <v>2716</v>
      </c>
      <c r="C18" s="755"/>
      <c r="D18" s="955" t="str">
        <f>IF(C18="","This question must be answered before uploading. The report will not be processed if left blank.",IF(C18="Yes","Please provide source document and page number in cell E18.",""))</f>
        <v>This question must be answered before uploading. The report will not be processed if left blank.</v>
      </c>
      <c r="E18" s="1047"/>
      <c r="F18"/>
      <c r="H18" s="634"/>
      <c r="I18" s="634"/>
      <c r="J18" s="634"/>
      <c r="K18" s="634"/>
      <c r="L18" s="634"/>
      <c r="M18" s="633"/>
    </row>
    <row r="19" spans="1:13" s="180" customFormat="1" ht="78.599999999999994" customHeight="1" x14ac:dyDescent="0.3">
      <c r="A19" s="778">
        <v>1067</v>
      </c>
      <c r="B19" s="629" t="s">
        <v>1736</v>
      </c>
      <c r="C19" s="755"/>
      <c r="D19" s="955" t="str">
        <f>IF(C19="","This question must be answered before uploading. The report will not be processed if left blank.",IF(C19="No","Financial Performance Indicator of Concern that requires a response.  Please provide source document and page number in cell E19.",""))</f>
        <v>This question must be answered before uploading. The report will not be processed if left blank.</v>
      </c>
      <c r="E19" s="1047"/>
      <c r="F19"/>
      <c r="G19"/>
      <c r="H19" s="634"/>
      <c r="I19" s="634"/>
      <c r="J19" s="634"/>
      <c r="K19" s="634"/>
      <c r="L19" s="634"/>
      <c r="M19" s="633"/>
    </row>
    <row r="20" spans="1:13" ht="40.200000000000003" customHeight="1" x14ac:dyDescent="0.3">
      <c r="A20" s="658">
        <v>951</v>
      </c>
      <c r="B20" s="659" t="s">
        <v>1522</v>
      </c>
      <c r="C20" s="755"/>
      <c r="D20" s="955" t="str">
        <f t="shared" si="0"/>
        <v>This Question must be answered before uploading, the report will not be processed if left blank</v>
      </c>
      <c r="E20" s="1047"/>
      <c r="H20" s="634"/>
      <c r="I20" s="634"/>
      <c r="J20" s="634"/>
      <c r="K20" s="634"/>
      <c r="L20" s="634"/>
    </row>
    <row r="21" spans="1:13" ht="40.200000000000003" customHeight="1" x14ac:dyDescent="0.3">
      <c r="A21" s="658">
        <v>953</v>
      </c>
      <c r="B21" s="659" t="s">
        <v>1654</v>
      </c>
      <c r="C21" s="755"/>
      <c r="D21" s="955" t="str">
        <f t="shared" si="0"/>
        <v>This Question must be answered before uploading, the report will not be processed if left blank</v>
      </c>
      <c r="E21" s="1047"/>
      <c r="H21" s="634"/>
      <c r="I21" s="634"/>
      <c r="J21" s="634"/>
      <c r="K21" s="634"/>
      <c r="L21" s="634"/>
    </row>
    <row r="22" spans="1:13" ht="52.95" customHeight="1" x14ac:dyDescent="0.3">
      <c r="A22" s="799">
        <v>955</v>
      </c>
      <c r="B22" s="627" t="s">
        <v>1655</v>
      </c>
      <c r="C22" s="755"/>
      <c r="D22" s="955" t="str">
        <f>IF(C22="","This question must be answered before uploading. The report will not be processed if left blank.",IF(C22&gt;0,"Financial Performance Indicator of Concern that requires a response.  Please provide source document and page number in E22.",""))</f>
        <v>This question must be answered before uploading. The report will not be processed if left blank.</v>
      </c>
      <c r="E22" s="1047"/>
      <c r="H22" s="634"/>
      <c r="I22" s="634"/>
      <c r="J22" s="634"/>
      <c r="K22" s="634"/>
      <c r="L22" s="634"/>
    </row>
    <row r="23" spans="1:13" ht="48" customHeight="1" x14ac:dyDescent="0.3">
      <c r="A23" s="799">
        <v>957</v>
      </c>
      <c r="B23" s="627" t="s">
        <v>1660</v>
      </c>
      <c r="C23" s="755"/>
      <c r="D23" s="955" t="str">
        <f>IF(C23="","This question must be answered before uploading. The report will not be processed if left blank.",IF(C23&gt;0,"Financial Performance Indicator of Concern that requires a response.",""))</f>
        <v>This question must be answered before uploading. The report will not be processed if left blank.</v>
      </c>
      <c r="E23" s="1047"/>
      <c r="H23" s="634"/>
      <c r="I23" s="634"/>
      <c r="J23" s="634"/>
      <c r="K23" s="634"/>
      <c r="L23" s="634"/>
    </row>
    <row r="24" spans="1:13" s="180" customFormat="1" ht="115.8" customHeight="1" x14ac:dyDescent="0.3">
      <c r="A24" s="658">
        <v>973</v>
      </c>
      <c r="B24" s="627" t="s">
        <v>1956</v>
      </c>
      <c r="C24" s="755"/>
      <c r="D24" s="955" t="str">
        <f>IF(C24="","This question must be answered before uploading. The report will not be processed if left blank.",IF(C24&gt;0,"Financial Performance Indicator of Concern that requires a response.",""))</f>
        <v>This question must be answered before uploading. The report will not be processed if left blank.</v>
      </c>
      <c r="E24" s="1047"/>
      <c r="F24"/>
      <c r="G24"/>
      <c r="H24" s="634"/>
      <c r="I24" s="634"/>
      <c r="J24" s="634"/>
      <c r="K24" s="634"/>
      <c r="L24" s="634"/>
      <c r="M24" s="633"/>
    </row>
    <row r="25" spans="1:13" s="180" customFormat="1" ht="52.8" customHeight="1" x14ac:dyDescent="0.3">
      <c r="A25" s="658">
        <v>959</v>
      </c>
      <c r="B25" s="659" t="s">
        <v>658</v>
      </c>
      <c r="C25" s="755"/>
      <c r="D25" s="955" t="str">
        <f>IF(C25="","This question must be answered before uploading. The report will not be processed if left blank.",IF(C25="Yes","Financial Performance Indicator of Concern that requires a response.  Please provide  source document and page number in cell E25.",""))</f>
        <v>This question must be answered before uploading. The report will not be processed if left blank.</v>
      </c>
      <c r="E25" s="1047"/>
      <c r="F25"/>
      <c r="G25"/>
      <c r="H25" s="634"/>
      <c r="I25" s="634"/>
      <c r="J25" s="634"/>
      <c r="K25" s="634"/>
      <c r="L25" s="634"/>
      <c r="M25" s="633"/>
    </row>
    <row r="26" spans="1:13" ht="93" customHeight="1" x14ac:dyDescent="0.3">
      <c r="A26" s="658">
        <v>974</v>
      </c>
      <c r="B26" s="659" t="s">
        <v>661</v>
      </c>
      <c r="C26" s="755"/>
      <c r="D26" s="955" t="str">
        <f>IF(C26="","This question must be answered before uploading. The report will not be processed if left blank.",IF(C26="Yes","Financial Performance Indicator of Concern that requires a response.  Please provide source document and page number in cell E26.",""))</f>
        <v>This question must be answered before uploading. The report will not be processed if left blank.</v>
      </c>
      <c r="E26" s="1047"/>
      <c r="H26" s="634"/>
      <c r="I26" s="634"/>
      <c r="J26" s="634"/>
      <c r="K26" s="634"/>
      <c r="L26" s="634"/>
    </row>
    <row r="27" spans="1:13" ht="40.200000000000003" customHeight="1" x14ac:dyDescent="0.3">
      <c r="A27" s="658" t="s">
        <v>610</v>
      </c>
      <c r="B27" s="659" t="s">
        <v>467</v>
      </c>
      <c r="C27" s="755"/>
      <c r="D27" s="955" t="str">
        <f>IF(C27="","This Question must be answered before uploading, the report will not be processed if left blank",IF(C27="Yes","Please submit copy via LGC File Portal.",""))</f>
        <v>This Question must be answered before uploading, the report will not be processed if left blank</v>
      </c>
      <c r="E27" s="1047"/>
      <c r="H27" s="634"/>
      <c r="I27" s="634"/>
      <c r="J27" s="634"/>
      <c r="K27" s="634"/>
      <c r="L27" s="634"/>
    </row>
    <row r="28" spans="1:13" ht="40.200000000000003" customHeight="1" x14ac:dyDescent="0.3">
      <c r="A28" s="658" t="s">
        <v>611</v>
      </c>
      <c r="B28" s="659" t="s">
        <v>1930</v>
      </c>
      <c r="C28" s="755"/>
      <c r="D28" s="955" t="str">
        <f t="shared" ref="D28:D29" si="1">IF(C28="","This Question must be answered before uploading, the report will not be processed if left blank",IF(C28="Yes","Please submit copy via LGC File Portal.",""))</f>
        <v>This Question must be answered before uploading, the report will not be processed if left blank</v>
      </c>
      <c r="E28" s="1047"/>
      <c r="H28" s="634"/>
      <c r="I28" s="634"/>
      <c r="J28" s="634"/>
      <c r="K28" s="634"/>
      <c r="L28" s="634"/>
    </row>
    <row r="29" spans="1:13" ht="40.200000000000003" customHeight="1" x14ac:dyDescent="0.3">
      <c r="A29" s="658" t="s">
        <v>612</v>
      </c>
      <c r="B29" s="659" t="s">
        <v>1933</v>
      </c>
      <c r="C29" s="755"/>
      <c r="D29" s="955" t="str">
        <f t="shared" si="1"/>
        <v>This Question must be answered before uploading, the report will not be processed if left blank</v>
      </c>
      <c r="E29" s="1047"/>
      <c r="H29" s="634"/>
      <c r="I29" s="634"/>
      <c r="J29" s="634"/>
      <c r="K29" s="634"/>
      <c r="L29" s="634"/>
    </row>
    <row r="30" spans="1:13" s="180" customFormat="1" ht="40.200000000000003" customHeight="1" x14ac:dyDescent="0.3">
      <c r="A30" s="1018" t="s">
        <v>2727</v>
      </c>
      <c r="B30" s="1019" t="s">
        <v>2728</v>
      </c>
      <c r="C30" s="756">
        <v>45107</v>
      </c>
      <c r="D30" s="1020"/>
      <c r="E30" s="1047"/>
      <c r="H30" s="634"/>
      <c r="I30" s="634"/>
      <c r="J30" s="634"/>
      <c r="K30" s="634"/>
      <c r="L30" s="634"/>
      <c r="M30" s="633"/>
    </row>
    <row r="31" spans="1:13" ht="40.200000000000003" customHeight="1" x14ac:dyDescent="0.3">
      <c r="A31" s="783">
        <v>1079</v>
      </c>
      <c r="B31" s="627" t="s">
        <v>2729</v>
      </c>
      <c r="C31" s="756"/>
      <c r="D31" s="1044" t="str">
        <f>IF(C31="","This question must be answered before uploading. The report will not be processed if left blank.",IF(C31&gt;'Performance  Indicators Print'!N30,"Financial Performance Indicator of Concern that requires a response.",""))</f>
        <v>This question must be answered before uploading. The report will not be processed if left blank.</v>
      </c>
      <c r="E31" s="1048"/>
      <c r="H31" s="634"/>
      <c r="I31" s="634"/>
      <c r="J31" s="634"/>
      <c r="K31" s="634"/>
      <c r="L31" s="634"/>
    </row>
    <row r="32" spans="1:13" ht="52.95" customHeight="1" x14ac:dyDescent="0.3">
      <c r="A32" s="658">
        <v>980</v>
      </c>
      <c r="B32" s="659" t="s">
        <v>1656</v>
      </c>
      <c r="C32" s="756"/>
      <c r="D32" s="955" t="str">
        <f t="shared" si="0"/>
        <v>This Question must be answered before uploading, the report will not be processed if left blank</v>
      </c>
      <c r="E32" s="1047"/>
      <c r="H32"/>
      <c r="I32"/>
      <c r="J32"/>
      <c r="K32"/>
      <c r="L32"/>
      <c r="M32"/>
    </row>
    <row r="33" spans="1:13" ht="40.200000000000003" customHeight="1" x14ac:dyDescent="0.3">
      <c r="A33" s="658">
        <v>975</v>
      </c>
      <c r="B33" s="659" t="s">
        <v>1957</v>
      </c>
      <c r="C33" s="755"/>
      <c r="D33" s="955" t="str">
        <f>IF(C33="","This question must be answered before uploading. The report will not be processed if left blank.",IF(C33="Yes","Financial Performance Indicator of Concern that requires a response.",""))</f>
        <v>This question must be answered before uploading. The report will not be processed if left blank.</v>
      </c>
      <c r="E33" s="1047"/>
      <c r="H33" s="634"/>
      <c r="I33" s="634"/>
      <c r="J33" s="634"/>
      <c r="K33" s="634"/>
      <c r="L33" s="634"/>
    </row>
    <row r="34" spans="1:13" ht="25.95" customHeight="1" x14ac:dyDescent="0.3">
      <c r="A34" s="784" t="s">
        <v>1648</v>
      </c>
      <c r="B34" s="629"/>
      <c r="C34" s="781"/>
      <c r="D34" s="782"/>
      <c r="E34" s="1049"/>
      <c r="H34"/>
      <c r="I34"/>
      <c r="J34"/>
      <c r="K34"/>
      <c r="L34"/>
      <c r="M34"/>
    </row>
    <row r="35" spans="1:13" ht="43.2" customHeight="1" x14ac:dyDescent="0.3">
      <c r="A35" s="783">
        <v>1068</v>
      </c>
      <c r="B35" s="627" t="s">
        <v>1649</v>
      </c>
      <c r="C35" s="755"/>
      <c r="D35" s="782" t="str">
        <f>IF(C35="","This Question must be answered before uploading, the report will not be processed if left blank","")</f>
        <v>This Question must be answered before uploading, the report will not be processed if left blank</v>
      </c>
      <c r="E35" s="1049"/>
      <c r="H35"/>
      <c r="I35"/>
      <c r="J35"/>
      <c r="K35"/>
      <c r="L35"/>
      <c r="M35"/>
    </row>
    <row r="36" spans="1:13" ht="43.2" customHeight="1" x14ac:dyDescent="0.3">
      <c r="A36" s="783">
        <v>1069</v>
      </c>
      <c r="B36" s="627" t="s">
        <v>1657</v>
      </c>
      <c r="C36" s="755"/>
      <c r="D36" s="782" t="str">
        <f t="shared" ref="D36:D38" si="2">IF(C36="","This Question must be answered before uploading, the report will not be processed if left blank","")</f>
        <v>This Question must be answered before uploading, the report will not be processed if left blank</v>
      </c>
      <c r="E36" s="1049"/>
      <c r="H36"/>
      <c r="I36"/>
      <c r="J36"/>
      <c r="K36"/>
      <c r="L36"/>
      <c r="M36"/>
    </row>
    <row r="37" spans="1:13" ht="43.2" customHeight="1" x14ac:dyDescent="0.3">
      <c r="A37" s="783">
        <v>1070</v>
      </c>
      <c r="B37" s="627" t="s">
        <v>1944</v>
      </c>
      <c r="C37" s="755"/>
      <c r="D37" s="782" t="str">
        <f t="shared" si="2"/>
        <v>This Question must be answered before uploading, the report will not be processed if left blank</v>
      </c>
      <c r="E37" s="1049"/>
      <c r="H37"/>
      <c r="I37"/>
      <c r="J37"/>
      <c r="K37"/>
      <c r="L37"/>
      <c r="M37"/>
    </row>
    <row r="38" spans="1:13" ht="43.2" customHeight="1" x14ac:dyDescent="0.3">
      <c r="A38" s="783">
        <v>1071</v>
      </c>
      <c r="B38" s="627" t="s">
        <v>2749</v>
      </c>
      <c r="C38" s="790"/>
      <c r="D38" s="782" t="str">
        <f t="shared" si="2"/>
        <v>This Question must be answered before uploading, the report will not be processed if left blank</v>
      </c>
      <c r="E38" s="1049"/>
      <c r="H38"/>
      <c r="I38"/>
      <c r="J38"/>
      <c r="K38"/>
      <c r="L38"/>
      <c r="M38"/>
    </row>
    <row r="39" spans="1:13" x14ac:dyDescent="0.3">
      <c r="A39"/>
      <c r="D39"/>
      <c r="H39"/>
      <c r="I39"/>
      <c r="J39"/>
      <c r="K39"/>
      <c r="L39"/>
      <c r="M39"/>
    </row>
    <row r="40" spans="1:13" s="180" customFormat="1" ht="40.200000000000003" customHeight="1" x14ac:dyDescent="0.3">
      <c r="A40" s="658" t="s">
        <v>613</v>
      </c>
      <c r="B40" s="725" t="str">
        <f>IF(D40="","This Question must be answered before uploading, the report will not be processed if left blank","")</f>
        <v>This Question must be answered before uploading, the report will not be processed if left blank</v>
      </c>
      <c r="C40" s="664" t="s">
        <v>468</v>
      </c>
      <c r="D40" s="757"/>
      <c r="E40"/>
      <c r="F40"/>
      <c r="G40"/>
      <c r="H40" s="633"/>
      <c r="I40" s="633"/>
      <c r="J40" s="633"/>
      <c r="K40" s="633"/>
      <c r="L40" s="633"/>
      <c r="M40" s="633"/>
    </row>
    <row r="41" spans="1:13" ht="14.4" customHeight="1" x14ac:dyDescent="0.3">
      <c r="A41" s="561"/>
      <c r="B41" s="624"/>
      <c r="C41" s="562"/>
      <c r="D41" s="660"/>
    </row>
    <row r="42" spans="1:13" ht="40.200000000000003" customHeight="1" x14ac:dyDescent="0.3">
      <c r="A42" s="658" t="s">
        <v>614</v>
      </c>
      <c r="B42" s="725" t="str">
        <f>IF(D42="","This Question must be answered before uploading, the report will not be processed if left blank","")</f>
        <v>This Question must be answered before uploading, the report will not be processed if left blank</v>
      </c>
      <c r="C42" s="664" t="s">
        <v>469</v>
      </c>
      <c r="D42" s="757"/>
    </row>
    <row r="43" spans="1:13" ht="14.4" customHeight="1" x14ac:dyDescent="0.3">
      <c r="A43" s="561"/>
      <c r="B43" s="624"/>
      <c r="C43" s="562"/>
      <c r="D43" s="660"/>
    </row>
    <row r="44" spans="1:13" s="180" customFormat="1" ht="40.200000000000003" customHeight="1" x14ac:dyDescent="0.3">
      <c r="A44" s="658" t="s">
        <v>875</v>
      </c>
      <c r="B44" s="725" t="str">
        <f>IF(D44="","This Question must be answered before uploading, the report will not be processed if left blank","")</f>
        <v>This Question must be answered before uploading, the report will not be processed if left blank</v>
      </c>
      <c r="C44" s="664" t="s">
        <v>1523</v>
      </c>
      <c r="D44" s="773"/>
      <c r="E44"/>
      <c r="F44"/>
      <c r="G44"/>
      <c r="H44" s="633"/>
      <c r="I44" s="633"/>
      <c r="J44" s="633"/>
      <c r="K44" s="633"/>
      <c r="L44" s="633"/>
      <c r="M44" s="633"/>
    </row>
    <row r="48" spans="1:13" x14ac:dyDescent="0.3">
      <c r="D48" s="527" t="s">
        <v>351</v>
      </c>
    </row>
    <row r="52" spans="1:4" x14ac:dyDescent="0.3">
      <c r="A52" s="758"/>
      <c r="B52" s="759" t="s">
        <v>470</v>
      </c>
      <c r="C52" s="760">
        <v>1.1000000000000001</v>
      </c>
      <c r="D52" s="761"/>
    </row>
    <row r="53" spans="1:4" x14ac:dyDescent="0.3">
      <c r="A53" s="762"/>
      <c r="B53" s="763" t="s">
        <v>471</v>
      </c>
      <c r="C53" s="764">
        <v>45181</v>
      </c>
      <c r="D53" s="765"/>
    </row>
    <row r="54" spans="1:4" x14ac:dyDescent="0.3">
      <c r="B54" s="562"/>
      <c r="C54" s="624"/>
    </row>
    <row r="55" spans="1:4" x14ac:dyDescent="0.3">
      <c r="B55" s="562"/>
      <c r="C55" s="624"/>
    </row>
  </sheetData>
  <sheetProtection algorithmName="SHA-512" hashValue="i4jK7RVslVnj7+CGsmiVGVI86AxVsSHk0unZcRH2rxUdo44ghQwyaJpNj5Y9bWUlmDkz/bvyxnT9w/aDd0BAqA==" saltValue="X/T21qM0CUn3YM2Jk+5QJA==" spinCount="100000" sheet="1" objects="1" scenarios="1"/>
  <dataConsolidate/>
  <mergeCells count="5">
    <mergeCell ref="E9:E10"/>
    <mergeCell ref="A2:D2"/>
    <mergeCell ref="A4:D4"/>
    <mergeCell ref="A6:D6"/>
    <mergeCell ref="A8:D8"/>
  </mergeCells>
  <conditionalFormatting sqref="C13">
    <cfRule type="expression" dxfId="92" priority="24">
      <formula>"IF(C13=""Yes""|"" ""| "" "")"</formula>
    </cfRule>
  </conditionalFormatting>
  <conditionalFormatting sqref="E13">
    <cfRule type="expression" dxfId="91" priority="16">
      <formula>C13="yes"</formula>
    </cfRule>
  </conditionalFormatting>
  <conditionalFormatting sqref="E14">
    <cfRule type="expression" dxfId="90" priority="15">
      <formula>C14="Yes"</formula>
    </cfRule>
  </conditionalFormatting>
  <conditionalFormatting sqref="E15">
    <cfRule type="expression" dxfId="89" priority="14">
      <formula>C15="Yes"</formula>
    </cfRule>
  </conditionalFormatting>
  <conditionalFormatting sqref="E16">
    <cfRule type="expression" dxfId="88" priority="13">
      <formula>C16="Yes"</formula>
    </cfRule>
  </conditionalFormatting>
  <conditionalFormatting sqref="E17">
    <cfRule type="expression" dxfId="87" priority="11">
      <formula>C17="No"</formula>
    </cfRule>
  </conditionalFormatting>
  <conditionalFormatting sqref="E19">
    <cfRule type="expression" dxfId="86" priority="10">
      <formula>C19="No"</formula>
    </cfRule>
  </conditionalFormatting>
  <conditionalFormatting sqref="E25">
    <cfRule type="expression" dxfId="85" priority="8">
      <formula>C25="Yes"</formula>
    </cfRule>
  </conditionalFormatting>
  <conditionalFormatting sqref="E26">
    <cfRule type="expression" dxfId="84" priority="7">
      <formula>C26="Yes"</formula>
    </cfRule>
  </conditionalFormatting>
  <conditionalFormatting sqref="E22">
    <cfRule type="expression" dxfId="83" priority="4">
      <formula>$C$22&gt;0</formula>
    </cfRule>
  </conditionalFormatting>
  <conditionalFormatting sqref="E23">
    <cfRule type="expression" dxfId="82" priority="3">
      <formula>$C$23&gt;0</formula>
    </cfRule>
  </conditionalFormatting>
  <conditionalFormatting sqref="E18">
    <cfRule type="expression" dxfId="81" priority="2">
      <formula>$C$18="Yes"</formula>
    </cfRule>
  </conditionalFormatting>
  <conditionalFormatting sqref="E31">
    <cfRule type="expression" dxfId="80" priority="1">
      <formula>$D$31="Financial Performance Indicator of Concern that requires a response."</formula>
    </cfRule>
  </conditionalFormatting>
  <dataValidations xWindow="697" yWindow="411" count="12">
    <dataValidation type="list" allowBlank="1" showInputMessage="1" showErrorMessage="1" prompt="Please select Yes or No from the drop down list" sqref="C21 C19 C37 C33:C35 C15:C17 C27:C29" xr:uid="{42DC82DB-0AE6-4795-B8A2-67794DECDEAD}">
      <formula1>"Yes, No"</formula1>
    </dataValidation>
    <dataValidation type="whole" operator="greaterThan" allowBlank="1" showInputMessage="1" showErrorMessage="1" prompt="Please enter a whole number.  If there are no findings please enter 0" sqref="C22:C24" xr:uid="{22039F36-BF2D-4D90-ACF3-F17B7FAD9827}">
      <formula1>-1</formula1>
    </dataValidation>
    <dataValidation type="list" allowBlank="1" showInputMessage="1" showErrorMessage="1" prompt="Please select Yes, No or N/A from the drop down list" sqref="C36 C26" xr:uid="{1338E819-A8A7-4AB4-965C-9AAE0E62C78A}">
      <formula1>"Yes, No, N/A"</formula1>
    </dataValidation>
    <dataValidation type="date" operator="greaterThan" showInputMessage="1" showErrorMessage="1" promptTitle="MM/DD/YYYY" prompt="This cannot be blank" sqref="C32" xr:uid="{F2F609DE-2DD8-4C56-AEA4-B39EA636E384}">
      <formula1>45107</formula1>
    </dataValidation>
    <dataValidation type="list" allowBlank="1" showInputMessage="1" showErrorMessage="1" prompt="Please select Yes or No from the drop down list" sqref="C32" xr:uid="{B4C96C02-4742-4E38-B12A-360ABBD230F0}">
      <formula1>"Yes,No"</formula1>
    </dataValidation>
    <dataValidation type="list" allowBlank="1" showInputMessage="1" showErrorMessage="1" sqref="C32" xr:uid="{C1CF9E65-608C-4B9B-B8C1-8E5A300F6B99}">
      <formula1>"Yes, No"</formula1>
    </dataValidation>
    <dataValidation type="list" allowBlank="1" showInputMessage="1" showErrorMessage="1" sqref="C32" xr:uid="{2F6B1B33-D794-41C2-9ACB-1601D80589F6}">
      <formula1>"Yes,No"</formula1>
    </dataValidation>
    <dataValidation type="date" operator="greaterThan" allowBlank="1" showInputMessage="1" showErrorMessage="1" sqref="D44" xr:uid="{C03418DF-3B42-4CD5-A316-291388505573}">
      <formula1>45107</formula1>
    </dataValidation>
    <dataValidation type="list" allowBlank="1" showInputMessage="1" showErrorMessage="1" prompt="Please select Yes or No from the drop down list." sqref="C11:C14 C20" xr:uid="{09FCC64E-5331-4E1E-8B61-60F4B5075DD5}">
      <formula1>"Yes, No"</formula1>
    </dataValidation>
    <dataValidation type="list" allowBlank="1" showInputMessage="1" showErrorMessage="1" prompt="Please select Yes, No or NA _x000a_from the drop down list" sqref="C25" xr:uid="{C0840E4D-A4F7-4799-B300-7B0B69A66EF6}">
      <formula1>"Yes, No, N/A"</formula1>
    </dataValidation>
    <dataValidation type="list" allowBlank="1" showInputMessage="1" showErrorMessage="1" prompt="Please select Yes, No, or N/A from the dropdown list." sqref="C18" xr:uid="{A8DF2CD4-3DA2-4CF2-A67B-7E8B0DE545DC}">
      <formula1>"Yes, No, N/A"</formula1>
    </dataValidation>
    <dataValidation type="custom" allowBlank="1" showInputMessage="1" showErrorMessage="1" error="Submit Date is prior to fiscal year end." sqref="C31" xr:uid="{985B6553-310F-42D7-AD86-67B970AC78EF}">
      <formula1>C30&lt;C31</formula1>
    </dataValidation>
  </dataValidations>
  <pageMargins left="0.7" right="0.7" top="0.75" bottom="0.75" header="0.3" footer="0.3"/>
  <pageSetup scale="51" orientation="portrait" r:id="rId1"/>
  <colBreaks count="1" manualBreakCount="1">
    <brk id="4"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C707-5E48-4ACE-9ED0-D0FEE0779031}">
  <sheetPr codeName="Sheet5">
    <pageSetUpPr fitToPage="1"/>
  </sheetPr>
  <dimension ref="A1:CC47"/>
  <sheetViews>
    <sheetView showGridLines="0" zoomScale="77" zoomScaleNormal="77" workbookViewId="0">
      <selection activeCell="K1" sqref="K1:Q1048576"/>
    </sheetView>
  </sheetViews>
  <sheetFormatPr defaultColWidth="9.109375" defaultRowHeight="14.4" x14ac:dyDescent="0.3"/>
  <cols>
    <col min="1" max="1" width="6.33203125" style="837" customWidth="1"/>
    <col min="2" max="2" width="57.6640625" style="837" customWidth="1"/>
    <col min="3" max="3" width="14.44140625" style="837" customWidth="1"/>
    <col min="4" max="4" width="15.88671875" style="837" customWidth="1"/>
    <col min="5" max="5" width="16.21875" style="837" customWidth="1"/>
    <col min="6" max="6" width="18.44140625" style="837" customWidth="1"/>
    <col min="7" max="7" width="16.21875" style="837" customWidth="1"/>
    <col min="8" max="8" width="71.44140625" style="837" customWidth="1"/>
    <col min="9" max="9" width="56.77734375" style="948" customWidth="1"/>
    <col min="10" max="10" width="46.109375" style="948" customWidth="1"/>
    <col min="11" max="11" width="9.109375" style="947" hidden="1" customWidth="1"/>
    <col min="12" max="12" width="23.6640625" style="834" hidden="1" customWidth="1"/>
    <col min="13" max="13" width="21.109375" style="834" hidden="1" customWidth="1"/>
    <col min="14" max="14" width="24" style="834" hidden="1" customWidth="1"/>
    <col min="15" max="15" width="21" style="834" hidden="1" customWidth="1"/>
    <col min="16" max="16" width="25" style="835" hidden="1" customWidth="1"/>
    <col min="17" max="17" width="25.6640625" style="836" hidden="1" customWidth="1"/>
    <col min="18" max="18" width="33.77734375" style="836" customWidth="1"/>
    <col min="19" max="19" width="9.109375" style="836" customWidth="1"/>
    <col min="20" max="59" width="9.109375" style="836"/>
    <col min="60" max="16384" width="9.109375" style="837"/>
  </cols>
  <sheetData>
    <row r="1" spans="1:78" ht="40.5" customHeight="1" thickBot="1" x14ac:dyDescent="0.35">
      <c r="A1" s="832"/>
      <c r="B1" s="1094" t="s">
        <v>1141</v>
      </c>
      <c r="C1" s="1094"/>
      <c r="D1" s="1094"/>
      <c r="E1" s="1094"/>
      <c r="F1" s="1094"/>
      <c r="G1" s="1094"/>
      <c r="H1" s="1095"/>
      <c r="I1" s="1092"/>
      <c r="J1" s="1093"/>
      <c r="K1" s="833"/>
    </row>
    <row r="2" spans="1:78" ht="72" customHeight="1" thickBot="1" x14ac:dyDescent="0.35">
      <c r="A2" s="838"/>
      <c r="B2" s="1096" t="s">
        <v>1142</v>
      </c>
      <c r="C2" s="1097"/>
      <c r="D2" s="1097"/>
      <c r="E2" s="1097"/>
      <c r="F2" s="1097"/>
      <c r="G2" s="1097"/>
      <c r="H2" s="1098"/>
      <c r="I2" s="1111" t="s">
        <v>1143</v>
      </c>
      <c r="J2" s="1114" t="s">
        <v>1550</v>
      </c>
      <c r="K2" s="839"/>
    </row>
    <row r="3" spans="1:78" ht="15" customHeight="1" thickBot="1" x14ac:dyDescent="0.35">
      <c r="A3" s="840"/>
      <c r="B3" s="841"/>
      <c r="C3" s="842"/>
      <c r="D3" s="842"/>
      <c r="E3" s="842"/>
      <c r="F3" s="842"/>
      <c r="G3" s="843"/>
      <c r="H3" s="844"/>
      <c r="I3" s="1112"/>
      <c r="J3" s="1115"/>
      <c r="K3" s="839"/>
    </row>
    <row r="4" spans="1:78" ht="21.75" customHeight="1" thickBot="1" x14ac:dyDescent="0.35">
      <c r="A4" s="845"/>
      <c r="B4" s="846" t="s">
        <v>609</v>
      </c>
      <c r="C4" s="1099" t="str">
        <f>'Unit Data from Audit Worksheet'!D2</f>
        <v>Select Unit Name from Drop Down List</v>
      </c>
      <c r="D4" s="1100"/>
      <c r="E4" s="1101"/>
      <c r="F4" s="1102" t="s">
        <v>1938</v>
      </c>
      <c r="G4" s="1103"/>
      <c r="H4" s="1106" t="s">
        <v>1547</v>
      </c>
      <c r="I4" s="1112"/>
      <c r="J4" s="1115"/>
      <c r="K4" s="847"/>
      <c r="L4" s="848"/>
    </row>
    <row r="5" spans="1:78" ht="21.6" thickBot="1" x14ac:dyDescent="0.35">
      <c r="A5" s="849"/>
      <c r="B5" s="850" t="s">
        <v>588</v>
      </c>
      <c r="C5" s="1108" t="e">
        <f>'Unit Data from Audit Worksheet'!D3</f>
        <v>#N/A</v>
      </c>
      <c r="D5" s="1109"/>
      <c r="E5" s="1110"/>
      <c r="F5" s="1104"/>
      <c r="G5" s="1105"/>
      <c r="H5" s="1107"/>
      <c r="I5" s="1112"/>
      <c r="J5" s="1115"/>
      <c r="K5" s="851"/>
      <c r="L5" s="852" t="s">
        <v>598</v>
      </c>
    </row>
    <row r="6" spans="1:78" ht="18.75" customHeight="1" x14ac:dyDescent="0.3">
      <c r="A6" s="840"/>
      <c r="B6" s="1121" t="s">
        <v>1500</v>
      </c>
      <c r="C6" s="1121"/>
      <c r="D6" s="1121"/>
      <c r="E6" s="1121"/>
      <c r="F6" s="1121"/>
      <c r="G6" s="1121"/>
      <c r="H6" s="1122"/>
      <c r="I6" s="1112"/>
      <c r="J6" s="1115"/>
      <c r="K6" s="851"/>
      <c r="L6" s="852"/>
    </row>
    <row r="7" spans="1:78" ht="116.25" customHeight="1" thickBot="1" x14ac:dyDescent="0.35">
      <c r="A7" s="853"/>
      <c r="B7" s="1123"/>
      <c r="C7" s="1123"/>
      <c r="D7" s="1123"/>
      <c r="E7" s="1123"/>
      <c r="F7" s="1123"/>
      <c r="G7" s="1123"/>
      <c r="H7" s="1124"/>
      <c r="I7" s="1113"/>
      <c r="J7" s="1116"/>
      <c r="K7" s="851"/>
      <c r="L7" s="852"/>
    </row>
    <row r="8" spans="1:78" ht="185.1" customHeight="1" thickBot="1" x14ac:dyDescent="0.35">
      <c r="A8" s="854"/>
      <c r="B8" s="1129"/>
      <c r="C8" s="1129"/>
      <c r="D8" s="1129"/>
      <c r="E8" s="1129"/>
      <c r="F8" s="1129"/>
      <c r="G8" s="1130"/>
      <c r="H8" s="1125" t="s">
        <v>1146</v>
      </c>
      <c r="I8" s="855"/>
      <c r="J8" s="1117"/>
      <c r="K8" s="851"/>
      <c r="L8" s="856" t="b">
        <f>IF($L$9&gt;10000000,"25%",IF($L$9&gt;999999,"34%",IF($L$9&gt;99999,"71%",IF($L$9&gt;1,"100%"))))</f>
        <v>0</v>
      </c>
      <c r="N8" s="857"/>
    </row>
    <row r="9" spans="1:78" ht="132" customHeight="1" thickBot="1" x14ac:dyDescent="0.35">
      <c r="A9" s="854"/>
      <c r="B9" s="1131"/>
      <c r="C9" s="1131"/>
      <c r="D9" s="1131"/>
      <c r="E9" s="1131"/>
      <c r="F9" s="1131"/>
      <c r="G9" s="1132"/>
      <c r="H9" s="1126"/>
      <c r="I9" s="855"/>
      <c r="J9" s="1118"/>
      <c r="K9" s="851"/>
      <c r="L9" s="856">
        <f>Import!L59+Import!L65+Import!L62-Import!L63-Import!L64-Import!L60</f>
        <v>0</v>
      </c>
      <c r="N9" s="857"/>
    </row>
    <row r="10" spans="1:78" ht="91.8" customHeight="1" thickBot="1" x14ac:dyDescent="0.35">
      <c r="A10" s="858"/>
      <c r="B10" s="1120" t="s">
        <v>1986</v>
      </c>
      <c r="C10" s="1133"/>
      <c r="D10" s="1133"/>
      <c r="E10" s="1133"/>
      <c r="F10" s="859" t="s">
        <v>664</v>
      </c>
      <c r="G10" s="859" t="s">
        <v>865</v>
      </c>
      <c r="H10" s="860"/>
      <c r="I10" s="861"/>
      <c r="J10" s="861"/>
      <c r="K10" s="862"/>
      <c r="L10" s="834">
        <v>2021</v>
      </c>
      <c r="M10" s="848">
        <v>2022</v>
      </c>
      <c r="N10" s="834">
        <v>2023</v>
      </c>
      <c r="O10" s="863"/>
      <c r="P10" s="864"/>
    </row>
    <row r="11" spans="1:78" ht="261.60000000000002" customHeight="1" thickBot="1" x14ac:dyDescent="0.35">
      <c r="A11" s="854" t="s">
        <v>1144</v>
      </c>
      <c r="B11" s="1134"/>
      <c r="C11" s="1135"/>
      <c r="D11" s="1135"/>
      <c r="E11" s="1136"/>
      <c r="F11" s="827" t="b">
        <f>IF($L$9&gt;10000000,"25% -- Average of similar units is 46%",IF($L$9&gt;999999,"34% -- Average of similar units is 63%",IF($L$9&gt;99999,"71% -- Average of similar units is 132%",IF($L$9&gt;1,"100 %-- Average of similar units is 260%"))))</f>
        <v>0</v>
      </c>
      <c r="G11" s="982" t="str">
        <f>N11</f>
        <v/>
      </c>
      <c r="H11" s="963" t="s">
        <v>1737</v>
      </c>
      <c r="I11" s="866" t="s">
        <v>1610</v>
      </c>
      <c r="J11" s="829"/>
      <c r="K11" s="851"/>
      <c r="L11" s="1055" t="e">
        <f>IFERROR(HLOOKUP(C5,'PY2 Data(H)'!$D$2:$CZ$310,308,FALSE),#N/A)</f>
        <v>#N/A</v>
      </c>
      <c r="M11" s="1056" t="e">
        <f>IFERROR(HLOOKUP(C5,'PY1 Data(H)'!$D$2:$CZ$277,275,FALSE),#N/A)</f>
        <v>#N/A</v>
      </c>
      <c r="N11" s="868" t="str">
        <f>IFERROR((Import!L38+Import!L39-Import!L43-Import!L44-Import!L196-Import!L48+Import!L69)/(Import!L59+Import!L65+Import!L62-Import!L63-Import!L64-Import!L60),"")</f>
        <v/>
      </c>
      <c r="O11" s="869" t="e">
        <f>IF(N11&lt;VALUE(L8),1,0)</f>
        <v>#VALUE!</v>
      </c>
      <c r="P11" s="864"/>
    </row>
    <row r="12" spans="1:78" ht="27.75" customHeight="1" thickBot="1" x14ac:dyDescent="0.35">
      <c r="A12" s="854"/>
      <c r="B12" s="1140" t="s">
        <v>864</v>
      </c>
      <c r="C12" s="1141"/>
      <c r="D12" s="1141"/>
      <c r="E12" s="1141"/>
      <c r="F12" s="859" t="s">
        <v>664</v>
      </c>
      <c r="G12" s="859" t="s">
        <v>865</v>
      </c>
      <c r="H12" s="870"/>
      <c r="I12" s="866"/>
      <c r="J12" s="871"/>
      <c r="K12" s="851"/>
      <c r="L12" s="867"/>
      <c r="M12" s="868"/>
      <c r="N12" s="868"/>
      <c r="P12" s="864"/>
    </row>
    <row r="13" spans="1:78" ht="95.25" customHeight="1" thickBot="1" x14ac:dyDescent="0.35">
      <c r="A13" s="854" t="s">
        <v>1145</v>
      </c>
      <c r="B13" s="1137" t="s">
        <v>1951</v>
      </c>
      <c r="C13" s="1138"/>
      <c r="D13" s="1138"/>
      <c r="E13" s="1139"/>
      <c r="F13" s="827" t="s">
        <v>1542</v>
      </c>
      <c r="G13" s="997" t="b">
        <f>IF(AND(L13="Operations",M13&lt;0),"Operations",IF(AND(L13="Capital",M13&lt;0),"Capital",IF(L13="N/A","N/A")))</f>
        <v>0</v>
      </c>
      <c r="H13" s="870" t="s">
        <v>1548</v>
      </c>
      <c r="I13" s="872" t="s">
        <v>1985</v>
      </c>
      <c r="J13" s="829"/>
      <c r="K13" s="851"/>
      <c r="L13" s="961">
        <f>'Unit Data from Audit Worksheet'!F77</f>
        <v>0</v>
      </c>
      <c r="M13" s="962">
        <f>'Unit Data from Audit Worksheet'!F76</f>
        <v>0</v>
      </c>
      <c r="N13" s="868"/>
      <c r="O13" s="863"/>
      <c r="P13" s="864"/>
    </row>
    <row r="14" spans="1:78" ht="146.69999999999999" customHeight="1" thickBot="1" x14ac:dyDescent="0.35">
      <c r="A14" s="854" t="s">
        <v>1147</v>
      </c>
      <c r="B14" s="1137" t="s">
        <v>1543</v>
      </c>
      <c r="C14" s="1138"/>
      <c r="D14" s="1138"/>
      <c r="E14" s="1139"/>
      <c r="F14" s="827" t="s">
        <v>1540</v>
      </c>
      <c r="G14" s="873">
        <f>Import!L51</f>
        <v>0</v>
      </c>
      <c r="H14" s="870" t="s">
        <v>1541</v>
      </c>
      <c r="I14" s="872" t="s">
        <v>1556</v>
      </c>
      <c r="J14" s="829"/>
      <c r="K14" s="851"/>
      <c r="L14" s="868"/>
      <c r="M14" s="868"/>
      <c r="N14" s="868"/>
      <c r="O14" s="863"/>
      <c r="P14" s="864"/>
    </row>
    <row r="15" spans="1:78" ht="81" customHeight="1" thickBot="1" x14ac:dyDescent="0.35">
      <c r="A15" s="874"/>
      <c r="B15" s="1119" t="s">
        <v>1987</v>
      </c>
      <c r="C15" s="1119"/>
      <c r="D15" s="1119"/>
      <c r="E15" s="1120"/>
      <c r="F15" s="859" t="s">
        <v>664</v>
      </c>
      <c r="G15" s="859" t="s">
        <v>865</v>
      </c>
      <c r="H15" s="875" t="s">
        <v>1149</v>
      </c>
      <c r="I15" s="876"/>
      <c r="J15" s="877"/>
      <c r="K15" s="851"/>
      <c r="L15" s="878" t="e">
        <f>HLOOKUP($C$5,'PY2 Data(H)'!$D$2:$CZ$310,286,FALSE)</f>
        <v>#N/A</v>
      </c>
      <c r="M15" s="879" t="e">
        <f>HLOOKUP($C$5,'PY1 Data(H)'!$D$2:$CZ$277,236,FALSE)</f>
        <v>#N/A</v>
      </c>
      <c r="N15" s="880" t="e">
        <f>Import!L240</f>
        <v>#N/A</v>
      </c>
      <c r="O15" s="881"/>
      <c r="P15" s="989"/>
      <c r="Q15" s="990"/>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2"/>
      <c r="AY15" s="882"/>
      <c r="AZ15" s="882"/>
      <c r="BA15" s="882"/>
      <c r="BB15" s="882"/>
      <c r="BC15" s="882"/>
      <c r="BD15" s="882"/>
      <c r="BE15" s="882"/>
      <c r="BF15" s="882"/>
      <c r="BG15" s="882"/>
      <c r="BH15" s="883"/>
      <c r="BI15" s="883"/>
      <c r="BJ15" s="883"/>
      <c r="BK15" s="883"/>
      <c r="BL15" s="883"/>
      <c r="BM15" s="883"/>
      <c r="BN15" s="883"/>
      <c r="BO15" s="883"/>
      <c r="BP15" s="883"/>
      <c r="BQ15" s="883"/>
      <c r="BR15" s="883"/>
      <c r="BS15" s="883"/>
      <c r="BT15" s="883"/>
      <c r="BU15" s="883"/>
      <c r="BV15" s="883"/>
      <c r="BW15" s="883"/>
      <c r="BX15" s="883"/>
      <c r="BY15" s="883"/>
      <c r="BZ15" s="883"/>
    </row>
    <row r="16" spans="1:78" ht="202.5" customHeight="1" thickBot="1" x14ac:dyDescent="0.35">
      <c r="A16" s="854" t="s">
        <v>1148</v>
      </c>
      <c r="B16" s="884"/>
      <c r="C16" s="885"/>
      <c r="D16" s="885"/>
      <c r="E16" s="886"/>
      <c r="F16" s="887" t="s">
        <v>589</v>
      </c>
      <c r="G16" s="983" t="e">
        <f>N16</f>
        <v>#DIV/0!</v>
      </c>
      <c r="H16" s="865" t="s">
        <v>866</v>
      </c>
      <c r="I16" s="872" t="s">
        <v>591</v>
      </c>
      <c r="J16" s="829"/>
      <c r="K16" s="851"/>
      <c r="L16" s="993" t="e">
        <f>IF(AND(HLOOKUP($C$5,'PY2 Data(H)'!$D$2:$CZ$310,286,FALSE)=0.01,(HLOOKUP($C$5,'PY2 Data(H)'!$D$2:$CZ$310,298,FALSE)&gt;0)),P16,#N/A)</f>
        <v>#N/A</v>
      </c>
      <c r="M16" s="994" t="e">
        <f>IF(AND(HLOOKUP($C$5,'PY1 Data(H)'!$D$2:$CZ$277,236,FALSE)=0.01,(HLOOKUP($C$5,'PY1 Data(H)'!$D$2:$CZ$277,265,FALSE)&gt;0)),Q16,#N/A)</f>
        <v>#N/A</v>
      </c>
      <c r="N16" s="880" t="e">
        <f>(+Import!L76-Import!L77-Import!L74-Import!L75)/(Import!L80-Import!L81-Import!L82-Import!L83-Import!L$84-Import!L85-Import!L79)</f>
        <v>#DIV/0!</v>
      </c>
      <c r="O16" s="988"/>
      <c r="P16" s="1010" t="e">
        <f>HLOOKUP($C$5,'PY2 Data(H)'!$D$2:$CZ$310,298,FALSE)</f>
        <v>#N/A</v>
      </c>
      <c r="Q16" s="1011" t="e">
        <f>HLOOKUP($C$5,'PY1 Data(H)'!$D$2:$CZ$277,265,FALSE)</f>
        <v>#N/A</v>
      </c>
      <c r="R16"/>
    </row>
    <row r="17" spans="1:81" ht="27.75" customHeight="1" thickBot="1" x14ac:dyDescent="0.35">
      <c r="A17" s="858"/>
      <c r="B17" s="888" t="s">
        <v>1151</v>
      </c>
      <c r="C17" s="889">
        <v>2021</v>
      </c>
      <c r="D17" s="889">
        <v>2022</v>
      </c>
      <c r="E17" s="889">
        <v>2023</v>
      </c>
      <c r="F17" s="859" t="s">
        <v>664</v>
      </c>
      <c r="G17" s="859" t="s">
        <v>865</v>
      </c>
      <c r="H17" s="890"/>
      <c r="I17" s="876"/>
      <c r="J17" s="877"/>
      <c r="K17" s="851"/>
      <c r="L17" s="880"/>
      <c r="M17" s="880"/>
      <c r="N17" s="880"/>
      <c r="P17" s="991"/>
      <c r="Q17" s="992"/>
    </row>
    <row r="18" spans="1:81" ht="75.599999999999994" customHeight="1" thickBot="1" x14ac:dyDescent="0.35">
      <c r="A18" s="854" t="s">
        <v>1150</v>
      </c>
      <c r="B18" s="891" t="s">
        <v>1558</v>
      </c>
      <c r="C18" s="873" t="e">
        <f>IF(L15=0,"N/A",L18)</f>
        <v>#N/A</v>
      </c>
      <c r="D18" s="873" t="e">
        <f>IF(M15=0,"N/A",M18)</f>
        <v>#N/A</v>
      </c>
      <c r="E18" s="892" t="e">
        <f>IF(N15=0,"N/A",N18)</f>
        <v>#N/A</v>
      </c>
      <c r="F18" s="827" t="s">
        <v>867</v>
      </c>
      <c r="G18" s="984" t="e">
        <f>E18</f>
        <v>#N/A</v>
      </c>
      <c r="H18" s="865" t="s">
        <v>1630</v>
      </c>
      <c r="I18" s="872" t="s">
        <v>1632</v>
      </c>
      <c r="J18" s="829"/>
      <c r="K18" s="851"/>
      <c r="L18" s="1001" t="e">
        <f>IF(HLOOKUP($C$5,'PY2 Data(H)'!$D$2:$CZ$310,299,FALSE)=0,"Prior year data not submitted as of workbook published date.",(HLOOKUP($C$5,'PY2 Data(H)'!$D$2:$CZ$310,299,FALSE)))</f>
        <v>#N/A</v>
      </c>
      <c r="M18" s="956" t="e">
        <f>IF(HLOOKUP($C$5,'PY1 Data(H)'!$D$2:$CZ$277,266,FALSE)=0,"Prior year data not submitted as of workbook published date.",(HLOOKUP($C$5,'PY1 Data(H)'!$D$2:$CZ$277,266,FALSE)))</f>
        <v>#N/A</v>
      </c>
      <c r="N18" s="893">
        <f>+Import!L109-Import!L111+Import!L110-Import!L140-Import!L112</f>
        <v>0</v>
      </c>
    </row>
    <row r="19" spans="1:81" ht="109.5" customHeight="1" thickBot="1" x14ac:dyDescent="0.35">
      <c r="A19" s="854" t="s">
        <v>1152</v>
      </c>
      <c r="B19" s="894" t="s">
        <v>1652</v>
      </c>
      <c r="C19" s="958" t="e">
        <f>IF(L15=0,"N/A",L19)</f>
        <v>#N/A</v>
      </c>
      <c r="D19" s="958" t="e">
        <f>IF(M15=0,"N/A",M19)</f>
        <v>#N/A</v>
      </c>
      <c r="E19" s="895" t="e">
        <f>IF(N15=0,"N/A",N19)</f>
        <v>#N/A</v>
      </c>
      <c r="F19" s="827" t="s">
        <v>811</v>
      </c>
      <c r="G19" s="985" t="e">
        <f>E19</f>
        <v>#N/A</v>
      </c>
      <c r="H19" s="865" t="s">
        <v>1931</v>
      </c>
      <c r="I19" s="872" t="s">
        <v>1635</v>
      </c>
      <c r="J19" s="830"/>
      <c r="K19" s="851"/>
      <c r="L19" s="1006" t="e">
        <f>IF(HLOOKUP($C$5,'PY2 Data(H)'!$D$2:$CZ$310,300,FALSE)=0,"Prior year data not submitted as of workbook published date.",(HLOOKUP($C$5,'PY2 Data(H)'!$D$2:$CZ$310,300,FALSE)))</f>
        <v>#N/A</v>
      </c>
      <c r="M19" s="957" t="e">
        <f>IF(HLOOKUP($C$5,'PY1 Data(H)'!$D$2:$CZ$277,267,FALSE)=0,"Prior year data not submitted as of workbook published date.",(HLOOKUP($C$5,'PY1 Data(H)'!$D$2:$CZ$277,267,FALSE)))</f>
        <v>#N/A</v>
      </c>
      <c r="N19" s="896" t="e">
        <f>Import!L72/(Import!L111+Import!L114-Import!L110+Import!L140)</f>
        <v>#DIV/0!</v>
      </c>
      <c r="O19" s="897"/>
    </row>
    <row r="20" spans="1:81" ht="75" customHeight="1" thickBot="1" x14ac:dyDescent="0.35">
      <c r="A20" s="854" t="s">
        <v>1153</v>
      </c>
      <c r="B20" s="1142" t="s">
        <v>1984</v>
      </c>
      <c r="C20" s="1142"/>
      <c r="D20" s="1143"/>
      <c r="E20" s="898" t="str">
        <f>IF(N20&lt;0,"Yes","No")</f>
        <v>No</v>
      </c>
      <c r="F20" s="899"/>
      <c r="G20" s="900" t="str">
        <f>E20</f>
        <v>No</v>
      </c>
      <c r="H20" s="865" t="s">
        <v>1154</v>
      </c>
      <c r="I20" s="872" t="s">
        <v>812</v>
      </c>
      <c r="J20" s="829"/>
      <c r="K20" s="851"/>
      <c r="L20" s="901"/>
      <c r="M20" s="902">
        <f>((Import!L114+Import!L111)*0.03)-Import!L118</f>
        <v>0</v>
      </c>
      <c r="N20" s="903">
        <f>M20*0.03</f>
        <v>0</v>
      </c>
    </row>
    <row r="21" spans="1:81" ht="75" customHeight="1" thickBot="1" x14ac:dyDescent="0.35">
      <c r="A21" s="938">
        <v>8</v>
      </c>
      <c r="B21" s="1016" t="s">
        <v>2724</v>
      </c>
      <c r="C21" s="970" t="e">
        <f>L21</f>
        <v>#N/A</v>
      </c>
      <c r="D21" s="970" t="e">
        <f>M21</f>
        <v>#N/A</v>
      </c>
      <c r="E21" s="971" t="e">
        <f>N21</f>
        <v>#DIV/0!</v>
      </c>
      <c r="F21" s="999" t="s">
        <v>2726</v>
      </c>
      <c r="G21" s="972" t="e">
        <f>E21</f>
        <v>#DIV/0!</v>
      </c>
      <c r="H21" s="1017" t="s">
        <v>2725</v>
      </c>
      <c r="I21" s="966" t="s">
        <v>1981</v>
      </c>
      <c r="J21" s="830"/>
      <c r="K21" s="851"/>
      <c r="L21" s="967" t="e">
        <f>IF(HLOOKUP($C$5,'PY2 Data(H)'!$D$2:$CZ$310,309,FALSE)=0,"Prior year data not submitted as of workbook published date.",(HLOOKUP($C$5,'PY2 Data(H)'!$D$2:$CZ$310,309,FALSE)))</f>
        <v>#N/A</v>
      </c>
      <c r="M21" s="968" t="e">
        <f>IF(HLOOKUP($C$5,'PY1 Data(H)'!$D$2:$CZ$277,276,FALSE)=0,"Prior year data not submitted as of workbook published date.",(HLOOKUP($C$5,'PY1 Data(H)'!$D$2:$CZ$277,276,FALSE)))</f>
        <v>#N/A</v>
      </c>
      <c r="N21" s="969" t="e">
        <f>1-(Import!L166+Import!L167+Import!L168+Import!L169)/(Import!L158+Import!L159+Import!L160+Import!L161)</f>
        <v>#DIV/0!</v>
      </c>
    </row>
    <row r="23" spans="1:81" ht="15" thickBot="1" x14ac:dyDescent="0.35"/>
    <row r="24" spans="1:81" ht="87" customHeight="1" thickBot="1" x14ac:dyDescent="0.35">
      <c r="A24" s="874"/>
      <c r="B24" s="1119" t="s">
        <v>1988</v>
      </c>
      <c r="C24" s="1119"/>
      <c r="D24" s="1119"/>
      <c r="E24" s="1119"/>
      <c r="F24" s="859" t="s">
        <v>664</v>
      </c>
      <c r="G24" s="859" t="s">
        <v>865</v>
      </c>
      <c r="H24" s="875" t="s">
        <v>1155</v>
      </c>
      <c r="I24" s="904"/>
      <c r="J24" s="905"/>
      <c r="K24" s="851"/>
      <c r="L24" s="878" t="e">
        <f>HLOOKUP($C$5,'PY2 Data(H)'!$D$2:$CZ$310,285,FALSE)</f>
        <v>#N/A</v>
      </c>
      <c r="M24" s="879" t="e">
        <f>HLOOKUP($C$5,'PY1 Data(H)'!$D$2:$CZ$277,235,FALSE)</f>
        <v>#N/A</v>
      </c>
      <c r="N24" s="906" t="e">
        <f>Import!L239</f>
        <v>#N/A</v>
      </c>
    </row>
    <row r="25" spans="1:81" ht="202.5" customHeight="1" thickBot="1" x14ac:dyDescent="0.35">
      <c r="A25" s="854">
        <v>9</v>
      </c>
      <c r="B25" s="1144"/>
      <c r="C25" s="1144"/>
      <c r="D25" s="1144"/>
      <c r="E25" s="1145"/>
      <c r="F25" s="827" t="s">
        <v>589</v>
      </c>
      <c r="G25" s="986" t="e">
        <f>N25</f>
        <v>#DIV/0!</v>
      </c>
      <c r="H25" s="865" t="s">
        <v>868</v>
      </c>
      <c r="I25" s="872" t="s">
        <v>599</v>
      </c>
      <c r="J25" s="829"/>
      <c r="K25" s="851"/>
      <c r="L25" s="993" t="e">
        <f>IF(AND(HLOOKUP($C$5,'PY2 Data(H)'!$D$2:$CZ$310,285,FALSE)&gt;0,(HLOOKUP($C$5,'PY2 Data(H)'!$D$2:$CZ$310,302,FALSE)&gt;0)),P25,#N/A)</f>
        <v>#N/A</v>
      </c>
      <c r="M25" s="994" t="e">
        <f>IF(AND(HLOOKUP($C$5,'PY1 Data(H)'!$D$2:$CZ$277,235,FALSE)&gt;0,(HLOOKUP($C$5,'PY1 Data(H)'!$D$2:$CZ$277,269,FALSE)&gt;0)),Q25,#N/A)</f>
        <v>#N/A</v>
      </c>
      <c r="N25" s="880" t="e">
        <f>+(Import!L94-Import!L95-Import!L93-Import!L92)/(Import!L99-Import!L100-Import!L101-Import!L102-Import!L103-Import!L104-Import!L98)</f>
        <v>#DIV/0!</v>
      </c>
      <c r="P25" s="993" t="e">
        <f>HLOOKUP($C$5,'PY2 Data(H)'!$D$2:$CZ$310,302,FALSE)</f>
        <v>#N/A</v>
      </c>
      <c r="Q25" s="994" t="e">
        <f>HLOOKUP($C$5,'PY1 Data(H)'!$D$2:$CZ$277,269,FALSE)</f>
        <v>#N/A</v>
      </c>
    </row>
    <row r="26" spans="1:81" ht="27.75" customHeight="1" thickBot="1" x14ac:dyDescent="0.35">
      <c r="A26" s="858"/>
      <c r="B26" s="907" t="s">
        <v>1151</v>
      </c>
      <c r="C26" s="889">
        <v>2021</v>
      </c>
      <c r="D26" s="889">
        <v>2022</v>
      </c>
      <c r="E26" s="889">
        <v>2023</v>
      </c>
      <c r="F26" s="859" t="s">
        <v>664</v>
      </c>
      <c r="G26" s="859" t="s">
        <v>865</v>
      </c>
      <c r="H26" s="908"/>
      <c r="I26" s="909"/>
      <c r="J26" s="910"/>
      <c r="K26" s="851"/>
      <c r="L26" s="911"/>
      <c r="M26" s="880"/>
      <c r="N26" s="880"/>
    </row>
    <row r="27" spans="1:81" ht="71.25" customHeight="1" thickBot="1" x14ac:dyDescent="0.35">
      <c r="A27" s="854">
        <v>10</v>
      </c>
      <c r="B27" s="891" t="s">
        <v>1558</v>
      </c>
      <c r="C27" s="960" t="e">
        <f>IF(L24=0,"N/A",L27)</f>
        <v>#N/A</v>
      </c>
      <c r="D27" s="960" t="e">
        <f>IF(M24=0,"N/A",M27)</f>
        <v>#N/A</v>
      </c>
      <c r="E27" s="912" t="e">
        <f>IF(N24=0,"N/A",N27)</f>
        <v>#N/A</v>
      </c>
      <c r="F27" s="827" t="s">
        <v>867</v>
      </c>
      <c r="G27" s="987" t="e">
        <f>E27</f>
        <v>#N/A</v>
      </c>
      <c r="H27" s="865" t="s">
        <v>1631</v>
      </c>
      <c r="I27" s="913" t="s">
        <v>1633</v>
      </c>
      <c r="J27" s="829"/>
      <c r="K27" s="851"/>
      <c r="L27" s="1002" t="e">
        <f>IF(HLOOKUP($C$5,'PY2 Data(H)'!$D$2:$CZ$310,303,FALSE)=0,"Prior year data not submitted as of workbook published date.",(HLOOKUP($C$5,'PY2 Data(H)'!$D$2:$CZ$310,303,FALSE)))</f>
        <v>#N/A</v>
      </c>
      <c r="M27" s="959" t="e">
        <f>IF(HLOOKUP($C$5,'PY1 Data(H)'!$D$2:$CZ$277,270,FALSE)=0,"Prior year data not submitted as of workbook published date.",(HLOOKUP($C$5,'PY1 Data(H)'!$D$2:$CZ$277,270,FALSE)))</f>
        <v>#N/A</v>
      </c>
      <c r="N27" s="914">
        <f>+Import!L125-Import!L128+Import!L127-Import!L143-Import!L129</f>
        <v>0</v>
      </c>
    </row>
    <row r="28" spans="1:81" s="878" customFormat="1" ht="102.75" customHeight="1" thickBot="1" x14ac:dyDescent="0.35">
      <c r="A28" s="854">
        <v>11</v>
      </c>
      <c r="B28" s="894" t="s">
        <v>1652</v>
      </c>
      <c r="C28" s="958" t="e">
        <f>IF(L24=0,"N/A",L28)</f>
        <v>#N/A</v>
      </c>
      <c r="D28" s="958" t="e">
        <f>IF(M24=0,"N/A",M28)</f>
        <v>#N/A</v>
      </c>
      <c r="E28" s="895" t="e">
        <f>IF(N24=0,"N/A",N28)</f>
        <v>#N/A</v>
      </c>
      <c r="F28" s="827" t="s">
        <v>811</v>
      </c>
      <c r="G28" s="985" t="e">
        <f>E28</f>
        <v>#N/A</v>
      </c>
      <c r="H28" s="865" t="s">
        <v>1931</v>
      </c>
      <c r="I28" s="913" t="s">
        <v>1634</v>
      </c>
      <c r="J28" s="830"/>
      <c r="K28" s="851"/>
      <c r="L28" s="1003" t="e">
        <f>IF(HLOOKUP($C$5,'PY2 Data(H)'!$D$2:$CZ$310,304,FALSE)=0,"Prior year data not submitted as of workbook published date.",(HLOOKUP($C$5,'PY2 Data(H)'!$D$2:$CZ$310,304,FALSE)))</f>
        <v>#N/A</v>
      </c>
      <c r="M28" s="957" t="e">
        <f>IF(HLOOKUP($C$5,'PY1 Data(H)'!$D$2:$CZ$277,271,FALSE)=0,"Prior year data not submitted as of  workbook published date.",(HLOOKUP($C$5,'PY1 Data(H)'!$D$2:$CZ$277,271,FALSE)))</f>
        <v>#N/A</v>
      </c>
      <c r="N28" s="896" t="e">
        <f>+Import!L90/(Import!L131+Import!L128-Import!L127+Import!L143)</f>
        <v>#DIV/0!</v>
      </c>
      <c r="O28" s="834"/>
      <c r="P28" s="835"/>
      <c r="Q28" s="836"/>
      <c r="R28" s="836"/>
      <c r="S28" s="836"/>
      <c r="T28" s="836"/>
      <c r="U28" s="836"/>
      <c r="V28" s="836"/>
      <c r="W28" s="836"/>
      <c r="X28" s="836"/>
      <c r="Y28" s="836"/>
      <c r="Z28" s="836"/>
      <c r="AA28" s="836"/>
      <c r="AB28" s="836"/>
      <c r="AC28" s="836"/>
      <c r="AD28" s="836"/>
      <c r="AE28" s="836"/>
      <c r="AF28" s="836"/>
      <c r="AG28" s="836"/>
      <c r="AH28" s="836"/>
      <c r="AI28" s="836"/>
      <c r="AJ28" s="836"/>
      <c r="AK28" s="836"/>
      <c r="AL28" s="836"/>
      <c r="AM28" s="836"/>
      <c r="AN28" s="836"/>
      <c r="AO28" s="836"/>
      <c r="AP28" s="836"/>
      <c r="AQ28" s="836"/>
      <c r="AR28" s="836"/>
      <c r="AS28" s="836"/>
      <c r="AT28" s="836"/>
      <c r="AU28" s="836"/>
      <c r="AV28" s="836"/>
      <c r="AW28" s="836"/>
      <c r="AX28" s="836"/>
      <c r="AY28" s="836"/>
      <c r="AZ28" s="836"/>
      <c r="BA28" s="836"/>
      <c r="BB28" s="836"/>
      <c r="BC28" s="836"/>
      <c r="BD28" s="836"/>
      <c r="BE28" s="836"/>
      <c r="BF28" s="836"/>
      <c r="BG28" s="836"/>
      <c r="BH28" s="837"/>
      <c r="BI28" s="837"/>
      <c r="BJ28" s="837"/>
      <c r="BK28" s="837"/>
      <c r="BL28" s="837"/>
      <c r="BM28" s="837"/>
      <c r="BN28" s="837"/>
      <c r="BO28" s="837"/>
      <c r="BP28" s="837"/>
      <c r="BQ28" s="837"/>
      <c r="BR28" s="837"/>
      <c r="BS28" s="837"/>
      <c r="BT28" s="837"/>
      <c r="BU28" s="837"/>
      <c r="BV28" s="837"/>
      <c r="BW28" s="837"/>
      <c r="BX28" s="837"/>
      <c r="BY28" s="837"/>
      <c r="BZ28" s="837"/>
      <c r="CA28" s="837"/>
      <c r="CB28" s="837"/>
      <c r="CC28" s="837"/>
    </row>
    <row r="29" spans="1:81" s="878" customFormat="1" ht="18.600000000000001" thickBot="1" x14ac:dyDescent="0.35">
      <c r="A29" s="915"/>
      <c r="B29" s="1146" t="s">
        <v>869</v>
      </c>
      <c r="C29" s="1146"/>
      <c r="D29" s="1146"/>
      <c r="E29" s="889">
        <v>2023</v>
      </c>
      <c r="F29" s="917" t="s">
        <v>870</v>
      </c>
      <c r="G29" s="918"/>
      <c r="H29" s="919"/>
      <c r="I29" s="920"/>
      <c r="J29" s="921"/>
      <c r="K29" s="851"/>
      <c r="L29" s="834"/>
      <c r="M29" s="834"/>
      <c r="N29" s="834"/>
      <c r="O29" s="834"/>
      <c r="P29" s="835"/>
      <c r="Q29" s="836"/>
      <c r="R29" s="836"/>
      <c r="S29" s="836"/>
      <c r="T29" s="836"/>
      <c r="U29" s="836"/>
      <c r="V29" s="836"/>
      <c r="W29" s="836"/>
      <c r="X29" s="836"/>
      <c r="Y29" s="836"/>
      <c r="Z29" s="836"/>
      <c r="AA29" s="836"/>
      <c r="AB29" s="836"/>
      <c r="AC29" s="836"/>
      <c r="AD29" s="836"/>
      <c r="AE29" s="836"/>
      <c r="AF29" s="836"/>
      <c r="AG29" s="836"/>
      <c r="AH29" s="836"/>
      <c r="AI29" s="836"/>
      <c r="AJ29" s="836"/>
      <c r="AK29" s="836"/>
      <c r="AL29" s="836"/>
      <c r="AM29" s="836"/>
      <c r="AN29" s="836"/>
      <c r="AO29" s="836"/>
      <c r="AP29" s="836"/>
      <c r="AQ29" s="836"/>
      <c r="AR29" s="836"/>
      <c r="AS29" s="836"/>
      <c r="AT29" s="836"/>
      <c r="AU29" s="836"/>
      <c r="AV29" s="836"/>
      <c r="AW29" s="836"/>
      <c r="AX29" s="836"/>
      <c r="AY29" s="836"/>
      <c r="AZ29" s="836"/>
      <c r="BA29" s="836"/>
      <c r="BB29" s="836"/>
      <c r="BC29" s="836"/>
      <c r="BD29" s="836"/>
      <c r="BE29" s="836"/>
      <c r="BF29" s="836"/>
      <c r="BG29" s="836"/>
      <c r="BH29" s="837"/>
      <c r="BI29" s="837"/>
      <c r="BJ29" s="837"/>
      <c r="BK29" s="837"/>
      <c r="BL29" s="837"/>
      <c r="BM29" s="837"/>
      <c r="BN29" s="837"/>
      <c r="BO29" s="837"/>
      <c r="BP29" s="837"/>
      <c r="BQ29" s="837"/>
      <c r="BR29" s="837"/>
      <c r="BS29" s="837"/>
      <c r="BT29" s="837"/>
      <c r="BU29" s="837"/>
      <c r="BV29" s="837"/>
      <c r="BW29" s="837"/>
      <c r="BX29" s="837"/>
      <c r="BY29" s="837"/>
      <c r="BZ29" s="837"/>
      <c r="CA29" s="837"/>
      <c r="CB29" s="837"/>
      <c r="CC29" s="837"/>
    </row>
    <row r="30" spans="1:81" s="878" customFormat="1" ht="119.4" customHeight="1" thickBot="1" x14ac:dyDescent="0.35">
      <c r="A30" s="922" t="s">
        <v>1989</v>
      </c>
      <c r="B30" s="1127" t="s">
        <v>2729</v>
      </c>
      <c r="C30" s="1128"/>
      <c r="D30" s="1128"/>
      <c r="E30" s="1034">
        <f>Import!L259</f>
        <v>0</v>
      </c>
      <c r="F30" s="1035"/>
      <c r="G30" s="1034" t="str">
        <f>IF('TD Info Completed by Auditor'!C31&gt;N30,"Late","Response Not Required")</f>
        <v>Response Not Required</v>
      </c>
      <c r="H30" s="923" t="s">
        <v>871</v>
      </c>
      <c r="I30" s="1012" t="s">
        <v>2717</v>
      </c>
      <c r="J30" s="831"/>
      <c r="K30" s="851"/>
      <c r="L30" s="1024">
        <f>'TD Info Completed by Auditor'!C31</f>
        <v>0</v>
      </c>
      <c r="M30" s="1025">
        <f>'TD Info Completed by Auditor'!C30</f>
        <v>45107</v>
      </c>
      <c r="N30" s="1026">
        <f>IF(M30=DATEVALUE("6/30/2023"),N32,IF(M30=DATEVALUE("9/30/2023"),N33,IF(M30=DATEVALUE("12/31/2023"),N34,IF(M30=DATEVALUE("3/31/2024"),N35))))</f>
        <v>45291</v>
      </c>
      <c r="O30" s="834"/>
      <c r="P30" s="835"/>
      <c r="Q30" s="836"/>
      <c r="R30" s="836"/>
      <c r="S30" s="836"/>
      <c r="T30" s="836"/>
      <c r="U30" s="836"/>
      <c r="V30" s="836"/>
      <c r="W30" s="836"/>
      <c r="X30" s="836"/>
      <c r="Y30" s="836"/>
      <c r="Z30" s="836"/>
      <c r="AA30" s="836"/>
      <c r="AB30" s="836"/>
      <c r="AC30" s="836"/>
      <c r="AD30" s="836"/>
      <c r="AE30" s="836"/>
      <c r="AF30" s="836"/>
      <c r="AG30" s="836"/>
      <c r="AH30" s="836"/>
      <c r="AI30" s="836"/>
      <c r="AJ30" s="836"/>
      <c r="AK30" s="836"/>
      <c r="AL30" s="836"/>
      <c r="AM30" s="836"/>
      <c r="AN30" s="836"/>
      <c r="AO30" s="836"/>
      <c r="AP30" s="836"/>
      <c r="AQ30" s="836"/>
      <c r="AR30" s="836"/>
      <c r="AS30" s="836"/>
      <c r="AT30" s="836"/>
      <c r="AU30" s="836"/>
      <c r="AV30" s="836"/>
      <c r="AW30" s="836"/>
      <c r="AX30" s="836"/>
      <c r="AY30" s="836"/>
      <c r="AZ30" s="836"/>
      <c r="BA30" s="836"/>
      <c r="BB30" s="836"/>
      <c r="BC30" s="836"/>
      <c r="BD30" s="836"/>
      <c r="BE30" s="836"/>
      <c r="BF30" s="836"/>
      <c r="BG30" s="836"/>
      <c r="BH30" s="837"/>
      <c r="BI30" s="837"/>
      <c r="BJ30" s="837"/>
      <c r="BK30" s="837"/>
      <c r="BL30" s="837"/>
      <c r="BM30" s="837"/>
      <c r="BN30" s="837"/>
      <c r="BO30" s="837"/>
      <c r="BP30" s="837"/>
      <c r="BQ30" s="837"/>
      <c r="BR30" s="837"/>
      <c r="BS30" s="837"/>
      <c r="BT30" s="837"/>
      <c r="BU30" s="837"/>
      <c r="BV30" s="837"/>
      <c r="BW30" s="837"/>
      <c r="BX30" s="837"/>
      <c r="BY30" s="837"/>
      <c r="BZ30" s="837"/>
      <c r="CA30" s="837"/>
      <c r="CB30" s="837"/>
      <c r="CC30" s="837"/>
    </row>
    <row r="31" spans="1:81" s="878" customFormat="1" ht="18" customHeight="1" thickBot="1" x14ac:dyDescent="0.35">
      <c r="A31" s="924"/>
      <c r="B31" s="1149"/>
      <c r="C31" s="1149"/>
      <c r="D31" s="1150"/>
      <c r="E31" s="889">
        <v>2023</v>
      </c>
      <c r="F31" s="925" t="s">
        <v>870</v>
      </c>
      <c r="G31" s="926"/>
      <c r="H31" s="926"/>
      <c r="I31" s="927"/>
      <c r="J31" s="928"/>
      <c r="K31" s="851"/>
      <c r="L31" s="1027" t="s">
        <v>2730</v>
      </c>
      <c r="M31" s="613" t="s">
        <v>2731</v>
      </c>
      <c r="N31" s="1028"/>
      <c r="O31" s="834"/>
      <c r="P31" s="835"/>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6"/>
      <c r="AY31" s="836"/>
      <c r="AZ31" s="836"/>
      <c r="BA31" s="836"/>
      <c r="BB31" s="836"/>
      <c r="BC31" s="836"/>
      <c r="BD31" s="836"/>
      <c r="BE31" s="836"/>
      <c r="BF31" s="836"/>
      <c r="BG31" s="836"/>
      <c r="BH31" s="837"/>
      <c r="BI31" s="837"/>
      <c r="BJ31" s="837"/>
      <c r="BK31" s="837"/>
      <c r="BL31" s="837"/>
      <c r="BM31" s="837"/>
      <c r="BN31" s="837"/>
      <c r="BO31" s="837"/>
      <c r="BP31" s="837"/>
      <c r="BQ31" s="837"/>
      <c r="BR31" s="837"/>
      <c r="BS31" s="837"/>
      <c r="BT31" s="837"/>
      <c r="BU31" s="837"/>
      <c r="BV31" s="837"/>
      <c r="BW31" s="837"/>
      <c r="BX31" s="837"/>
      <c r="BY31" s="837"/>
      <c r="BZ31" s="837"/>
      <c r="CA31" s="837"/>
      <c r="CB31" s="837"/>
      <c r="CC31" s="837"/>
    </row>
    <row r="32" spans="1:81" s="878" customFormat="1" ht="99" customHeight="1" thickBot="1" x14ac:dyDescent="0.35">
      <c r="A32" s="854">
        <v>13</v>
      </c>
      <c r="B32" s="1151" t="s">
        <v>1557</v>
      </c>
      <c r="C32" s="1152"/>
      <c r="D32" s="1152"/>
      <c r="E32" s="929" t="str">
        <f>IFERROR((Import!L54-Import!L55)/Import!L55,"This question must be answered unless the unit does not levy ad valorem taxes. See cells F63 &amp; F64 on Unit Data from Audit")</f>
        <v>This question must be answered unless the unit does not levy ad valorem taxes. See cells F63 &amp; F64 on Unit Data from Audit</v>
      </c>
      <c r="F32" s="827" t="s">
        <v>590</v>
      </c>
      <c r="G32" s="930" t="str">
        <f>+E32</f>
        <v>This question must be answered unless the unit does not levy ad valorem taxes. See cells F63 &amp; F64 on Unit Data from Audit</v>
      </c>
      <c r="H32" s="865" t="s">
        <v>1501</v>
      </c>
      <c r="I32" s="913" t="s">
        <v>595</v>
      </c>
      <c r="J32" s="831"/>
      <c r="K32" s="851"/>
      <c r="L32" s="1027"/>
      <c r="M32" s="1029">
        <v>45107</v>
      </c>
      <c r="N32" s="1030">
        <v>45291</v>
      </c>
      <c r="O32" s="834"/>
      <c r="P32" s="835"/>
      <c r="Q32" s="836"/>
      <c r="R32" s="836"/>
      <c r="S32" s="836"/>
      <c r="T32" s="836"/>
      <c r="U32" s="836"/>
      <c r="V32" s="836"/>
      <c r="W32" s="836"/>
      <c r="X32" s="836"/>
      <c r="Y32" s="836"/>
      <c r="Z32" s="836"/>
      <c r="AA32" s="836"/>
      <c r="AB32" s="836"/>
      <c r="AC32" s="836"/>
      <c r="AD32" s="836"/>
      <c r="AE32" s="836"/>
      <c r="AF32" s="836"/>
      <c r="AG32" s="836"/>
      <c r="AH32" s="836"/>
      <c r="AI32" s="836"/>
      <c r="AJ32" s="836"/>
      <c r="AK32" s="836"/>
      <c r="AL32" s="836"/>
      <c r="AM32" s="836"/>
      <c r="AN32" s="836"/>
      <c r="AO32" s="836"/>
      <c r="AP32" s="836"/>
      <c r="AQ32" s="836"/>
      <c r="AR32" s="836"/>
      <c r="AS32" s="836"/>
      <c r="AT32" s="836"/>
      <c r="AU32" s="836"/>
      <c r="AV32" s="836"/>
      <c r="AW32" s="836"/>
      <c r="AX32" s="836"/>
      <c r="AY32" s="836"/>
      <c r="AZ32" s="836"/>
      <c r="BA32" s="836"/>
      <c r="BB32" s="836"/>
      <c r="BC32" s="836"/>
      <c r="BD32" s="836"/>
      <c r="BE32" s="836"/>
      <c r="BF32" s="836"/>
      <c r="BG32" s="836"/>
      <c r="BH32" s="837"/>
      <c r="BI32" s="837"/>
      <c r="BJ32" s="837"/>
      <c r="BK32" s="837"/>
      <c r="BL32" s="837"/>
      <c r="BM32" s="837"/>
      <c r="BN32" s="837"/>
      <c r="BO32" s="837"/>
      <c r="BP32" s="837"/>
      <c r="BQ32" s="837"/>
      <c r="BR32" s="837"/>
      <c r="BS32" s="837"/>
      <c r="BT32" s="837"/>
      <c r="BU32" s="837"/>
      <c r="BV32" s="837"/>
      <c r="BW32" s="837"/>
      <c r="BX32" s="837"/>
      <c r="BY32" s="837"/>
      <c r="BZ32" s="837"/>
      <c r="CA32" s="837"/>
      <c r="CB32" s="837"/>
      <c r="CC32" s="837"/>
    </row>
    <row r="33" spans="1:81" s="878" customFormat="1" ht="18" customHeight="1" thickBot="1" x14ac:dyDescent="0.35">
      <c r="A33" s="931"/>
      <c r="B33" s="1149"/>
      <c r="C33" s="1149"/>
      <c r="D33" s="1150"/>
      <c r="E33" s="889">
        <v>2023</v>
      </c>
      <c r="F33" s="925" t="s">
        <v>870</v>
      </c>
      <c r="G33" s="926"/>
      <c r="H33" s="926"/>
      <c r="I33" s="927"/>
      <c r="J33" s="928"/>
      <c r="K33" s="833"/>
      <c r="L33" s="1027"/>
      <c r="M33" s="1029">
        <v>45199</v>
      </c>
      <c r="N33" s="1030">
        <v>45382</v>
      </c>
      <c r="O33" s="834"/>
      <c r="P33" s="835"/>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6"/>
      <c r="AY33" s="836"/>
      <c r="AZ33" s="836"/>
      <c r="BA33" s="836"/>
      <c r="BB33" s="836"/>
      <c r="BC33" s="836"/>
      <c r="BD33" s="836"/>
      <c r="BE33" s="836"/>
      <c r="BF33" s="836"/>
      <c r="BG33" s="836"/>
      <c r="BH33" s="837"/>
      <c r="BI33" s="837"/>
      <c r="BJ33" s="837"/>
      <c r="BK33" s="837"/>
      <c r="BL33" s="837"/>
      <c r="BM33" s="837"/>
      <c r="BN33" s="837"/>
      <c r="BO33" s="837"/>
      <c r="BP33" s="837"/>
      <c r="BQ33" s="837"/>
      <c r="BR33" s="837"/>
      <c r="BS33" s="837"/>
      <c r="BT33" s="837"/>
      <c r="BU33" s="837"/>
      <c r="BV33" s="837"/>
      <c r="BW33" s="837"/>
      <c r="BX33" s="837"/>
      <c r="BY33" s="837"/>
      <c r="BZ33" s="837"/>
      <c r="CA33" s="837"/>
      <c r="CB33" s="837"/>
      <c r="CC33" s="837"/>
    </row>
    <row r="34" spans="1:81" s="878" customFormat="1" ht="97.5" customHeight="1" thickBot="1" x14ac:dyDescent="0.35">
      <c r="A34" s="854">
        <v>14</v>
      </c>
      <c r="B34" s="1143" t="s">
        <v>1157</v>
      </c>
      <c r="C34" s="1157"/>
      <c r="D34" s="1157"/>
      <c r="E34" s="932" t="str">
        <f>IF(Import!L210=20,"Increase",IF(Import!L210=21,"Decrease",IF(Import!L210=22,"No Change",IF(Import!L210=23,"N/A","This question must be answered. See cell F265 on Unit Data from Audit"))))</f>
        <v>This question must be answered. See cell F265 on Unit Data from Audit</v>
      </c>
      <c r="F34" s="827" t="s">
        <v>872</v>
      </c>
      <c r="G34" s="932" t="str">
        <f>E34</f>
        <v>This question must be answered. See cell F265 on Unit Data from Audit</v>
      </c>
      <c r="H34" s="865" t="s">
        <v>873</v>
      </c>
      <c r="I34" s="913" t="s">
        <v>596</v>
      </c>
      <c r="J34" s="831"/>
      <c r="K34" s="933"/>
      <c r="L34" s="1027"/>
      <c r="M34" s="1029">
        <v>45291</v>
      </c>
      <c r="N34" s="1030">
        <v>45473</v>
      </c>
      <c r="O34" s="834"/>
      <c r="P34" s="835"/>
      <c r="Q34" s="836"/>
      <c r="R34" s="836"/>
      <c r="S34" s="836"/>
      <c r="T34" s="836"/>
      <c r="U34" s="836"/>
      <c r="V34" s="836"/>
      <c r="W34" s="836"/>
      <c r="X34" s="836"/>
      <c r="Y34" s="836"/>
      <c r="Z34" s="836"/>
      <c r="AA34" s="836"/>
      <c r="AB34" s="836"/>
      <c r="AC34" s="836"/>
      <c r="AD34" s="836"/>
      <c r="AE34" s="836"/>
      <c r="AF34" s="836"/>
      <c r="AG34" s="836"/>
      <c r="AH34" s="836"/>
      <c r="AI34" s="836"/>
      <c r="AJ34" s="836"/>
      <c r="AK34" s="836"/>
      <c r="AL34" s="836"/>
      <c r="AM34" s="836"/>
      <c r="AN34" s="836"/>
      <c r="AO34" s="836"/>
      <c r="AP34" s="836"/>
      <c r="AQ34" s="836"/>
      <c r="AR34" s="836"/>
      <c r="AS34" s="836"/>
      <c r="AT34" s="836"/>
      <c r="AU34" s="836"/>
      <c r="AV34" s="836"/>
      <c r="AW34" s="836"/>
      <c r="AX34" s="836"/>
      <c r="AY34" s="836"/>
      <c r="AZ34" s="836"/>
      <c r="BA34" s="836"/>
      <c r="BB34" s="836"/>
      <c r="BC34" s="836"/>
      <c r="BD34" s="836"/>
      <c r="BE34" s="836"/>
      <c r="BF34" s="836"/>
      <c r="BG34" s="836"/>
      <c r="BH34" s="837"/>
      <c r="BI34" s="837"/>
      <c r="BJ34" s="837"/>
      <c r="BK34" s="837"/>
      <c r="BL34" s="837"/>
      <c r="BM34" s="837"/>
      <c r="BN34" s="837"/>
      <c r="BO34" s="837"/>
      <c r="BP34" s="837"/>
      <c r="BQ34" s="837"/>
      <c r="BR34" s="837"/>
      <c r="BS34" s="837"/>
      <c r="BT34" s="837"/>
      <c r="BU34" s="837"/>
      <c r="BV34" s="837"/>
      <c r="BW34" s="837"/>
      <c r="BX34" s="837"/>
      <c r="BY34" s="837"/>
      <c r="BZ34" s="837"/>
      <c r="CA34" s="837"/>
      <c r="CB34" s="837"/>
      <c r="CC34" s="837"/>
    </row>
    <row r="35" spans="1:81" s="878" customFormat="1" ht="18" customHeight="1" thickBot="1" x14ac:dyDescent="0.35">
      <c r="A35" s="931"/>
      <c r="B35" s="1149"/>
      <c r="C35" s="1149"/>
      <c r="D35" s="1150"/>
      <c r="E35" s="889">
        <v>2023</v>
      </c>
      <c r="F35" s="925" t="s">
        <v>870</v>
      </c>
      <c r="G35" s="926"/>
      <c r="H35" s="934"/>
      <c r="I35" s="927"/>
      <c r="J35" s="928"/>
      <c r="K35" s="935"/>
      <c r="L35" s="1031"/>
      <c r="M35" s="1032">
        <v>45382</v>
      </c>
      <c r="N35" s="1033">
        <v>45565</v>
      </c>
      <c r="O35" s="834"/>
      <c r="P35" s="835"/>
      <c r="Q35" s="836"/>
      <c r="R35" s="836"/>
      <c r="S35" s="836"/>
      <c r="T35" s="836"/>
      <c r="U35" s="836"/>
      <c r="V35" s="836"/>
      <c r="W35" s="836"/>
      <c r="X35" s="836"/>
      <c r="Y35" s="836"/>
      <c r="Z35" s="836"/>
      <c r="AA35" s="836"/>
      <c r="AB35" s="836"/>
      <c r="AC35" s="836"/>
      <c r="AD35" s="836"/>
      <c r="AE35" s="836"/>
      <c r="AF35" s="836"/>
      <c r="AG35" s="836"/>
      <c r="AH35" s="836"/>
      <c r="AI35" s="836"/>
      <c r="AJ35" s="836"/>
      <c r="AK35" s="836"/>
      <c r="AL35" s="836"/>
      <c r="AM35" s="836"/>
      <c r="AN35" s="836"/>
      <c r="AO35" s="836"/>
      <c r="AP35" s="836"/>
      <c r="AQ35" s="836"/>
      <c r="AR35" s="836"/>
      <c r="AS35" s="836"/>
      <c r="AT35" s="836"/>
      <c r="AU35" s="836"/>
      <c r="AV35" s="836"/>
      <c r="AW35" s="836"/>
      <c r="AX35" s="836"/>
      <c r="AY35" s="836"/>
      <c r="AZ35" s="836"/>
      <c r="BA35" s="836"/>
      <c r="BB35" s="836"/>
      <c r="BC35" s="836"/>
      <c r="BD35" s="836"/>
      <c r="BE35" s="836"/>
      <c r="BF35" s="836"/>
      <c r="BG35" s="836"/>
      <c r="BH35" s="837"/>
      <c r="BI35" s="837"/>
      <c r="BJ35" s="837"/>
      <c r="BK35" s="837"/>
      <c r="BL35" s="837"/>
      <c r="BM35" s="837"/>
      <c r="BN35" s="837"/>
      <c r="BO35" s="837"/>
      <c r="BP35" s="837"/>
      <c r="BQ35" s="837"/>
      <c r="BR35" s="837"/>
      <c r="BS35" s="837"/>
      <c r="BT35" s="837"/>
      <c r="BU35" s="837"/>
      <c r="BV35" s="837"/>
      <c r="BW35" s="837"/>
      <c r="BX35" s="837"/>
      <c r="BY35" s="837"/>
      <c r="BZ35" s="837"/>
      <c r="CA35" s="837"/>
      <c r="CB35" s="837"/>
      <c r="CC35" s="837"/>
    </row>
    <row r="36" spans="1:81" s="878" customFormat="1" ht="78.75" customHeight="1" thickBot="1" x14ac:dyDescent="0.35">
      <c r="A36" s="854">
        <v>15</v>
      </c>
      <c r="B36" s="1155" t="s">
        <v>1954</v>
      </c>
      <c r="C36" s="1119"/>
      <c r="D36" s="1120"/>
      <c r="E36" s="827" t="str">
        <f>IF(Import!L216=1,"Yes",IF(Import!L216=2,"No",IF(Import!L216=0,"This question must be answered.  See cell C15 on TD")))</f>
        <v>This question must be answered.  See cell C15 on TD</v>
      </c>
      <c r="F36" s="827" t="s">
        <v>597</v>
      </c>
      <c r="G36" s="827" t="str">
        <f>+E36</f>
        <v>This question must be answered.  See cell C15 on TD</v>
      </c>
      <c r="H36" s="936" t="s">
        <v>1158</v>
      </c>
      <c r="I36" s="913" t="s">
        <v>1537</v>
      </c>
      <c r="J36" s="831"/>
      <c r="K36" s="851"/>
      <c r="L36" s="834"/>
      <c r="M36" s="834"/>
      <c r="N36" s="834"/>
      <c r="O36" s="834"/>
      <c r="P36" s="835"/>
      <c r="Q36" s="836"/>
      <c r="R36" s="836"/>
      <c r="S36" s="836"/>
      <c r="T36" s="836"/>
      <c r="U36" s="836"/>
      <c r="V36" s="836"/>
      <c r="W36" s="836"/>
      <c r="X36" s="836"/>
      <c r="Y36" s="836"/>
      <c r="Z36" s="836"/>
      <c r="AA36" s="836"/>
      <c r="AB36" s="836"/>
      <c r="AC36" s="836"/>
      <c r="AD36" s="836"/>
      <c r="AE36" s="836"/>
      <c r="AF36" s="836"/>
      <c r="AG36" s="836"/>
      <c r="AH36" s="836"/>
      <c r="AI36" s="836"/>
      <c r="AJ36" s="836"/>
      <c r="AK36" s="836"/>
      <c r="AL36" s="836"/>
      <c r="AM36" s="836"/>
      <c r="AN36" s="836"/>
      <c r="AO36" s="836"/>
      <c r="AP36" s="836"/>
      <c r="AQ36" s="836"/>
      <c r="AR36" s="836"/>
      <c r="AS36" s="836"/>
      <c r="AT36" s="836"/>
      <c r="AU36" s="836"/>
      <c r="AV36" s="836"/>
      <c r="AW36" s="836"/>
      <c r="AX36" s="836"/>
      <c r="AY36" s="836"/>
      <c r="AZ36" s="836"/>
      <c r="BA36" s="836"/>
      <c r="BB36" s="836"/>
      <c r="BC36" s="836"/>
      <c r="BD36" s="836"/>
      <c r="BE36" s="836"/>
      <c r="BF36" s="836"/>
      <c r="BG36" s="836"/>
      <c r="BH36" s="837"/>
      <c r="BI36" s="837"/>
      <c r="BJ36" s="837"/>
      <c r="BK36" s="837"/>
      <c r="BL36" s="837"/>
      <c r="BM36" s="837"/>
      <c r="BN36" s="837"/>
      <c r="BO36" s="837"/>
      <c r="BP36" s="837"/>
      <c r="BQ36" s="837"/>
      <c r="BR36" s="837"/>
      <c r="BS36" s="837"/>
      <c r="BT36" s="837"/>
      <c r="BU36" s="837"/>
      <c r="BV36" s="837"/>
      <c r="BW36" s="837"/>
      <c r="BX36" s="837"/>
      <c r="BY36" s="837"/>
      <c r="BZ36" s="837"/>
      <c r="CA36" s="837"/>
      <c r="CB36" s="837"/>
      <c r="CC36" s="837"/>
    </row>
    <row r="37" spans="1:81" s="878" customFormat="1" ht="18" customHeight="1" thickBot="1" x14ac:dyDescent="0.35">
      <c r="A37" s="931"/>
      <c r="B37" s="1149"/>
      <c r="C37" s="1149"/>
      <c r="D37" s="1150"/>
      <c r="E37" s="889">
        <v>2023</v>
      </c>
      <c r="F37" s="925" t="s">
        <v>870</v>
      </c>
      <c r="G37" s="926"/>
      <c r="H37" s="934"/>
      <c r="I37" s="927"/>
      <c r="J37" s="928"/>
      <c r="K37" s="851"/>
      <c r="L37" s="834"/>
      <c r="M37" s="834"/>
      <c r="N37" s="834"/>
      <c r="O37" s="834"/>
      <c r="P37" s="835"/>
      <c r="Q37" s="836"/>
      <c r="R37" s="836"/>
      <c r="S37" s="836"/>
      <c r="T37" s="836"/>
      <c r="U37" s="836"/>
      <c r="V37" s="836"/>
      <c r="W37" s="836"/>
      <c r="X37" s="836"/>
      <c r="Y37" s="836"/>
      <c r="Z37" s="836"/>
      <c r="AA37" s="836"/>
      <c r="AB37" s="836"/>
      <c r="AC37" s="836"/>
      <c r="AD37" s="836"/>
      <c r="AE37" s="836"/>
      <c r="AF37" s="836"/>
      <c r="AG37" s="836"/>
      <c r="AH37" s="836"/>
      <c r="AI37" s="836"/>
      <c r="AJ37" s="836"/>
      <c r="AK37" s="836"/>
      <c r="AL37" s="836"/>
      <c r="AM37" s="836"/>
      <c r="AN37" s="836"/>
      <c r="AO37" s="836"/>
      <c r="AP37" s="836"/>
      <c r="AQ37" s="836"/>
      <c r="AR37" s="836"/>
      <c r="AS37" s="836"/>
      <c r="AT37" s="836"/>
      <c r="AU37" s="836"/>
      <c r="AV37" s="836"/>
      <c r="AW37" s="836"/>
      <c r="AX37" s="836"/>
      <c r="AY37" s="836"/>
      <c r="AZ37" s="836"/>
      <c r="BA37" s="836"/>
      <c r="BB37" s="836"/>
      <c r="BC37" s="836"/>
      <c r="BD37" s="836"/>
      <c r="BE37" s="836"/>
      <c r="BF37" s="836"/>
      <c r="BG37" s="836"/>
      <c r="BH37" s="837"/>
      <c r="BI37" s="837"/>
      <c r="BJ37" s="837"/>
      <c r="BK37" s="837"/>
      <c r="BL37" s="837"/>
      <c r="BM37" s="837"/>
      <c r="BN37" s="837"/>
      <c r="BO37" s="837"/>
      <c r="BP37" s="837"/>
      <c r="BQ37" s="837"/>
      <c r="BR37" s="837"/>
      <c r="BS37" s="837"/>
      <c r="BT37" s="837"/>
      <c r="BU37" s="837"/>
      <c r="BV37" s="837"/>
      <c r="BW37" s="837"/>
      <c r="BX37" s="837"/>
      <c r="BY37" s="837"/>
      <c r="BZ37" s="837"/>
      <c r="CA37" s="837"/>
      <c r="CB37" s="837"/>
      <c r="CC37" s="837"/>
    </row>
    <row r="38" spans="1:81" s="878" customFormat="1" ht="94.95" customHeight="1" thickBot="1" x14ac:dyDescent="0.35">
      <c r="A38" s="1021">
        <v>16</v>
      </c>
      <c r="B38" s="1097" t="s">
        <v>1664</v>
      </c>
      <c r="C38" s="1097"/>
      <c r="D38" s="1098"/>
      <c r="E38" s="950" t="str">
        <f>IF(AND(Import!L214=2,Import!L215=2,Import!L217=2,AND(Import!L223&lt;=0,Import!L224&lt;=0)),"No","Yes")</f>
        <v>Yes</v>
      </c>
      <c r="F38" s="937"/>
      <c r="G38" s="898" t="str">
        <f>E38</f>
        <v>Yes</v>
      </c>
      <c r="H38" s="1000" t="s">
        <v>1934</v>
      </c>
      <c r="I38" s="872" t="s">
        <v>1549</v>
      </c>
      <c r="J38" s="831"/>
      <c r="K38" s="851"/>
      <c r="L38" s="834"/>
      <c r="M38" s="834"/>
      <c r="N38" s="834"/>
      <c r="O38" s="834"/>
      <c r="P38" s="835"/>
      <c r="Q38" s="836"/>
      <c r="R38" s="836"/>
      <c r="S38" s="836"/>
      <c r="T38" s="836"/>
      <c r="U38" s="836"/>
      <c r="V38" s="836"/>
      <c r="W38" s="836"/>
      <c r="X38" s="836"/>
      <c r="Y38" s="836"/>
      <c r="Z38" s="836"/>
      <c r="AA38" s="836"/>
      <c r="AB38" s="836"/>
      <c r="AC38" s="836"/>
      <c r="AD38" s="836"/>
      <c r="AE38" s="836"/>
      <c r="AF38" s="836"/>
      <c r="AG38" s="836"/>
      <c r="AH38" s="836"/>
      <c r="AI38" s="836"/>
      <c r="AJ38" s="836"/>
      <c r="AK38" s="836"/>
      <c r="AL38" s="836"/>
      <c r="AM38" s="836"/>
      <c r="AN38" s="836"/>
      <c r="AO38" s="836"/>
      <c r="AP38" s="836"/>
      <c r="AQ38" s="836"/>
      <c r="AR38" s="836"/>
      <c r="AS38" s="836"/>
      <c r="AT38" s="836"/>
      <c r="AU38" s="836"/>
      <c r="AV38" s="836"/>
      <c r="AW38" s="836"/>
      <c r="AX38" s="836"/>
      <c r="AY38" s="836"/>
      <c r="AZ38" s="836"/>
      <c r="BA38" s="836"/>
      <c r="BB38" s="836"/>
      <c r="BC38" s="836"/>
      <c r="BD38" s="836"/>
      <c r="BE38" s="836"/>
      <c r="BF38" s="836"/>
      <c r="BG38" s="836"/>
      <c r="BH38" s="837"/>
      <c r="BI38" s="837"/>
      <c r="BJ38" s="837"/>
      <c r="BK38" s="837"/>
      <c r="BL38" s="837"/>
      <c r="BM38" s="837"/>
      <c r="BN38" s="837"/>
      <c r="BO38" s="837"/>
      <c r="BP38" s="837"/>
      <c r="BQ38" s="837"/>
      <c r="BR38" s="837"/>
      <c r="BS38" s="837"/>
      <c r="BT38" s="837"/>
      <c r="BU38" s="837"/>
      <c r="BV38" s="837"/>
      <c r="BW38" s="837"/>
      <c r="BX38" s="837"/>
      <c r="BY38" s="837"/>
      <c r="BZ38" s="837"/>
      <c r="CA38" s="837"/>
      <c r="CB38" s="837"/>
      <c r="CC38" s="837"/>
    </row>
    <row r="39" spans="1:81" s="878" customFormat="1" ht="138" customHeight="1" thickBot="1" x14ac:dyDescent="0.35">
      <c r="A39" s="1022">
        <v>17</v>
      </c>
      <c r="B39" s="1155" t="s">
        <v>1979</v>
      </c>
      <c r="C39" s="1119"/>
      <c r="D39" s="1120"/>
      <c r="E39" s="898" t="str">
        <f>IF(Import!L218=1,"Yes",IF(Import!L218=2,"No",IF(Import!L218=0,"This question must be answered.  See cell C17 on TD")))</f>
        <v>This question must be answered.  See cell C17 on TD</v>
      </c>
      <c r="F39" s="937"/>
      <c r="G39" s="898" t="str">
        <f>E39</f>
        <v>This question must be answered.  See cell C17 on TD</v>
      </c>
      <c r="H39" s="936" t="s">
        <v>1665</v>
      </c>
      <c r="I39" s="872" t="s">
        <v>1544</v>
      </c>
      <c r="J39" s="831"/>
      <c r="K39" s="851"/>
      <c r="L39" s="834"/>
      <c r="M39" s="834"/>
      <c r="N39" s="834"/>
      <c r="O39" s="834"/>
      <c r="P39" s="835"/>
      <c r="Q39" s="836"/>
      <c r="U39" s="836"/>
      <c r="V39" s="836"/>
      <c r="W39" s="836"/>
      <c r="X39" s="836"/>
      <c r="Y39" s="836"/>
      <c r="Z39" s="836"/>
      <c r="AA39" s="836"/>
      <c r="AB39" s="836"/>
      <c r="AC39" s="836"/>
      <c r="AD39" s="836"/>
      <c r="AE39" s="836"/>
      <c r="AF39" s="836"/>
      <c r="AG39" s="836"/>
      <c r="AH39" s="836"/>
      <c r="AI39" s="836"/>
      <c r="AJ39" s="836"/>
      <c r="AK39" s="836"/>
      <c r="AL39" s="836"/>
      <c r="AM39" s="836"/>
      <c r="AN39" s="836"/>
      <c r="AO39" s="836"/>
      <c r="AP39" s="836"/>
      <c r="AQ39" s="836"/>
      <c r="AR39" s="836"/>
      <c r="AS39" s="836"/>
      <c r="AT39" s="836"/>
      <c r="AU39" s="836"/>
      <c r="AV39" s="836"/>
      <c r="AW39" s="836"/>
      <c r="AX39" s="836"/>
      <c r="AY39" s="836"/>
      <c r="AZ39" s="836"/>
      <c r="BA39" s="836"/>
      <c r="BB39" s="836"/>
      <c r="BC39" s="836"/>
      <c r="BD39" s="836"/>
      <c r="BE39" s="836"/>
      <c r="BF39" s="836"/>
      <c r="BG39" s="836"/>
      <c r="BH39" s="837"/>
      <c r="BI39" s="837"/>
      <c r="BJ39" s="837"/>
      <c r="BK39" s="837"/>
      <c r="BL39" s="837"/>
      <c r="BM39" s="837"/>
      <c r="BN39" s="837"/>
      <c r="BO39" s="837"/>
      <c r="BP39" s="837"/>
      <c r="BQ39" s="837"/>
      <c r="BR39" s="837"/>
      <c r="BS39" s="837"/>
      <c r="BT39" s="837"/>
      <c r="BU39" s="837"/>
      <c r="BV39" s="837"/>
      <c r="BW39" s="837"/>
      <c r="BX39" s="837"/>
      <c r="BY39" s="837"/>
      <c r="BZ39" s="837"/>
      <c r="CA39" s="837"/>
      <c r="CB39" s="837"/>
      <c r="CC39" s="837"/>
    </row>
    <row r="40" spans="1:81" s="878" customFormat="1" ht="117" customHeight="1" thickBot="1" x14ac:dyDescent="0.35">
      <c r="A40" s="1022">
        <v>18</v>
      </c>
      <c r="B40" s="1155" t="s">
        <v>1736</v>
      </c>
      <c r="C40" s="1119"/>
      <c r="D40" s="1120"/>
      <c r="E40" s="898" t="str">
        <f>IF(Import!L220=1,"Yes",IF(Import!L220=2,"No",IF(Import!L220=0,"This question must be answered.  See cell C19 on TD")))</f>
        <v>This question must be answered.  See cell C19 on TD</v>
      </c>
      <c r="F40" s="937"/>
      <c r="G40" s="898" t="str">
        <f>E40</f>
        <v>This question must be answered.  See cell C19 on TD</v>
      </c>
      <c r="H40" s="936" t="s">
        <v>1935</v>
      </c>
      <c r="I40" s="872" t="s">
        <v>1647</v>
      </c>
      <c r="J40" s="831"/>
      <c r="K40" s="851"/>
      <c r="L40" s="834"/>
      <c r="M40" s="834"/>
      <c r="N40" s="834"/>
      <c r="O40" s="834"/>
      <c r="P40" s="835"/>
      <c r="Q40" s="836"/>
      <c r="R40" s="836"/>
      <c r="S40" s="836"/>
      <c r="T40" s="836"/>
      <c r="U40" s="836"/>
      <c r="V40" s="836"/>
      <c r="W40" s="836"/>
      <c r="X40" s="836"/>
      <c r="Y40" s="836"/>
      <c r="Z40" s="836"/>
      <c r="AA40" s="836"/>
      <c r="AB40" s="836"/>
      <c r="AC40" s="836"/>
      <c r="AD40" s="836"/>
      <c r="AE40" s="836"/>
      <c r="AF40" s="836"/>
      <c r="AG40" s="836"/>
      <c r="AH40" s="836"/>
      <c r="AI40" s="836"/>
      <c r="AJ40" s="836"/>
      <c r="AK40" s="836"/>
      <c r="AL40" s="836"/>
      <c r="AM40" s="836"/>
      <c r="AN40" s="836"/>
      <c r="AO40" s="836"/>
      <c r="AP40" s="836"/>
      <c r="AQ40" s="836"/>
      <c r="AR40" s="836"/>
      <c r="AS40" s="836"/>
      <c r="AT40" s="836"/>
      <c r="AU40" s="836"/>
      <c r="AV40" s="836"/>
      <c r="AW40" s="836"/>
      <c r="AX40" s="836"/>
      <c r="AY40" s="836"/>
      <c r="AZ40" s="836"/>
      <c r="BA40" s="836"/>
      <c r="BB40" s="836"/>
      <c r="BC40" s="836"/>
      <c r="BD40" s="836"/>
      <c r="BE40" s="836"/>
      <c r="BF40" s="836"/>
      <c r="BG40" s="836"/>
      <c r="BH40" s="837"/>
      <c r="BI40" s="837"/>
      <c r="BJ40" s="837"/>
      <c r="BK40" s="837"/>
      <c r="BL40" s="837"/>
      <c r="BM40" s="837"/>
      <c r="BN40" s="837"/>
      <c r="BO40" s="837"/>
      <c r="BP40" s="837"/>
      <c r="BQ40" s="837"/>
      <c r="BR40" s="837"/>
      <c r="BS40" s="837"/>
      <c r="BT40" s="837"/>
      <c r="BU40" s="837"/>
      <c r="BV40" s="837"/>
      <c r="BW40" s="837"/>
      <c r="BX40" s="837"/>
      <c r="BY40" s="837"/>
      <c r="BZ40" s="837"/>
      <c r="CA40" s="837"/>
      <c r="CB40" s="837"/>
      <c r="CC40" s="837"/>
    </row>
    <row r="41" spans="1:81" s="878" customFormat="1" ht="18" customHeight="1" thickBot="1" x14ac:dyDescent="0.35">
      <c r="A41" s="1023"/>
      <c r="B41" s="1146" t="s">
        <v>869</v>
      </c>
      <c r="C41" s="1146"/>
      <c r="D41" s="1156"/>
      <c r="E41" s="889">
        <v>2023</v>
      </c>
      <c r="F41" s="925" t="s">
        <v>870</v>
      </c>
      <c r="G41" s="939"/>
      <c r="H41" s="926"/>
      <c r="I41" s="940"/>
      <c r="J41" s="928"/>
      <c r="K41" s="851"/>
      <c r="L41" s="834"/>
      <c r="M41" s="834"/>
      <c r="N41" s="834"/>
      <c r="O41" s="834"/>
      <c r="P41" s="835"/>
      <c r="Q41" s="836"/>
      <c r="R41" s="836"/>
      <c r="S41" s="836"/>
      <c r="T41" s="836"/>
      <c r="U41" s="836"/>
      <c r="V41" s="836"/>
      <c r="W41" s="836"/>
      <c r="X41" s="836"/>
      <c r="Y41" s="836"/>
      <c r="Z41" s="836"/>
      <c r="AA41" s="836"/>
      <c r="AB41" s="836"/>
      <c r="AC41" s="836"/>
      <c r="AD41" s="836"/>
      <c r="AE41" s="836"/>
      <c r="AF41" s="836"/>
      <c r="AG41" s="836"/>
      <c r="AH41" s="836"/>
      <c r="AI41" s="836"/>
      <c r="AJ41" s="836"/>
      <c r="AK41" s="836"/>
      <c r="AL41" s="836"/>
      <c r="AM41" s="836"/>
      <c r="AN41" s="836"/>
      <c r="AO41" s="836"/>
      <c r="AP41" s="836"/>
      <c r="AQ41" s="836"/>
      <c r="AR41" s="836"/>
      <c r="AS41" s="836"/>
      <c r="AT41" s="836"/>
      <c r="AU41" s="836"/>
      <c r="AV41" s="836"/>
      <c r="AW41" s="836"/>
      <c r="AX41" s="836"/>
      <c r="AY41" s="836"/>
      <c r="AZ41" s="836"/>
      <c r="BA41" s="836"/>
      <c r="BB41" s="836"/>
      <c r="BC41" s="836"/>
      <c r="BD41" s="836"/>
      <c r="BE41" s="836"/>
      <c r="BF41" s="836"/>
      <c r="BG41" s="836"/>
      <c r="BH41" s="837"/>
      <c r="BI41" s="837"/>
      <c r="BJ41" s="837"/>
      <c r="BK41" s="837"/>
      <c r="BL41" s="837"/>
      <c r="BM41" s="837"/>
      <c r="BN41" s="837"/>
      <c r="BO41" s="837"/>
      <c r="BP41" s="837"/>
      <c r="BQ41" s="837"/>
      <c r="BR41" s="837"/>
      <c r="BS41" s="837"/>
      <c r="BT41" s="837"/>
      <c r="BU41" s="837"/>
      <c r="BV41" s="837"/>
      <c r="BW41" s="837"/>
      <c r="BX41" s="837"/>
      <c r="BY41" s="837"/>
      <c r="BZ41" s="837"/>
      <c r="CA41" s="837"/>
      <c r="CB41" s="837"/>
      <c r="CC41" s="837"/>
    </row>
    <row r="42" spans="1:81" s="878" customFormat="1" ht="73.650000000000006" customHeight="1" thickBot="1" x14ac:dyDescent="0.35">
      <c r="A42" s="1021">
        <v>19</v>
      </c>
      <c r="B42" s="1142" t="s">
        <v>1156</v>
      </c>
      <c r="C42" s="1142"/>
      <c r="D42" s="1143"/>
      <c r="E42" s="898" t="str">
        <f>IF(Import!L227=1,"Yes",IF(Import!L227=2,"No",IF(Import!L227=3,"N/A",IF(Import!L227=0,"This question must be answered.  See cell C26 on TD"))))</f>
        <v>This question must be answered.  See cell C26 on TD</v>
      </c>
      <c r="F42" s="937"/>
      <c r="G42" s="898" t="str">
        <f>E42</f>
        <v>This question must be answered.  See cell C26 on TD</v>
      </c>
      <c r="H42" s="936" t="s">
        <v>1936</v>
      </c>
      <c r="I42" s="913" t="s">
        <v>662</v>
      </c>
      <c r="J42" s="831"/>
      <c r="K42" s="851"/>
      <c r="L42" s="834"/>
      <c r="M42" s="834"/>
      <c r="N42" s="834"/>
      <c r="O42" s="834"/>
      <c r="P42" s="835"/>
      <c r="Q42" s="836"/>
      <c r="R42" s="836"/>
      <c r="S42" s="836"/>
      <c r="T42" s="836"/>
      <c r="U42" s="836"/>
      <c r="V42" s="836"/>
      <c r="W42" s="836"/>
      <c r="X42" s="836"/>
      <c r="Y42" s="836"/>
      <c r="Z42" s="836"/>
      <c r="AA42" s="836"/>
      <c r="AB42" s="836"/>
      <c r="AC42" s="836"/>
      <c r="AD42" s="836"/>
      <c r="AE42" s="836"/>
      <c r="AF42" s="836"/>
      <c r="AG42" s="836"/>
      <c r="AH42" s="836"/>
      <c r="AI42" s="836"/>
      <c r="AJ42" s="836"/>
      <c r="AK42" s="836"/>
      <c r="AL42" s="836"/>
      <c r="AM42" s="836"/>
      <c r="AN42" s="836"/>
      <c r="AO42" s="836"/>
      <c r="AP42" s="836"/>
      <c r="AQ42" s="836"/>
      <c r="AR42" s="836"/>
      <c r="AS42" s="836"/>
      <c r="AT42" s="836"/>
      <c r="AU42" s="836"/>
      <c r="AV42" s="836"/>
      <c r="AW42" s="836"/>
      <c r="AX42" s="836"/>
      <c r="AY42" s="836"/>
      <c r="AZ42" s="836"/>
      <c r="BA42" s="836"/>
      <c r="BB42" s="836"/>
      <c r="BC42" s="836"/>
      <c r="BD42" s="836"/>
      <c r="BE42" s="836"/>
      <c r="BF42" s="836"/>
      <c r="BG42" s="836"/>
      <c r="BH42" s="837"/>
      <c r="BI42" s="837"/>
      <c r="BJ42" s="837"/>
      <c r="BK42" s="837"/>
      <c r="BL42" s="837"/>
      <c r="BM42" s="837"/>
      <c r="BN42" s="837"/>
      <c r="BO42" s="837"/>
      <c r="BP42" s="837"/>
      <c r="BQ42" s="837"/>
      <c r="BR42" s="837"/>
      <c r="BS42" s="837"/>
      <c r="BT42" s="837"/>
      <c r="BU42" s="837"/>
      <c r="BV42" s="837"/>
      <c r="BW42" s="837"/>
      <c r="BX42" s="837"/>
      <c r="BY42" s="837"/>
      <c r="BZ42" s="837"/>
      <c r="CA42" s="837"/>
      <c r="CB42" s="837"/>
      <c r="CC42" s="837"/>
    </row>
    <row r="43" spans="1:81" s="878" customFormat="1" ht="18" customHeight="1" thickBot="1" x14ac:dyDescent="0.35">
      <c r="A43" s="1023"/>
      <c r="B43" s="1149"/>
      <c r="C43" s="1149"/>
      <c r="D43" s="1150"/>
      <c r="E43" s="889">
        <v>2023</v>
      </c>
      <c r="F43" s="917" t="s">
        <v>870</v>
      </c>
      <c r="G43" s="926"/>
      <c r="H43" s="934"/>
      <c r="I43" s="927"/>
      <c r="J43" s="928"/>
      <c r="K43" s="851"/>
      <c r="L43" s="834"/>
      <c r="M43" s="834"/>
      <c r="N43" s="834"/>
      <c r="O43" s="834"/>
      <c r="P43" s="835"/>
      <c r="Q43" s="836"/>
      <c r="R43" s="836"/>
      <c r="S43" s="836"/>
      <c r="T43" s="836"/>
      <c r="U43" s="836"/>
      <c r="V43" s="836"/>
      <c r="W43" s="836"/>
      <c r="X43" s="836"/>
      <c r="Y43" s="836"/>
      <c r="Z43" s="836"/>
      <c r="AA43" s="836"/>
      <c r="AB43" s="836"/>
      <c r="AC43" s="836"/>
      <c r="AD43" s="836"/>
      <c r="AE43" s="836"/>
      <c r="AF43" s="836"/>
      <c r="AG43" s="836"/>
      <c r="AH43" s="836"/>
      <c r="AI43" s="836"/>
      <c r="AJ43" s="836"/>
      <c r="AK43" s="836"/>
      <c r="AL43" s="836"/>
      <c r="AM43" s="836"/>
      <c r="AN43" s="836"/>
      <c r="AO43" s="836"/>
      <c r="AP43" s="836"/>
      <c r="AQ43" s="836"/>
      <c r="AR43" s="836"/>
      <c r="AS43" s="836"/>
      <c r="AT43" s="836"/>
      <c r="AU43" s="836"/>
      <c r="AV43" s="836"/>
      <c r="AW43" s="836"/>
      <c r="AX43" s="836"/>
      <c r="AY43" s="836"/>
      <c r="AZ43" s="836"/>
      <c r="BA43" s="836"/>
      <c r="BB43" s="836"/>
      <c r="BC43" s="836"/>
      <c r="BD43" s="836"/>
      <c r="BE43" s="836"/>
      <c r="BF43" s="836"/>
      <c r="BG43" s="836"/>
      <c r="BH43" s="837"/>
      <c r="BI43" s="837"/>
      <c r="BJ43" s="837"/>
      <c r="BK43" s="837"/>
      <c r="BL43" s="837"/>
      <c r="BM43" s="837"/>
      <c r="BN43" s="837"/>
      <c r="BO43" s="837"/>
      <c r="BP43" s="837"/>
      <c r="BQ43" s="837"/>
      <c r="BR43" s="837"/>
      <c r="BS43" s="837"/>
      <c r="BT43" s="837"/>
      <c r="BU43" s="837"/>
      <c r="BV43" s="837"/>
      <c r="BW43" s="837"/>
      <c r="BX43" s="837"/>
      <c r="BY43" s="837"/>
      <c r="BZ43" s="837"/>
      <c r="CA43" s="837"/>
      <c r="CB43" s="837"/>
      <c r="CC43" s="837"/>
    </row>
    <row r="44" spans="1:81" s="878" customFormat="1" ht="130.19999999999999" customHeight="1" thickBot="1" x14ac:dyDescent="0.35">
      <c r="A44" s="1021">
        <v>20</v>
      </c>
      <c r="B44" s="1151" t="s">
        <v>1555</v>
      </c>
      <c r="C44" s="1152"/>
      <c r="D44" s="1152"/>
      <c r="E44" s="941" t="str">
        <f>IF('Electric trans'!F24="No, unit exceeds limit by:","Yes","No")</f>
        <v>No</v>
      </c>
      <c r="F44" s="937"/>
      <c r="G44" s="941" t="str">
        <f>+E44</f>
        <v>No</v>
      </c>
      <c r="H44" s="865" t="s">
        <v>1940</v>
      </c>
      <c r="I44" s="913" t="s">
        <v>1559</v>
      </c>
      <c r="J44" s="831"/>
      <c r="K44" s="851"/>
      <c r="L44" s="834"/>
      <c r="M44" s="834"/>
      <c r="N44" s="834"/>
      <c r="O44" s="834"/>
      <c r="P44" s="835"/>
      <c r="Q44" s="836"/>
      <c r="R44" s="836"/>
      <c r="S44" s="836"/>
      <c r="T44" s="836"/>
      <c r="U44" s="836"/>
      <c r="V44" s="836"/>
      <c r="W44" s="836"/>
      <c r="X44" s="836"/>
      <c r="Y44" s="836"/>
      <c r="Z44" s="836"/>
      <c r="AA44" s="836"/>
      <c r="AB44" s="836"/>
      <c r="AC44" s="836"/>
      <c r="AD44" s="836"/>
      <c r="AE44" s="836"/>
      <c r="AF44" s="836"/>
      <c r="AG44" s="836"/>
      <c r="AH44" s="836"/>
      <c r="AI44" s="836"/>
      <c r="AJ44" s="836"/>
      <c r="AK44" s="836"/>
      <c r="AL44" s="836"/>
      <c r="AM44" s="836"/>
      <c r="AN44" s="836"/>
      <c r="AO44" s="836"/>
      <c r="AP44" s="836"/>
      <c r="AQ44" s="836"/>
      <c r="AR44" s="836"/>
      <c r="AS44" s="836"/>
      <c r="AT44" s="836"/>
      <c r="AU44" s="836"/>
      <c r="AV44" s="836"/>
      <c r="AW44" s="836"/>
      <c r="AX44" s="836"/>
      <c r="AY44" s="836"/>
      <c r="AZ44" s="836"/>
      <c r="BA44" s="836"/>
      <c r="BB44" s="836"/>
      <c r="BC44" s="836"/>
      <c r="BD44" s="836"/>
      <c r="BE44" s="836"/>
      <c r="BF44" s="836"/>
      <c r="BG44" s="836"/>
      <c r="BH44" s="837"/>
      <c r="BI44" s="837"/>
      <c r="BJ44" s="837"/>
      <c r="BK44" s="837"/>
      <c r="BL44" s="837"/>
      <c r="BM44" s="837"/>
      <c r="BN44" s="837"/>
      <c r="BO44" s="837"/>
      <c r="BP44" s="837"/>
      <c r="BQ44" s="837"/>
      <c r="BR44" s="837"/>
      <c r="BS44" s="837"/>
      <c r="BT44" s="837"/>
      <c r="BU44" s="837"/>
      <c r="BV44" s="837"/>
      <c r="BW44" s="837"/>
      <c r="BX44" s="837"/>
      <c r="BY44" s="837"/>
      <c r="BZ44" s="837"/>
      <c r="CA44" s="837"/>
      <c r="CB44" s="837"/>
      <c r="CC44" s="837"/>
    </row>
    <row r="45" spans="1:81" s="878" customFormat="1" ht="18" customHeight="1" thickBot="1" x14ac:dyDescent="0.35">
      <c r="A45" s="1023"/>
      <c r="B45" s="1153"/>
      <c r="C45" s="1153"/>
      <c r="D45" s="1154"/>
      <c r="E45" s="916">
        <v>2023</v>
      </c>
      <c r="F45" s="925" t="s">
        <v>870</v>
      </c>
      <c r="G45" s="939"/>
      <c r="H45" s="926"/>
      <c r="I45" s="927"/>
      <c r="J45" s="928"/>
      <c r="K45" s="851"/>
      <c r="L45" s="834"/>
      <c r="M45" s="834"/>
      <c r="N45" s="834"/>
      <c r="O45" s="834"/>
      <c r="P45" s="835"/>
      <c r="Q45" s="836"/>
      <c r="R45" s="836"/>
      <c r="S45" s="836"/>
      <c r="T45" s="836"/>
      <c r="U45" s="836"/>
      <c r="V45" s="836"/>
      <c r="W45" s="836"/>
      <c r="X45" s="836"/>
      <c r="Y45" s="836"/>
      <c r="Z45" s="836"/>
      <c r="AA45" s="836"/>
      <c r="AB45" s="836"/>
      <c r="AC45" s="836"/>
      <c r="AD45" s="836"/>
      <c r="AE45" s="836"/>
      <c r="AF45" s="836"/>
      <c r="AG45" s="836"/>
      <c r="AH45" s="836"/>
      <c r="AI45" s="836"/>
      <c r="AJ45" s="836"/>
      <c r="AK45" s="836"/>
      <c r="AL45" s="836"/>
      <c r="AM45" s="836"/>
      <c r="AN45" s="836"/>
      <c r="AO45" s="836"/>
      <c r="AP45" s="836"/>
      <c r="AQ45" s="836"/>
      <c r="AR45" s="836"/>
      <c r="AS45" s="836"/>
      <c r="AT45" s="836"/>
      <c r="AU45" s="836"/>
      <c r="AV45" s="836"/>
      <c r="AW45" s="836"/>
      <c r="AX45" s="836"/>
      <c r="AY45" s="836"/>
      <c r="AZ45" s="836"/>
      <c r="BA45" s="836"/>
      <c r="BB45" s="836"/>
      <c r="BC45" s="836"/>
      <c r="BD45" s="836"/>
      <c r="BE45" s="836"/>
      <c r="BF45" s="836"/>
      <c r="BG45" s="836"/>
      <c r="BH45" s="837"/>
      <c r="BI45" s="837"/>
      <c r="BJ45" s="837"/>
      <c r="BK45" s="837"/>
      <c r="BL45" s="837"/>
      <c r="BM45" s="837"/>
      <c r="BN45" s="837"/>
      <c r="BO45" s="837"/>
      <c r="BP45" s="837"/>
      <c r="BQ45" s="837"/>
      <c r="BR45" s="837"/>
      <c r="BS45" s="837"/>
      <c r="BT45" s="837"/>
      <c r="BU45" s="837"/>
      <c r="BV45" s="837"/>
      <c r="BW45" s="837"/>
      <c r="BX45" s="837"/>
      <c r="BY45" s="837"/>
      <c r="BZ45" s="837"/>
      <c r="CA45" s="837"/>
      <c r="CB45" s="837"/>
      <c r="CC45" s="837"/>
    </row>
    <row r="46" spans="1:81" s="878" customFormat="1" ht="99.75" customHeight="1" thickBot="1" x14ac:dyDescent="0.35">
      <c r="A46" s="1021">
        <v>21</v>
      </c>
      <c r="B46" s="1147" t="s">
        <v>2723</v>
      </c>
      <c r="C46" s="1148"/>
      <c r="D46" s="1148"/>
      <c r="E46" s="951" t="str">
        <f>IF(Import!L225&gt;0,"Yes","No")</f>
        <v>No</v>
      </c>
      <c r="F46" s="937"/>
      <c r="G46" s="898" t="str">
        <f>E46</f>
        <v>No</v>
      </c>
      <c r="H46" s="942" t="s">
        <v>1937</v>
      </c>
      <c r="I46" s="913" t="s">
        <v>1560</v>
      </c>
      <c r="J46" s="831"/>
      <c r="K46" s="851"/>
      <c r="L46" s="834"/>
      <c r="M46" s="943"/>
      <c r="N46" s="834"/>
      <c r="O46" s="834"/>
      <c r="P46" s="835"/>
      <c r="Q46" s="836"/>
      <c r="R46" s="836"/>
      <c r="S46" s="836"/>
      <c r="T46" s="836"/>
      <c r="U46" s="836"/>
      <c r="V46" s="836"/>
      <c r="W46" s="836"/>
      <c r="X46" s="836"/>
      <c r="Y46" s="836"/>
      <c r="Z46" s="836"/>
      <c r="AA46" s="836"/>
      <c r="AB46" s="836"/>
      <c r="AC46" s="836"/>
      <c r="AD46" s="836"/>
      <c r="AE46" s="836"/>
      <c r="AF46" s="836"/>
      <c r="AG46" s="836"/>
      <c r="AH46" s="836"/>
      <c r="AI46" s="836"/>
      <c r="AJ46" s="836"/>
      <c r="AK46" s="836"/>
      <c r="AL46" s="836"/>
      <c r="AM46" s="836"/>
      <c r="AN46" s="836"/>
      <c r="AO46" s="836"/>
      <c r="AP46" s="836"/>
      <c r="AQ46" s="836"/>
      <c r="AR46" s="836"/>
      <c r="AS46" s="836"/>
      <c r="AT46" s="836"/>
      <c r="AU46" s="836"/>
      <c r="AV46" s="836"/>
      <c r="AW46" s="836"/>
      <c r="AX46" s="836"/>
      <c r="AY46" s="836"/>
      <c r="AZ46" s="836"/>
      <c r="BA46" s="836"/>
      <c r="BB46" s="836"/>
      <c r="BC46" s="836"/>
      <c r="BD46" s="836"/>
      <c r="BE46" s="836"/>
      <c r="BF46" s="836"/>
      <c r="BG46" s="836"/>
      <c r="BH46" s="837"/>
      <c r="BI46" s="837"/>
      <c r="BJ46" s="837"/>
      <c r="BK46" s="837"/>
      <c r="BL46" s="837"/>
      <c r="BM46" s="837"/>
      <c r="BN46" s="837"/>
      <c r="BO46" s="837"/>
      <c r="BP46" s="837"/>
      <c r="BQ46" s="837"/>
      <c r="BR46" s="837"/>
      <c r="BS46" s="837"/>
      <c r="BT46" s="837"/>
      <c r="BU46" s="837"/>
      <c r="BV46" s="837"/>
      <c r="BW46" s="837"/>
      <c r="BX46" s="837"/>
      <c r="BY46" s="837"/>
      <c r="BZ46" s="837"/>
      <c r="CA46" s="837"/>
      <c r="CB46" s="837"/>
      <c r="CC46" s="837"/>
    </row>
    <row r="47" spans="1:81" s="948" customFormat="1" x14ac:dyDescent="0.3">
      <c r="A47" s="944"/>
      <c r="B47" s="945"/>
      <c r="C47" s="945"/>
      <c r="D47" s="945"/>
      <c r="E47" s="945"/>
      <c r="F47" s="945"/>
      <c r="G47" s="945"/>
      <c r="H47" s="945"/>
      <c r="I47" s="946"/>
      <c r="J47" s="946"/>
      <c r="K47" s="947"/>
      <c r="L47" s="834"/>
      <c r="M47" s="834"/>
      <c r="N47" s="834"/>
      <c r="O47" s="834"/>
      <c r="P47" s="835"/>
      <c r="Q47" s="836"/>
      <c r="R47" s="836"/>
      <c r="S47" s="836"/>
      <c r="T47" s="836"/>
      <c r="U47" s="836"/>
      <c r="V47" s="836"/>
      <c r="W47" s="836"/>
      <c r="X47" s="836"/>
      <c r="Y47" s="836"/>
      <c r="Z47" s="836"/>
      <c r="AA47" s="836"/>
      <c r="AB47" s="836"/>
      <c r="AC47" s="836"/>
      <c r="AD47" s="836"/>
      <c r="AE47" s="836"/>
      <c r="AF47" s="836"/>
      <c r="AG47" s="836"/>
      <c r="AH47" s="836"/>
      <c r="AI47" s="836"/>
      <c r="AJ47" s="836"/>
      <c r="AK47" s="836"/>
      <c r="AL47" s="836"/>
      <c r="AM47" s="836"/>
      <c r="AN47" s="836"/>
      <c r="AO47" s="836"/>
      <c r="AP47" s="836"/>
      <c r="AQ47" s="836"/>
      <c r="AR47" s="836"/>
      <c r="AS47" s="836"/>
      <c r="AT47" s="836"/>
      <c r="AU47" s="836"/>
      <c r="AV47" s="836"/>
      <c r="AW47" s="836"/>
      <c r="AX47" s="836"/>
      <c r="AY47" s="836"/>
      <c r="AZ47" s="836"/>
      <c r="BA47" s="836"/>
      <c r="BB47" s="836"/>
      <c r="BC47" s="836"/>
      <c r="BD47" s="836"/>
      <c r="BE47" s="836"/>
      <c r="BF47" s="836"/>
      <c r="BG47" s="836"/>
      <c r="BH47" s="837"/>
      <c r="BI47" s="837"/>
      <c r="BJ47" s="837"/>
      <c r="BK47" s="837"/>
      <c r="BL47" s="837"/>
      <c r="BM47" s="837"/>
      <c r="BN47" s="837"/>
      <c r="BO47" s="837"/>
      <c r="BP47" s="837"/>
      <c r="BQ47" s="837"/>
      <c r="BR47" s="837"/>
      <c r="BS47" s="837"/>
      <c r="BT47" s="837"/>
      <c r="BU47" s="837"/>
      <c r="BV47" s="837"/>
      <c r="BW47" s="837"/>
      <c r="BX47" s="837"/>
      <c r="BY47" s="837"/>
      <c r="BZ47" s="837"/>
      <c r="CA47" s="837"/>
      <c r="CB47" s="837"/>
      <c r="CC47" s="837"/>
    </row>
  </sheetData>
  <sheetProtection algorithmName="SHA-512" hashValue="AkFD7nBoFxIHDqqQsGHvfgtfYfdbkz7wzBqwxcGG/B1Wfc7mxtyutb+V9/AX0cbI8cTFDatBStIiKZ1o/biwTQ==" saltValue="83MDc0DK7a+Rd2V1HIVgog==" spinCount="100000" sheet="1" objects="1" scenarios="1"/>
  <mergeCells count="40">
    <mergeCell ref="B38:D38"/>
    <mergeCell ref="B40:D40"/>
    <mergeCell ref="B41:D41"/>
    <mergeCell ref="B34:D34"/>
    <mergeCell ref="B33:D33"/>
    <mergeCell ref="B31:D31"/>
    <mergeCell ref="B32:D32"/>
    <mergeCell ref="B35:D35"/>
    <mergeCell ref="B36:D36"/>
    <mergeCell ref="B37:D37"/>
    <mergeCell ref="B46:D46"/>
    <mergeCell ref="B43:D43"/>
    <mergeCell ref="B44:D44"/>
    <mergeCell ref="B45:D45"/>
    <mergeCell ref="B39:D39"/>
    <mergeCell ref="B42:D42"/>
    <mergeCell ref="J8:J9"/>
    <mergeCell ref="B15:E15"/>
    <mergeCell ref="B6:H7"/>
    <mergeCell ref="H8:H9"/>
    <mergeCell ref="B30:D30"/>
    <mergeCell ref="B8:G9"/>
    <mergeCell ref="B10:E10"/>
    <mergeCell ref="B11:E11"/>
    <mergeCell ref="B13:E13"/>
    <mergeCell ref="B14:E14"/>
    <mergeCell ref="B12:E12"/>
    <mergeCell ref="B20:D20"/>
    <mergeCell ref="B24:E24"/>
    <mergeCell ref="B25:E25"/>
    <mergeCell ref="B29:D29"/>
    <mergeCell ref="I1:J1"/>
    <mergeCell ref="B1:H1"/>
    <mergeCell ref="B2:H2"/>
    <mergeCell ref="C4:E4"/>
    <mergeCell ref="F4:G5"/>
    <mergeCell ref="H4:H5"/>
    <mergeCell ref="C5:E5"/>
    <mergeCell ref="I2:I7"/>
    <mergeCell ref="J2:J7"/>
  </mergeCells>
  <conditionalFormatting sqref="G16">
    <cfRule type="cellIs" dxfId="79" priority="74" operator="lessThan">
      <formula>1</formula>
    </cfRule>
  </conditionalFormatting>
  <conditionalFormatting sqref="G18">
    <cfRule type="cellIs" dxfId="78" priority="73" operator="lessThan">
      <formula>0</formula>
    </cfRule>
  </conditionalFormatting>
  <conditionalFormatting sqref="G19:G20">
    <cfRule type="cellIs" dxfId="77" priority="72" operator="lessThan">
      <formula>0.16</formula>
    </cfRule>
  </conditionalFormatting>
  <conditionalFormatting sqref="G25">
    <cfRule type="cellIs" dxfId="76" priority="71" operator="lessThan">
      <formula>1</formula>
    </cfRule>
  </conditionalFormatting>
  <conditionalFormatting sqref="G27">
    <cfRule type="cellIs" dxfId="75" priority="70" operator="lessThan">
      <formula>0</formula>
    </cfRule>
  </conditionalFormatting>
  <conditionalFormatting sqref="G28">
    <cfRule type="cellIs" dxfId="74" priority="69" operator="lessThan">
      <formula>0.16</formula>
    </cfRule>
  </conditionalFormatting>
  <conditionalFormatting sqref="G32">
    <cfRule type="cellIs" dxfId="73" priority="67" operator="lessThan">
      <formula>-0.03</formula>
    </cfRule>
  </conditionalFormatting>
  <conditionalFormatting sqref="G38">
    <cfRule type="cellIs" dxfId="72" priority="65" operator="equal">
      <formula>"Yes"</formula>
    </cfRule>
  </conditionalFormatting>
  <conditionalFormatting sqref="G42">
    <cfRule type="cellIs" dxfId="71" priority="64" operator="equal">
      <formula>"Yes"</formula>
    </cfRule>
  </conditionalFormatting>
  <conditionalFormatting sqref="G36">
    <cfRule type="cellIs" dxfId="70" priority="63" operator="equal">
      <formula>"Yes"</formula>
    </cfRule>
  </conditionalFormatting>
  <conditionalFormatting sqref="G45">
    <cfRule type="cellIs" dxfId="69" priority="62" operator="equal">
      <formula>"Yes"</formula>
    </cfRule>
  </conditionalFormatting>
  <conditionalFormatting sqref="G44">
    <cfRule type="cellIs" dxfId="68" priority="61" operator="equal">
      <formula>"Yes"</formula>
    </cfRule>
  </conditionalFormatting>
  <conditionalFormatting sqref="G34">
    <cfRule type="cellIs" dxfId="67" priority="58" operator="equal">
      <formula>"Decrease"</formula>
    </cfRule>
  </conditionalFormatting>
  <conditionalFormatting sqref="G20">
    <cfRule type="cellIs" dxfId="66" priority="6" operator="equal">
      <formula>$E$21="Yes"</formula>
    </cfRule>
    <cfRule type="expression" dxfId="65" priority="53">
      <formula>E20="Yes"</formula>
    </cfRule>
  </conditionalFormatting>
  <conditionalFormatting sqref="E36 G36">
    <cfRule type="containsText" dxfId="64" priority="52" operator="containsText" text="This question must be answered">
      <formula>NOT(ISERROR(SEARCH("This question must be answered",E36)))</formula>
    </cfRule>
  </conditionalFormatting>
  <conditionalFormatting sqref="E34 G34">
    <cfRule type="containsText" dxfId="63" priority="51" operator="containsText" text="This question must be answered">
      <formula>NOT(ISERROR(SEARCH("This question must be answered",E34)))</formula>
    </cfRule>
  </conditionalFormatting>
  <conditionalFormatting sqref="E32 G32">
    <cfRule type="containsText" dxfId="62" priority="50" operator="containsText" text="This question must be answered">
      <formula>NOT(ISERROR(SEARCH("This question must be answered",E32)))</formula>
    </cfRule>
  </conditionalFormatting>
  <conditionalFormatting sqref="E42 G42">
    <cfRule type="containsText" dxfId="61" priority="47" operator="containsText" text="This question must be answered">
      <formula>NOT(ISERROR(SEARCH("This question must be answered",E42)))</formula>
    </cfRule>
  </conditionalFormatting>
  <conditionalFormatting sqref="G46">
    <cfRule type="cellIs" dxfId="60" priority="45" operator="equal">
      <formula>"Yes"</formula>
    </cfRule>
  </conditionalFormatting>
  <conditionalFormatting sqref="G46">
    <cfRule type="containsText" dxfId="59" priority="44" operator="containsText" text="This question must be answered">
      <formula>NOT(ISERROR(SEARCH("This question must be answered",G46)))</formula>
    </cfRule>
  </conditionalFormatting>
  <conditionalFormatting sqref="G13">
    <cfRule type="containsText" dxfId="58" priority="43" operator="containsText" text="Operations">
      <formula>NOT(ISERROR(SEARCH("Operations",G13)))</formula>
    </cfRule>
  </conditionalFormatting>
  <conditionalFormatting sqref="G14">
    <cfRule type="cellIs" dxfId="57" priority="42" operator="lessThan">
      <formula>0</formula>
    </cfRule>
  </conditionalFormatting>
  <conditionalFormatting sqref="E39:E40">
    <cfRule type="containsText" dxfId="56" priority="41" operator="containsText" text="This question must be answered">
      <formula>NOT(ISERROR(SEARCH("This question must be answered",E39)))</formula>
    </cfRule>
  </conditionalFormatting>
  <conditionalFormatting sqref="G39:G40">
    <cfRule type="containsText" dxfId="55" priority="39" operator="containsText" text="No">
      <formula>NOT(ISERROR(SEARCH("No",G39)))</formula>
    </cfRule>
    <cfRule type="containsText" dxfId="54" priority="40" operator="containsText" text="This question must be answered">
      <formula>NOT(ISERROR(SEARCH("This question must be answered",G39)))</formula>
    </cfRule>
  </conditionalFormatting>
  <conditionalFormatting sqref="G11">
    <cfRule type="expression" dxfId="53" priority="30">
      <formula>$O$11=1</formula>
    </cfRule>
  </conditionalFormatting>
  <conditionalFormatting sqref="I9">
    <cfRule type="expression" dxfId="52" priority="137">
      <formula>IF($L$9&lt;0.25,)</formula>
    </cfRule>
  </conditionalFormatting>
  <conditionalFormatting sqref="C18">
    <cfRule type="cellIs" dxfId="51" priority="26" operator="equal">
      <formula>"Prior year data not submitted as of workbook published date."</formula>
    </cfRule>
  </conditionalFormatting>
  <conditionalFormatting sqref="D18">
    <cfRule type="cellIs" dxfId="50" priority="25" operator="equal">
      <formula>"Prior year data not submitted as of workbook published date."</formula>
    </cfRule>
  </conditionalFormatting>
  <conditionalFormatting sqref="L19:L21">
    <cfRule type="cellIs" dxfId="49" priority="24" operator="equal">
      <formula>"Priod year data not submitted as of workbook published date."</formula>
    </cfRule>
  </conditionalFormatting>
  <conditionalFormatting sqref="D19:D21">
    <cfRule type="cellIs" dxfId="48" priority="20" operator="equal">
      <formula>"Prior year data not submitted as of workbook published date."</formula>
    </cfRule>
  </conditionalFormatting>
  <conditionalFormatting sqref="C19:C21">
    <cfRule type="cellIs" dxfId="47" priority="19" operator="equal">
      <formula>"Prior year data not submitted as of workbook published date."</formula>
    </cfRule>
  </conditionalFormatting>
  <conditionalFormatting sqref="C27">
    <cfRule type="cellIs" dxfId="46" priority="18" operator="equal">
      <formula>"Prior year data not submitted as of workbook published date."</formula>
    </cfRule>
  </conditionalFormatting>
  <conditionalFormatting sqref="D27">
    <cfRule type="cellIs" dxfId="45" priority="17" operator="equal">
      <formula>"Prior year data not submitted as of workbook published date."</formula>
    </cfRule>
  </conditionalFormatting>
  <conditionalFormatting sqref="D28">
    <cfRule type="cellIs" dxfId="44" priority="13" operator="equal">
      <formula>"Prior year data not submitted as of  workbook published date."</formula>
    </cfRule>
  </conditionalFormatting>
  <conditionalFormatting sqref="C28">
    <cfRule type="cellIs" dxfId="43" priority="11" operator="equal">
      <formula>"Prior year data not submitted as of workbook published date."</formula>
    </cfRule>
  </conditionalFormatting>
  <conditionalFormatting sqref="F21">
    <cfRule type="expression" dxfId="42" priority="10">
      <formula>D21="Yes"</formula>
    </cfRule>
  </conditionalFormatting>
  <conditionalFormatting sqref="D21">
    <cfRule type="cellIs" dxfId="41" priority="9" operator="equal">
      <formula>"Prior year data not submitted as of workbook published date."</formula>
    </cfRule>
  </conditionalFormatting>
  <conditionalFormatting sqref="C21">
    <cfRule type="cellIs" dxfId="40" priority="8" operator="equal">
      <formula>"Prior year data not submitted as of workbook published date."</formula>
    </cfRule>
  </conditionalFormatting>
  <conditionalFormatting sqref="G21">
    <cfRule type="cellIs" dxfId="39" priority="4" operator="lessThan">
      <formula>0.5</formula>
    </cfRule>
  </conditionalFormatting>
  <conditionalFormatting sqref="M19">
    <cfRule type="cellIs" dxfId="38" priority="3" operator="equal">
      <formula>"Priod year data not submitted as of workbook published date."</formula>
    </cfRule>
  </conditionalFormatting>
  <conditionalFormatting sqref="G30">
    <cfRule type="cellIs" dxfId="37" priority="2" operator="equal">
      <formula>"Late"</formula>
    </cfRule>
  </conditionalFormatting>
  <conditionalFormatting sqref="E30 G30">
    <cfRule type="containsText" dxfId="36" priority="1" operator="containsText" text="This question must be answered">
      <formula>NOT(ISERROR(SEARCH("This question must be answered",E30)))</formula>
    </cfRule>
  </conditionalFormatting>
  <pageMargins left="0.25" right="0.25" top="0.05" bottom="0.25" header="0.3" footer="0.25"/>
  <pageSetup scale="61" fitToHeight="0" orientation="landscape" r:id="rId1"/>
  <headerFooter>
    <oddFooter>&amp;C&amp;12&amp;P</oddFooter>
  </headerFooter>
  <rowBreaks count="5" manualBreakCount="5">
    <brk id="11" max="7" man="1"/>
    <brk id="14" max="7" man="1"/>
    <brk id="23" max="7" man="1"/>
    <brk id="28" max="7" man="1"/>
    <brk id="40" max="7" man="1"/>
  </rowBreaks>
  <drawing r:id="rId2"/>
  <legacyDrawing r:id="rId3"/>
  <oleObjects>
    <mc:AlternateContent xmlns:mc="http://schemas.openxmlformats.org/markup-compatibility/2006">
      <mc:Choice Requires="x14">
        <oleObject progId="Excel.Sheet.12" shapeId="48129" r:id="rId4">
          <objectPr defaultSize="0" autoPict="0" r:id="rId5">
            <anchor moveWithCells="1">
              <from>
                <xdr:col>1</xdr:col>
                <xdr:colOff>289560</xdr:colOff>
                <xdr:row>7</xdr:row>
                <xdr:rowOff>99060</xdr:rowOff>
              </from>
              <to>
                <xdr:col>5</xdr:col>
                <xdr:colOff>1188720</xdr:colOff>
                <xdr:row>8</xdr:row>
                <xdr:rowOff>1531620</xdr:rowOff>
              </to>
            </anchor>
          </objectPr>
        </oleObject>
      </mc:Choice>
      <mc:Fallback>
        <oleObject progId="Excel.Sheet.12" shapeId="48129"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13B3-4389-4319-BFF6-0DABAB34D46A}">
  <sheetPr codeName="Sheet10"/>
  <dimension ref="A1:K168"/>
  <sheetViews>
    <sheetView topLeftCell="A28" workbookViewId="0">
      <selection activeCell="D10" sqref="D10"/>
    </sheetView>
  </sheetViews>
  <sheetFormatPr defaultColWidth="9.109375" defaultRowHeight="14.4" x14ac:dyDescent="0.3"/>
  <cols>
    <col min="1" max="1" width="9.109375" style="180"/>
    <col min="2" max="2" width="54.109375" style="180" customWidth="1"/>
    <col min="3" max="3" width="23.6640625" style="180" customWidth="1"/>
    <col min="4" max="4" width="19.6640625" style="180" customWidth="1"/>
    <col min="5" max="10" width="9.109375" style="180"/>
    <col min="11" max="11" width="54.109375" style="180" customWidth="1"/>
    <col min="12" max="16384" width="9.109375" style="180"/>
  </cols>
  <sheetData>
    <row r="1" spans="1:11" ht="43.2" x14ac:dyDescent="0.3">
      <c r="A1" s="180" t="s">
        <v>402</v>
      </c>
      <c r="B1" s="180" t="s">
        <v>475</v>
      </c>
      <c r="C1" s="183" t="s">
        <v>465</v>
      </c>
      <c r="D1" s="184" t="s">
        <v>607</v>
      </c>
      <c r="E1" s="180" t="s">
        <v>1608</v>
      </c>
    </row>
    <row r="3" spans="1:11" ht="23.4" x14ac:dyDescent="0.45">
      <c r="A3" s="180">
        <v>50002</v>
      </c>
      <c r="B3" s="180" t="s">
        <v>1159</v>
      </c>
      <c r="C3" s="180">
        <v>50</v>
      </c>
      <c r="D3" s="155" t="s">
        <v>50</v>
      </c>
      <c r="E3" s="189" t="s">
        <v>625</v>
      </c>
    </row>
    <row r="4" spans="1:11" x14ac:dyDescent="0.3">
      <c r="A4" s="180">
        <v>50006</v>
      </c>
      <c r="B4" s="180" t="s">
        <v>477</v>
      </c>
      <c r="C4" s="180">
        <v>50</v>
      </c>
      <c r="D4" s="155" t="s">
        <v>50</v>
      </c>
    </row>
    <row r="5" spans="1:11" x14ac:dyDescent="0.3">
      <c r="A5" s="180">
        <v>50008</v>
      </c>
      <c r="B5" s="180" t="s">
        <v>1165</v>
      </c>
      <c r="C5" s="180">
        <v>50</v>
      </c>
      <c r="D5" s="155" t="s">
        <v>50</v>
      </c>
    </row>
    <row r="6" spans="1:11" x14ac:dyDescent="0.3">
      <c r="A6" s="180">
        <v>50013</v>
      </c>
      <c r="B6" s="527" t="s">
        <v>479</v>
      </c>
      <c r="C6" s="180">
        <v>50</v>
      </c>
      <c r="D6" s="155" t="s">
        <v>50</v>
      </c>
      <c r="K6" s="527"/>
    </row>
    <row r="7" spans="1:11" x14ac:dyDescent="0.3">
      <c r="A7" s="180">
        <v>50016</v>
      </c>
      <c r="B7" s="527" t="s">
        <v>816</v>
      </c>
      <c r="C7" s="180">
        <v>50</v>
      </c>
      <c r="D7" s="155" t="s">
        <v>50</v>
      </c>
      <c r="K7" s="527"/>
    </row>
    <row r="8" spans="1:11" x14ac:dyDescent="0.3">
      <c r="A8" s="180">
        <v>50017</v>
      </c>
      <c r="B8" s="180" t="s">
        <v>1175</v>
      </c>
      <c r="C8" s="180">
        <v>50</v>
      </c>
      <c r="D8" s="155" t="s">
        <v>50</v>
      </c>
    </row>
    <row r="9" spans="1:11" x14ac:dyDescent="0.3">
      <c r="A9" s="180">
        <v>50019</v>
      </c>
      <c r="B9" s="527" t="s">
        <v>817</v>
      </c>
      <c r="C9" s="180">
        <v>50</v>
      </c>
      <c r="D9" s="155" t="s">
        <v>50</v>
      </c>
      <c r="K9" s="527"/>
    </row>
    <row r="10" spans="1:11" x14ac:dyDescent="0.3">
      <c r="A10" s="180">
        <v>50504</v>
      </c>
      <c r="B10" s="180" t="s">
        <v>480</v>
      </c>
      <c r="C10" s="180">
        <v>50</v>
      </c>
      <c r="D10" s="155" t="s">
        <v>50</v>
      </c>
    </row>
    <row r="11" spans="1:11" x14ac:dyDescent="0.3">
      <c r="A11" s="180">
        <v>50021</v>
      </c>
      <c r="B11" s="180" t="s">
        <v>818</v>
      </c>
      <c r="C11" s="180">
        <v>50</v>
      </c>
      <c r="D11" s="155" t="s">
        <v>50</v>
      </c>
    </row>
    <row r="12" spans="1:11" x14ac:dyDescent="0.3">
      <c r="A12" s="180">
        <v>50024</v>
      </c>
      <c r="B12" s="527" t="s">
        <v>481</v>
      </c>
      <c r="C12" s="180">
        <v>50</v>
      </c>
      <c r="D12" s="155" t="s">
        <v>50</v>
      </c>
      <c r="K12" s="527"/>
    </row>
    <row r="13" spans="1:11" x14ac:dyDescent="0.3">
      <c r="A13" s="180">
        <v>50029</v>
      </c>
      <c r="B13" s="180" t="s">
        <v>482</v>
      </c>
      <c r="C13" s="180">
        <v>50</v>
      </c>
      <c r="D13" s="155" t="s">
        <v>50</v>
      </c>
    </row>
    <row r="14" spans="1:11" x14ac:dyDescent="0.3">
      <c r="A14" s="180">
        <v>50031</v>
      </c>
      <c r="B14" s="180" t="s">
        <v>819</v>
      </c>
      <c r="C14" s="180">
        <v>50</v>
      </c>
      <c r="D14" s="155" t="s">
        <v>50</v>
      </c>
    </row>
    <row r="15" spans="1:11" x14ac:dyDescent="0.3">
      <c r="A15" s="180">
        <v>50038</v>
      </c>
      <c r="B15" s="180" t="s">
        <v>486</v>
      </c>
      <c r="C15" s="180">
        <v>50</v>
      </c>
      <c r="D15" s="155" t="s">
        <v>50</v>
      </c>
    </row>
    <row r="16" spans="1:11" x14ac:dyDescent="0.3">
      <c r="A16" s="180">
        <v>50040</v>
      </c>
      <c r="B16" s="180" t="s">
        <v>1193</v>
      </c>
      <c r="C16" s="180">
        <v>50</v>
      </c>
      <c r="D16" s="155" t="s">
        <v>50</v>
      </c>
    </row>
    <row r="17" spans="1:11" x14ac:dyDescent="0.3">
      <c r="A17" s="180">
        <v>50506</v>
      </c>
      <c r="B17" s="180" t="s">
        <v>487</v>
      </c>
      <c r="C17" s="180">
        <v>50</v>
      </c>
      <c r="D17" s="155" t="s">
        <v>50</v>
      </c>
    </row>
    <row r="18" spans="1:11" x14ac:dyDescent="0.3">
      <c r="A18" s="180">
        <v>50045</v>
      </c>
      <c r="B18" s="180" t="s">
        <v>488</v>
      </c>
      <c r="C18" s="180">
        <v>50</v>
      </c>
      <c r="D18" s="155" t="s">
        <v>50</v>
      </c>
    </row>
    <row r="19" spans="1:11" x14ac:dyDescent="0.3">
      <c r="A19" s="180">
        <v>50050</v>
      </c>
      <c r="B19" s="527" t="s">
        <v>1202</v>
      </c>
      <c r="C19" s="180">
        <v>50</v>
      </c>
      <c r="D19" s="155" t="s">
        <v>50</v>
      </c>
      <c r="K19" s="527"/>
    </row>
    <row r="20" spans="1:11" x14ac:dyDescent="0.3">
      <c r="A20" s="180">
        <v>50055</v>
      </c>
      <c r="B20" s="180" t="s">
        <v>820</v>
      </c>
      <c r="C20" s="180">
        <v>50</v>
      </c>
      <c r="D20" s="155" t="s">
        <v>50</v>
      </c>
    </row>
    <row r="21" spans="1:11" x14ac:dyDescent="0.3">
      <c r="A21" s="180">
        <v>50062</v>
      </c>
      <c r="B21" s="180" t="s">
        <v>1215</v>
      </c>
      <c r="C21" s="180">
        <v>50</v>
      </c>
      <c r="D21" s="155" t="s">
        <v>50</v>
      </c>
    </row>
    <row r="22" spans="1:11" x14ac:dyDescent="0.3">
      <c r="A22" s="180">
        <v>50063</v>
      </c>
      <c r="B22" s="180" t="s">
        <v>1216</v>
      </c>
      <c r="C22" s="180">
        <v>50</v>
      </c>
      <c r="D22" s="155" t="s">
        <v>50</v>
      </c>
    </row>
    <row r="23" spans="1:11" x14ac:dyDescent="0.3">
      <c r="A23" s="180">
        <v>50467</v>
      </c>
      <c r="B23" s="180" t="s">
        <v>491</v>
      </c>
      <c r="C23" s="180">
        <v>50</v>
      </c>
      <c r="D23" s="155" t="s">
        <v>50</v>
      </c>
    </row>
    <row r="24" spans="1:11" x14ac:dyDescent="0.3">
      <c r="A24" s="180">
        <v>50510</v>
      </c>
      <c r="B24" s="180" t="s">
        <v>492</v>
      </c>
      <c r="C24" s="180">
        <v>50</v>
      </c>
      <c r="D24" s="155" t="s">
        <v>50</v>
      </c>
    </row>
    <row r="25" spans="1:11" x14ac:dyDescent="0.3">
      <c r="A25" s="180">
        <v>50078</v>
      </c>
      <c r="B25" s="180" t="s">
        <v>822</v>
      </c>
      <c r="C25" s="180">
        <v>50</v>
      </c>
      <c r="D25" s="155" t="s">
        <v>50</v>
      </c>
    </row>
    <row r="26" spans="1:11" x14ac:dyDescent="0.3">
      <c r="A26" s="180">
        <v>50468</v>
      </c>
      <c r="B26" s="527" t="s">
        <v>824</v>
      </c>
      <c r="C26" s="180">
        <v>50</v>
      </c>
      <c r="D26" s="155" t="s">
        <v>50</v>
      </c>
      <c r="K26" s="527"/>
    </row>
    <row r="27" spans="1:11" x14ac:dyDescent="0.3">
      <c r="A27" s="180">
        <v>50086</v>
      </c>
      <c r="B27" s="180" t="s">
        <v>494</v>
      </c>
      <c r="C27" s="180">
        <v>50</v>
      </c>
      <c r="D27" s="155" t="s">
        <v>50</v>
      </c>
    </row>
    <row r="28" spans="1:11" x14ac:dyDescent="0.3">
      <c r="A28" s="180">
        <v>50087</v>
      </c>
      <c r="B28" s="180" t="s">
        <v>495</v>
      </c>
      <c r="C28" s="180">
        <v>50</v>
      </c>
      <c r="D28" s="155" t="s">
        <v>50</v>
      </c>
    </row>
    <row r="29" spans="1:11" x14ac:dyDescent="0.3">
      <c r="A29" s="180">
        <v>50091</v>
      </c>
      <c r="B29" s="527" t="s">
        <v>825</v>
      </c>
      <c r="C29" s="180">
        <v>50</v>
      </c>
      <c r="D29" s="155" t="s">
        <v>50</v>
      </c>
      <c r="K29" s="527"/>
    </row>
    <row r="30" spans="1:11" x14ac:dyDescent="0.3">
      <c r="A30" s="180">
        <v>50511</v>
      </c>
      <c r="B30" s="180" t="s">
        <v>1240</v>
      </c>
      <c r="C30" s="180">
        <v>50</v>
      </c>
      <c r="D30" s="155" t="s">
        <v>50</v>
      </c>
    </row>
    <row r="31" spans="1:11" x14ac:dyDescent="0.3">
      <c r="A31" s="180">
        <v>50095</v>
      </c>
      <c r="B31" s="180" t="s">
        <v>1245</v>
      </c>
      <c r="C31" s="180">
        <v>50</v>
      </c>
      <c r="D31" s="155" t="s">
        <v>50</v>
      </c>
    </row>
    <row r="32" spans="1:11" x14ac:dyDescent="0.3">
      <c r="A32" s="180">
        <v>50098</v>
      </c>
      <c r="B32" s="180" t="s">
        <v>826</v>
      </c>
      <c r="C32" s="180">
        <v>50</v>
      </c>
      <c r="D32" s="155" t="s">
        <v>50</v>
      </c>
    </row>
    <row r="33" spans="1:11" x14ac:dyDescent="0.3">
      <c r="A33" s="180">
        <v>50106</v>
      </c>
      <c r="B33" s="180" t="s">
        <v>497</v>
      </c>
      <c r="C33" s="180">
        <v>50</v>
      </c>
      <c r="D33" s="155" t="s">
        <v>50</v>
      </c>
    </row>
    <row r="34" spans="1:11" x14ac:dyDescent="0.3">
      <c r="A34" s="180">
        <v>50461</v>
      </c>
      <c r="B34" s="180" t="s">
        <v>1259</v>
      </c>
      <c r="C34" s="180">
        <v>50</v>
      </c>
      <c r="D34" s="155" t="s">
        <v>50</v>
      </c>
    </row>
    <row r="35" spans="1:11" x14ac:dyDescent="0.3">
      <c r="A35" s="180">
        <v>50116</v>
      </c>
      <c r="B35" s="180" t="s">
        <v>828</v>
      </c>
      <c r="C35" s="180">
        <v>50</v>
      </c>
      <c r="D35" s="155" t="s">
        <v>50</v>
      </c>
    </row>
    <row r="36" spans="1:11" x14ac:dyDescent="0.3">
      <c r="A36" s="180">
        <v>50117</v>
      </c>
      <c r="B36" s="180" t="s">
        <v>1264</v>
      </c>
      <c r="C36" s="180">
        <v>50</v>
      </c>
      <c r="D36" s="155" t="s">
        <v>50</v>
      </c>
    </row>
    <row r="37" spans="1:11" x14ac:dyDescent="0.3">
      <c r="A37" s="180">
        <v>50121</v>
      </c>
      <c r="B37" s="527" t="s">
        <v>502</v>
      </c>
      <c r="C37" s="180">
        <v>50</v>
      </c>
      <c r="D37" s="155" t="s">
        <v>50</v>
      </c>
      <c r="K37" s="527"/>
    </row>
    <row r="38" spans="1:11" x14ac:dyDescent="0.3">
      <c r="A38" s="180">
        <v>50122</v>
      </c>
      <c r="B38" s="180" t="s">
        <v>503</v>
      </c>
      <c r="C38" s="180">
        <v>50</v>
      </c>
      <c r="D38" s="155" t="s">
        <v>50</v>
      </c>
    </row>
    <row r="39" spans="1:11" x14ac:dyDescent="0.3">
      <c r="A39" s="180">
        <v>50125</v>
      </c>
      <c r="B39" s="180" t="s">
        <v>504</v>
      </c>
      <c r="C39" s="180">
        <v>50</v>
      </c>
      <c r="D39" s="155" t="s">
        <v>50</v>
      </c>
    </row>
    <row r="40" spans="1:11" x14ac:dyDescent="0.3">
      <c r="A40" s="180">
        <v>50127</v>
      </c>
      <c r="B40" s="180" t="s">
        <v>830</v>
      </c>
      <c r="C40" s="180">
        <v>50</v>
      </c>
      <c r="D40" s="155" t="s">
        <v>50</v>
      </c>
    </row>
    <row r="41" spans="1:11" x14ac:dyDescent="0.3">
      <c r="A41" s="180">
        <v>50128</v>
      </c>
      <c r="B41" s="527" t="s">
        <v>506</v>
      </c>
      <c r="C41" s="180">
        <v>50</v>
      </c>
      <c r="D41" s="155" t="s">
        <v>50</v>
      </c>
      <c r="K41" s="527"/>
    </row>
    <row r="42" spans="1:11" x14ac:dyDescent="0.3">
      <c r="A42" s="180">
        <v>50129</v>
      </c>
      <c r="B42" s="180" t="s">
        <v>507</v>
      </c>
      <c r="C42" s="180">
        <v>50</v>
      </c>
      <c r="D42" s="155" t="s">
        <v>50</v>
      </c>
    </row>
    <row r="43" spans="1:11" x14ac:dyDescent="0.3">
      <c r="A43" s="180">
        <v>50130</v>
      </c>
      <c r="B43" s="180" t="s">
        <v>508</v>
      </c>
      <c r="C43" s="180">
        <v>50</v>
      </c>
      <c r="D43" s="155" t="s">
        <v>50</v>
      </c>
    </row>
    <row r="44" spans="1:11" x14ac:dyDescent="0.3">
      <c r="A44" s="180">
        <v>50570</v>
      </c>
      <c r="B44" s="180" t="s">
        <v>509</v>
      </c>
      <c r="C44" s="180">
        <v>50</v>
      </c>
      <c r="D44" s="155" t="s">
        <v>50</v>
      </c>
    </row>
    <row r="45" spans="1:11" x14ac:dyDescent="0.3">
      <c r="A45" s="180">
        <v>50137</v>
      </c>
      <c r="B45" s="180" t="s">
        <v>1280</v>
      </c>
      <c r="C45" s="180">
        <v>50</v>
      </c>
      <c r="D45" s="155" t="s">
        <v>50</v>
      </c>
    </row>
    <row r="46" spans="1:11" x14ac:dyDescent="0.3">
      <c r="A46" s="180">
        <v>50549</v>
      </c>
      <c r="B46" s="180" t="s">
        <v>1281</v>
      </c>
      <c r="C46" s="180">
        <v>50</v>
      </c>
      <c r="D46" s="155" t="s">
        <v>50</v>
      </c>
    </row>
    <row r="47" spans="1:11" x14ac:dyDescent="0.3">
      <c r="A47" s="180">
        <v>50141</v>
      </c>
      <c r="B47" s="180" t="s">
        <v>1285</v>
      </c>
      <c r="C47" s="180">
        <v>50</v>
      </c>
      <c r="D47" s="155" t="s">
        <v>50</v>
      </c>
    </row>
    <row r="48" spans="1:11" x14ac:dyDescent="0.3">
      <c r="A48" s="180">
        <v>50142</v>
      </c>
      <c r="B48" s="180" t="s">
        <v>511</v>
      </c>
      <c r="C48" s="180">
        <v>50</v>
      </c>
      <c r="D48" s="155" t="s">
        <v>50</v>
      </c>
    </row>
    <row r="49" spans="1:11" x14ac:dyDescent="0.3">
      <c r="A49" s="180">
        <v>50143</v>
      </c>
      <c r="B49" s="180" t="s">
        <v>512</v>
      </c>
      <c r="C49" s="180">
        <v>50</v>
      </c>
      <c r="D49" s="155" t="s">
        <v>50</v>
      </c>
    </row>
    <row r="50" spans="1:11" x14ac:dyDescent="0.3">
      <c r="A50" s="180">
        <v>50492</v>
      </c>
      <c r="B50" s="180" t="s">
        <v>1287</v>
      </c>
      <c r="C50" s="180">
        <v>50</v>
      </c>
      <c r="D50" s="155" t="s">
        <v>50</v>
      </c>
    </row>
    <row r="51" spans="1:11" x14ac:dyDescent="0.3">
      <c r="A51" s="180">
        <v>50148</v>
      </c>
      <c r="B51" s="180" t="s">
        <v>390</v>
      </c>
      <c r="C51" s="180">
        <v>50</v>
      </c>
      <c r="D51" s="155" t="s">
        <v>50</v>
      </c>
    </row>
    <row r="52" spans="1:11" x14ac:dyDescent="0.3">
      <c r="A52" s="180">
        <v>50151</v>
      </c>
      <c r="B52" s="180" t="s">
        <v>831</v>
      </c>
      <c r="C52" s="180">
        <v>50</v>
      </c>
      <c r="D52" s="155" t="s">
        <v>50</v>
      </c>
    </row>
    <row r="53" spans="1:11" x14ac:dyDescent="0.3">
      <c r="A53" s="180">
        <v>50153</v>
      </c>
      <c r="B53" s="180" t="s">
        <v>513</v>
      </c>
      <c r="C53" s="180">
        <v>50</v>
      </c>
      <c r="D53" s="155" t="s">
        <v>50</v>
      </c>
    </row>
    <row r="54" spans="1:11" x14ac:dyDescent="0.3">
      <c r="A54" s="180">
        <v>50154</v>
      </c>
      <c r="B54" s="527" t="s">
        <v>514</v>
      </c>
      <c r="C54" s="180">
        <v>50</v>
      </c>
      <c r="D54" s="155" t="s">
        <v>50</v>
      </c>
      <c r="K54" s="527"/>
    </row>
    <row r="55" spans="1:11" x14ac:dyDescent="0.3">
      <c r="A55" s="180">
        <v>50517</v>
      </c>
      <c r="B55" s="180" t="s">
        <v>832</v>
      </c>
      <c r="C55" s="180">
        <v>50</v>
      </c>
      <c r="D55" s="155" t="s">
        <v>50</v>
      </c>
    </row>
    <row r="56" spans="1:11" x14ac:dyDescent="0.3">
      <c r="A56" s="180">
        <v>50448</v>
      </c>
      <c r="B56" s="180" t="s">
        <v>515</v>
      </c>
      <c r="C56" s="180">
        <v>50</v>
      </c>
      <c r="D56" s="155" t="s">
        <v>50</v>
      </c>
    </row>
    <row r="57" spans="1:11" x14ac:dyDescent="0.3">
      <c r="A57" s="180">
        <v>50162</v>
      </c>
      <c r="B57" s="180" t="s">
        <v>1301</v>
      </c>
      <c r="C57" s="180">
        <v>50</v>
      </c>
      <c r="D57" s="155" t="s">
        <v>50</v>
      </c>
    </row>
    <row r="58" spans="1:11" x14ac:dyDescent="0.3">
      <c r="A58" s="180">
        <v>50163</v>
      </c>
      <c r="B58" s="180" t="s">
        <v>516</v>
      </c>
      <c r="C58" s="180">
        <v>50</v>
      </c>
      <c r="D58" s="155" t="s">
        <v>50</v>
      </c>
    </row>
    <row r="59" spans="1:11" x14ac:dyDescent="0.3">
      <c r="A59" s="180">
        <v>50166</v>
      </c>
      <c r="B59" s="180" t="s">
        <v>518</v>
      </c>
      <c r="C59" s="180">
        <v>50</v>
      </c>
      <c r="D59" s="155" t="s">
        <v>50</v>
      </c>
    </row>
    <row r="60" spans="1:11" x14ac:dyDescent="0.3">
      <c r="A60" s="180">
        <v>50171</v>
      </c>
      <c r="B60" s="527" t="s">
        <v>833</v>
      </c>
      <c r="C60" s="180">
        <v>50</v>
      </c>
      <c r="D60" s="155" t="s">
        <v>50</v>
      </c>
      <c r="K60" s="527"/>
    </row>
    <row r="61" spans="1:11" x14ac:dyDescent="0.3">
      <c r="A61" s="180">
        <v>50177</v>
      </c>
      <c r="B61" s="180" t="s">
        <v>835</v>
      </c>
      <c r="C61" s="180">
        <v>50</v>
      </c>
      <c r="D61" s="155" t="s">
        <v>50</v>
      </c>
    </row>
    <row r="62" spans="1:11" x14ac:dyDescent="0.3">
      <c r="A62" s="180">
        <v>50181</v>
      </c>
      <c r="B62" s="527" t="s">
        <v>1314</v>
      </c>
      <c r="C62" s="180">
        <v>50</v>
      </c>
      <c r="D62" s="155" t="s">
        <v>50</v>
      </c>
      <c r="K62" s="527"/>
    </row>
    <row r="63" spans="1:11" x14ac:dyDescent="0.3">
      <c r="A63" s="180">
        <v>50183</v>
      </c>
      <c r="B63" s="527" t="s">
        <v>520</v>
      </c>
      <c r="C63" s="180">
        <v>50</v>
      </c>
      <c r="D63" s="155" t="s">
        <v>50</v>
      </c>
      <c r="K63" s="527"/>
    </row>
    <row r="64" spans="1:11" x14ac:dyDescent="0.3">
      <c r="A64" s="180">
        <v>50188</v>
      </c>
      <c r="B64" s="180" t="s">
        <v>1319</v>
      </c>
      <c r="C64" s="180">
        <v>50</v>
      </c>
      <c r="D64" s="155" t="s">
        <v>50</v>
      </c>
    </row>
    <row r="65" spans="1:11" x14ac:dyDescent="0.3">
      <c r="A65" s="180">
        <v>50476</v>
      </c>
      <c r="B65" s="180" t="s">
        <v>436</v>
      </c>
      <c r="C65" s="180">
        <v>50</v>
      </c>
      <c r="D65" s="155" t="s">
        <v>50</v>
      </c>
    </row>
    <row r="66" spans="1:11" x14ac:dyDescent="0.3">
      <c r="A66" s="180">
        <v>50192</v>
      </c>
      <c r="B66" s="180" t="s">
        <v>437</v>
      </c>
      <c r="C66" s="180">
        <v>50</v>
      </c>
      <c r="D66" s="155" t="s">
        <v>50</v>
      </c>
    </row>
    <row r="67" spans="1:11" x14ac:dyDescent="0.3">
      <c r="A67" s="180">
        <v>50195</v>
      </c>
      <c r="B67" s="180" t="s">
        <v>1324</v>
      </c>
      <c r="C67" s="180">
        <v>50</v>
      </c>
      <c r="D67" s="155" t="s">
        <v>50</v>
      </c>
    </row>
    <row r="68" spans="1:11" x14ac:dyDescent="0.3">
      <c r="A68" s="180">
        <v>50198</v>
      </c>
      <c r="B68" s="180" t="s">
        <v>1328</v>
      </c>
      <c r="C68" s="180">
        <v>50</v>
      </c>
      <c r="D68" s="155" t="s">
        <v>50</v>
      </c>
    </row>
    <row r="69" spans="1:11" x14ac:dyDescent="0.3">
      <c r="A69" s="180">
        <v>50200</v>
      </c>
      <c r="B69" s="180" t="s">
        <v>1330</v>
      </c>
      <c r="C69" s="180">
        <v>50</v>
      </c>
      <c r="D69" s="155" t="s">
        <v>50</v>
      </c>
    </row>
    <row r="70" spans="1:11" x14ac:dyDescent="0.3">
      <c r="A70" s="180">
        <v>50518</v>
      </c>
      <c r="B70" s="180" t="s">
        <v>438</v>
      </c>
      <c r="C70" s="180">
        <v>50</v>
      </c>
      <c r="D70" s="155" t="s">
        <v>50</v>
      </c>
    </row>
    <row r="71" spans="1:11" x14ac:dyDescent="0.3">
      <c r="A71" s="180">
        <v>50211</v>
      </c>
      <c r="B71" s="180" t="s">
        <v>1344</v>
      </c>
      <c r="C71" s="180">
        <v>50</v>
      </c>
      <c r="D71" s="155" t="s">
        <v>50</v>
      </c>
    </row>
    <row r="72" spans="1:11" x14ac:dyDescent="0.3">
      <c r="A72" s="180">
        <v>50220</v>
      </c>
      <c r="B72" s="180" t="s">
        <v>1355</v>
      </c>
      <c r="C72" s="180">
        <v>50</v>
      </c>
      <c r="D72" s="155" t="s">
        <v>50</v>
      </c>
    </row>
    <row r="73" spans="1:11" x14ac:dyDescent="0.3">
      <c r="A73" s="180">
        <v>50222</v>
      </c>
      <c r="B73" s="180" t="s">
        <v>1358</v>
      </c>
      <c r="C73" s="180">
        <v>50</v>
      </c>
      <c r="D73" s="155" t="s">
        <v>50</v>
      </c>
    </row>
    <row r="74" spans="1:11" x14ac:dyDescent="0.3">
      <c r="A74" s="180">
        <v>50224</v>
      </c>
      <c r="B74" s="180" t="s">
        <v>1360</v>
      </c>
      <c r="C74" s="180">
        <v>50</v>
      </c>
      <c r="D74" s="155" t="s">
        <v>50</v>
      </c>
    </row>
    <row r="75" spans="1:11" x14ac:dyDescent="0.3">
      <c r="A75" s="180">
        <v>50227</v>
      </c>
      <c r="B75" s="180" t="s">
        <v>1363</v>
      </c>
      <c r="C75" s="180">
        <v>50</v>
      </c>
      <c r="D75" s="155" t="s">
        <v>50</v>
      </c>
    </row>
    <row r="76" spans="1:11" x14ac:dyDescent="0.3">
      <c r="A76" s="180">
        <v>50231</v>
      </c>
      <c r="B76" s="180" t="s">
        <v>439</v>
      </c>
      <c r="C76" s="180">
        <v>50</v>
      </c>
      <c r="D76" s="155" t="s">
        <v>50</v>
      </c>
    </row>
    <row r="77" spans="1:11" x14ac:dyDescent="0.3">
      <c r="A77" s="180">
        <v>50233</v>
      </c>
      <c r="B77" s="527" t="s">
        <v>440</v>
      </c>
      <c r="C77" s="180">
        <v>50</v>
      </c>
      <c r="D77" s="155" t="s">
        <v>50</v>
      </c>
      <c r="K77" s="527"/>
    </row>
    <row r="78" spans="1:11" x14ac:dyDescent="0.3">
      <c r="A78" s="180">
        <v>50235</v>
      </c>
      <c r="B78" s="180" t="s">
        <v>441</v>
      </c>
      <c r="C78" s="180">
        <v>50</v>
      </c>
      <c r="D78" s="155" t="s">
        <v>50</v>
      </c>
    </row>
    <row r="79" spans="1:11" x14ac:dyDescent="0.3">
      <c r="A79" s="180">
        <v>50236</v>
      </c>
      <c r="B79" s="527" t="s">
        <v>442</v>
      </c>
      <c r="C79" s="180">
        <v>50</v>
      </c>
      <c r="D79" s="155" t="s">
        <v>50</v>
      </c>
      <c r="K79" s="527"/>
    </row>
    <row r="80" spans="1:11" x14ac:dyDescent="0.3">
      <c r="A80" s="180">
        <v>50238</v>
      </c>
      <c r="B80" s="180" t="s">
        <v>1369</v>
      </c>
      <c r="C80" s="180">
        <v>50</v>
      </c>
      <c r="D80" s="155" t="s">
        <v>50</v>
      </c>
    </row>
    <row r="81" spans="1:11" x14ac:dyDescent="0.3">
      <c r="A81" s="180">
        <v>50239</v>
      </c>
      <c r="B81" s="527" t="s">
        <v>443</v>
      </c>
      <c r="C81" s="180">
        <v>50</v>
      </c>
      <c r="D81" s="155" t="s">
        <v>50</v>
      </c>
      <c r="K81" s="527"/>
    </row>
    <row r="82" spans="1:11" x14ac:dyDescent="0.3">
      <c r="A82" s="180">
        <v>50245</v>
      </c>
      <c r="B82" s="180" t="s">
        <v>1377</v>
      </c>
      <c r="C82" s="180">
        <v>50</v>
      </c>
      <c r="D82" s="155" t="s">
        <v>50</v>
      </c>
    </row>
    <row r="83" spans="1:11" x14ac:dyDescent="0.3">
      <c r="A83" s="180">
        <v>50249</v>
      </c>
      <c r="B83" s="180" t="s">
        <v>444</v>
      </c>
      <c r="C83" s="180">
        <v>50</v>
      </c>
      <c r="D83" s="155" t="s">
        <v>50</v>
      </c>
    </row>
    <row r="84" spans="1:11" x14ac:dyDescent="0.3">
      <c r="A84" s="180">
        <v>50454</v>
      </c>
      <c r="B84" s="180" t="s">
        <v>1386</v>
      </c>
      <c r="C84" s="180">
        <v>50</v>
      </c>
      <c r="D84" s="155" t="s">
        <v>50</v>
      </c>
    </row>
    <row r="85" spans="1:11" x14ac:dyDescent="0.3">
      <c r="A85" s="180">
        <v>50254</v>
      </c>
      <c r="B85" s="180" t="s">
        <v>836</v>
      </c>
      <c r="C85" s="180">
        <v>50</v>
      </c>
      <c r="D85" s="155" t="s">
        <v>50</v>
      </c>
    </row>
    <row r="86" spans="1:11" x14ac:dyDescent="0.3">
      <c r="A86" s="180">
        <v>50256</v>
      </c>
      <c r="B86" s="180" t="s">
        <v>1387</v>
      </c>
      <c r="C86" s="180">
        <v>50</v>
      </c>
      <c r="D86" s="155" t="s">
        <v>50</v>
      </c>
    </row>
    <row r="87" spans="1:11" x14ac:dyDescent="0.3">
      <c r="A87" s="180">
        <v>50257</v>
      </c>
      <c r="B87" s="180" t="s">
        <v>524</v>
      </c>
      <c r="C87" s="180">
        <v>50</v>
      </c>
      <c r="D87" s="155" t="s">
        <v>50</v>
      </c>
    </row>
    <row r="88" spans="1:11" x14ac:dyDescent="0.3">
      <c r="A88" s="180">
        <v>50260</v>
      </c>
      <c r="B88" s="180" t="s">
        <v>525</v>
      </c>
      <c r="C88" s="180">
        <v>50</v>
      </c>
      <c r="D88" s="155" t="s">
        <v>50</v>
      </c>
    </row>
    <row r="89" spans="1:11" x14ac:dyDescent="0.3">
      <c r="A89" s="180">
        <v>50265</v>
      </c>
      <c r="B89" s="180" t="s">
        <v>1402</v>
      </c>
      <c r="C89" s="180">
        <v>50</v>
      </c>
      <c r="D89" s="155" t="s">
        <v>50</v>
      </c>
    </row>
    <row r="90" spans="1:11" x14ac:dyDescent="0.3">
      <c r="A90" s="180">
        <v>50269</v>
      </c>
      <c r="B90" s="180" t="s">
        <v>526</v>
      </c>
      <c r="C90" s="180">
        <v>50</v>
      </c>
      <c r="D90" s="155" t="s">
        <v>50</v>
      </c>
    </row>
    <row r="91" spans="1:11" x14ac:dyDescent="0.3">
      <c r="A91" s="180">
        <v>50480</v>
      </c>
      <c r="B91" s="180" t="s">
        <v>527</v>
      </c>
      <c r="C91" s="180">
        <v>50</v>
      </c>
      <c r="D91" s="155" t="s">
        <v>50</v>
      </c>
    </row>
    <row r="92" spans="1:11" x14ac:dyDescent="0.3">
      <c r="A92" s="180">
        <v>50276</v>
      </c>
      <c r="B92" s="527" t="s">
        <v>1412</v>
      </c>
      <c r="C92" s="180">
        <v>50</v>
      </c>
      <c r="D92" s="155" t="s">
        <v>50</v>
      </c>
      <c r="K92" s="527"/>
    </row>
    <row r="93" spans="1:11" x14ac:dyDescent="0.3">
      <c r="A93" s="180">
        <v>50278</v>
      </c>
      <c r="B93" s="180" t="s">
        <v>528</v>
      </c>
      <c r="C93" s="180">
        <v>50</v>
      </c>
      <c r="D93" s="155" t="s">
        <v>50</v>
      </c>
    </row>
    <row r="94" spans="1:11" x14ac:dyDescent="0.3">
      <c r="A94" s="180">
        <v>50280</v>
      </c>
      <c r="B94" s="180" t="s">
        <v>529</v>
      </c>
      <c r="C94" s="180">
        <v>50</v>
      </c>
      <c r="D94" s="155" t="s">
        <v>50</v>
      </c>
    </row>
    <row r="95" spans="1:11" x14ac:dyDescent="0.3">
      <c r="A95" s="180">
        <v>50281</v>
      </c>
      <c r="B95" s="180" t="s">
        <v>530</v>
      </c>
      <c r="C95" s="180">
        <v>50</v>
      </c>
      <c r="D95" s="155" t="s">
        <v>50</v>
      </c>
    </row>
    <row r="96" spans="1:11" x14ac:dyDescent="0.3">
      <c r="A96" s="180">
        <v>50283</v>
      </c>
      <c r="B96" s="180" t="s">
        <v>533</v>
      </c>
      <c r="C96" s="180">
        <v>50</v>
      </c>
      <c r="D96" s="155" t="s">
        <v>50</v>
      </c>
    </row>
    <row r="97" spans="1:11" x14ac:dyDescent="0.3">
      <c r="A97" s="180">
        <v>50285</v>
      </c>
      <c r="B97" s="180" t="s">
        <v>534</v>
      </c>
      <c r="C97" s="180">
        <v>50</v>
      </c>
      <c r="D97" s="155" t="s">
        <v>50</v>
      </c>
    </row>
    <row r="98" spans="1:11" x14ac:dyDescent="0.3">
      <c r="A98" s="180">
        <v>50288</v>
      </c>
      <c r="B98" s="180" t="s">
        <v>1422</v>
      </c>
      <c r="C98" s="180">
        <v>50</v>
      </c>
      <c r="D98" s="155" t="s">
        <v>50</v>
      </c>
    </row>
    <row r="99" spans="1:11" x14ac:dyDescent="0.3">
      <c r="A99" s="180">
        <v>50291</v>
      </c>
      <c r="B99" s="180" t="s">
        <v>1426</v>
      </c>
      <c r="C99" s="180">
        <v>50</v>
      </c>
      <c r="D99" s="155" t="s">
        <v>50</v>
      </c>
    </row>
    <row r="100" spans="1:11" x14ac:dyDescent="0.3">
      <c r="A100" s="180">
        <v>50293</v>
      </c>
      <c r="B100" s="180" t="s">
        <v>1428</v>
      </c>
      <c r="C100" s="180">
        <v>50</v>
      </c>
      <c r="D100" s="155" t="s">
        <v>50</v>
      </c>
    </row>
    <row r="101" spans="1:11" x14ac:dyDescent="0.3">
      <c r="A101" s="180">
        <v>50296</v>
      </c>
      <c r="B101" s="180" t="s">
        <v>536</v>
      </c>
      <c r="C101" s="180">
        <v>50</v>
      </c>
      <c r="D101" s="155" t="s">
        <v>50</v>
      </c>
    </row>
    <row r="102" spans="1:11" x14ac:dyDescent="0.3">
      <c r="A102" s="180">
        <v>50297</v>
      </c>
      <c r="B102" s="180" t="s">
        <v>537</v>
      </c>
      <c r="C102" s="180">
        <v>50</v>
      </c>
      <c r="D102" s="155" t="s">
        <v>50</v>
      </c>
    </row>
    <row r="103" spans="1:11" x14ac:dyDescent="0.3">
      <c r="A103" s="180">
        <v>50301</v>
      </c>
      <c r="B103" s="180" t="s">
        <v>1437</v>
      </c>
      <c r="C103" s="180">
        <v>50</v>
      </c>
      <c r="D103" s="155" t="s">
        <v>50</v>
      </c>
    </row>
    <row r="104" spans="1:11" x14ac:dyDescent="0.3">
      <c r="A104" s="180">
        <v>50305</v>
      </c>
      <c r="B104" s="180" t="s">
        <v>840</v>
      </c>
      <c r="C104" s="180">
        <v>50</v>
      </c>
      <c r="D104" s="155" t="s">
        <v>50</v>
      </c>
    </row>
    <row r="105" spans="1:11" x14ac:dyDescent="0.3">
      <c r="A105" s="180">
        <v>50479</v>
      </c>
      <c r="B105" s="180" t="s">
        <v>538</v>
      </c>
      <c r="C105" s="180">
        <v>50</v>
      </c>
      <c r="D105" s="155" t="s">
        <v>50</v>
      </c>
    </row>
    <row r="106" spans="1:11" x14ac:dyDescent="0.3">
      <c r="A106" s="180">
        <v>50307</v>
      </c>
      <c r="B106" s="527" t="s">
        <v>539</v>
      </c>
      <c r="C106" s="180">
        <v>50</v>
      </c>
      <c r="D106" s="155" t="s">
        <v>50</v>
      </c>
      <c r="K106" s="527"/>
    </row>
    <row r="107" spans="1:11" x14ac:dyDescent="0.3">
      <c r="A107" s="180">
        <v>50308</v>
      </c>
      <c r="B107" s="180" t="s">
        <v>1443</v>
      </c>
      <c r="C107" s="180">
        <v>50</v>
      </c>
      <c r="D107" s="155" t="s">
        <v>50</v>
      </c>
    </row>
    <row r="108" spans="1:11" x14ac:dyDescent="0.3">
      <c r="A108" s="180">
        <v>50310</v>
      </c>
      <c r="B108" s="527" t="s">
        <v>540</v>
      </c>
      <c r="C108" s="180">
        <v>50</v>
      </c>
      <c r="D108" s="155" t="s">
        <v>50</v>
      </c>
      <c r="K108" s="527"/>
    </row>
    <row r="109" spans="1:11" x14ac:dyDescent="0.3">
      <c r="A109" s="180">
        <v>50311</v>
      </c>
      <c r="B109" s="527" t="s">
        <v>541</v>
      </c>
      <c r="C109" s="180">
        <v>50</v>
      </c>
      <c r="D109" s="155" t="s">
        <v>50</v>
      </c>
      <c r="K109" s="527"/>
    </row>
    <row r="110" spans="1:11" x14ac:dyDescent="0.3">
      <c r="A110" s="180">
        <v>50314</v>
      </c>
      <c r="B110" s="180" t="s">
        <v>542</v>
      </c>
      <c r="C110" s="180">
        <v>50</v>
      </c>
      <c r="D110" s="155" t="s">
        <v>50</v>
      </c>
    </row>
    <row r="111" spans="1:11" x14ac:dyDescent="0.3">
      <c r="A111" s="180">
        <v>50316</v>
      </c>
      <c r="B111" s="180" t="s">
        <v>543</v>
      </c>
      <c r="C111" s="180">
        <v>50</v>
      </c>
      <c r="D111" s="155" t="s">
        <v>50</v>
      </c>
    </row>
    <row r="112" spans="1:11" x14ac:dyDescent="0.3">
      <c r="A112" s="180">
        <v>50318</v>
      </c>
      <c r="B112" s="180" t="s">
        <v>544</v>
      </c>
      <c r="C112" s="180">
        <v>50</v>
      </c>
      <c r="D112" s="155" t="s">
        <v>50</v>
      </c>
    </row>
    <row r="113" spans="1:11" x14ac:dyDescent="0.3">
      <c r="A113" s="180">
        <v>50323</v>
      </c>
      <c r="B113" s="180" t="s">
        <v>545</v>
      </c>
      <c r="C113" s="180">
        <v>50</v>
      </c>
      <c r="D113" s="155" t="s">
        <v>50</v>
      </c>
    </row>
    <row r="114" spans="1:11" x14ac:dyDescent="0.3">
      <c r="A114" s="180">
        <v>50321</v>
      </c>
      <c r="B114" s="180" t="s">
        <v>841</v>
      </c>
      <c r="C114" s="180">
        <v>50</v>
      </c>
      <c r="D114" s="155" t="s">
        <v>50</v>
      </c>
    </row>
    <row r="115" spans="1:11" x14ac:dyDescent="0.3">
      <c r="A115" s="180">
        <v>50325</v>
      </c>
      <c r="B115" s="527" t="s">
        <v>546</v>
      </c>
      <c r="C115" s="180">
        <v>50</v>
      </c>
      <c r="D115" s="155" t="s">
        <v>50</v>
      </c>
      <c r="K115" s="527"/>
    </row>
    <row r="116" spans="1:11" x14ac:dyDescent="0.3">
      <c r="A116" s="180">
        <v>50327</v>
      </c>
      <c r="B116" s="180" t="s">
        <v>547</v>
      </c>
      <c r="C116" s="180">
        <v>50</v>
      </c>
      <c r="D116" s="155" t="s">
        <v>50</v>
      </c>
    </row>
    <row r="117" spans="1:11" x14ac:dyDescent="0.3">
      <c r="A117" s="180">
        <v>50332</v>
      </c>
      <c r="B117" s="180" t="s">
        <v>548</v>
      </c>
      <c r="C117" s="180">
        <v>50</v>
      </c>
      <c r="D117" s="155" t="s">
        <v>50</v>
      </c>
    </row>
    <row r="118" spans="1:11" x14ac:dyDescent="0.3">
      <c r="A118" s="180">
        <v>50335</v>
      </c>
      <c r="B118" s="180" t="s">
        <v>1462</v>
      </c>
      <c r="C118" s="180">
        <v>50</v>
      </c>
      <c r="D118" s="155" t="s">
        <v>50</v>
      </c>
    </row>
    <row r="119" spans="1:11" x14ac:dyDescent="0.3">
      <c r="A119" s="180">
        <v>50337</v>
      </c>
      <c r="B119" s="180" t="s">
        <v>844</v>
      </c>
      <c r="C119" s="180">
        <v>50</v>
      </c>
      <c r="D119" s="155" t="s">
        <v>50</v>
      </c>
    </row>
    <row r="120" spans="1:11" x14ac:dyDescent="0.3">
      <c r="A120" s="180">
        <v>50338</v>
      </c>
      <c r="B120" s="180" t="s">
        <v>845</v>
      </c>
      <c r="C120" s="180">
        <v>50</v>
      </c>
      <c r="D120" s="155" t="s">
        <v>50</v>
      </c>
    </row>
    <row r="121" spans="1:11" x14ac:dyDescent="0.3">
      <c r="A121" s="180">
        <v>50339</v>
      </c>
      <c r="B121" s="180" t="s">
        <v>1463</v>
      </c>
      <c r="C121" s="180">
        <v>50</v>
      </c>
      <c r="D121" s="155" t="s">
        <v>50</v>
      </c>
    </row>
    <row r="122" spans="1:11" x14ac:dyDescent="0.3">
      <c r="A122" s="180">
        <v>50348</v>
      </c>
      <c r="B122" s="180" t="s">
        <v>550</v>
      </c>
      <c r="C122" s="180">
        <v>50</v>
      </c>
      <c r="D122" s="155" t="s">
        <v>50</v>
      </c>
    </row>
    <row r="123" spans="1:11" x14ac:dyDescent="0.3">
      <c r="A123" s="180">
        <v>50355</v>
      </c>
      <c r="B123" s="527" t="s">
        <v>552</v>
      </c>
      <c r="C123" s="180">
        <v>50</v>
      </c>
      <c r="D123" s="155" t="s">
        <v>50</v>
      </c>
      <c r="K123" s="527"/>
    </row>
    <row r="124" spans="1:11" x14ac:dyDescent="0.3">
      <c r="A124" s="180">
        <v>50357</v>
      </c>
      <c r="B124" s="180" t="s">
        <v>847</v>
      </c>
      <c r="C124" s="180">
        <v>50</v>
      </c>
      <c r="D124" s="155" t="s">
        <v>50</v>
      </c>
    </row>
    <row r="125" spans="1:11" x14ac:dyDescent="0.3">
      <c r="A125" s="180">
        <v>50365</v>
      </c>
      <c r="B125" s="180" t="s">
        <v>1490</v>
      </c>
      <c r="C125" s="180">
        <v>50</v>
      </c>
      <c r="D125" s="155" t="s">
        <v>50</v>
      </c>
    </row>
    <row r="126" spans="1:11" x14ac:dyDescent="0.3">
      <c r="A126" s="180">
        <v>50366</v>
      </c>
      <c r="B126" s="180" t="s">
        <v>1491</v>
      </c>
      <c r="C126" s="180">
        <v>50</v>
      </c>
      <c r="D126" s="155" t="s">
        <v>50</v>
      </c>
    </row>
    <row r="127" spans="1:11" x14ac:dyDescent="0.3">
      <c r="A127" s="180">
        <v>50369</v>
      </c>
      <c r="B127" s="527" t="s">
        <v>1493</v>
      </c>
      <c r="C127" s="180">
        <v>50</v>
      </c>
      <c r="D127" s="155" t="s">
        <v>50</v>
      </c>
      <c r="K127" s="527"/>
    </row>
    <row r="128" spans="1:11" x14ac:dyDescent="0.3">
      <c r="A128" s="180">
        <v>50370</v>
      </c>
      <c r="B128" s="180" t="s">
        <v>554</v>
      </c>
      <c r="C128" s="180">
        <v>50</v>
      </c>
      <c r="D128" s="155" t="s">
        <v>50</v>
      </c>
    </row>
    <row r="129" spans="1:11" x14ac:dyDescent="0.3">
      <c r="A129" s="180">
        <v>50371</v>
      </c>
      <c r="B129" s="180" t="s">
        <v>1494</v>
      </c>
      <c r="C129" s="180">
        <v>50</v>
      </c>
      <c r="D129" s="155" t="s">
        <v>50</v>
      </c>
    </row>
    <row r="130" spans="1:11" x14ac:dyDescent="0.3">
      <c r="A130" s="180">
        <v>50343</v>
      </c>
      <c r="B130" s="180" t="s">
        <v>1062</v>
      </c>
      <c r="C130" s="180">
        <v>50</v>
      </c>
      <c r="D130" s="155" t="s">
        <v>50</v>
      </c>
    </row>
    <row r="131" spans="1:11" x14ac:dyDescent="0.3">
      <c r="A131" s="180">
        <v>50372</v>
      </c>
      <c r="B131" s="527" t="s">
        <v>1063</v>
      </c>
      <c r="C131" s="180">
        <v>50</v>
      </c>
      <c r="D131" s="155" t="s">
        <v>50</v>
      </c>
      <c r="K131" s="527"/>
    </row>
    <row r="132" spans="1:11" x14ac:dyDescent="0.3">
      <c r="A132" s="180">
        <v>50457</v>
      </c>
      <c r="B132" s="180" t="s">
        <v>1064</v>
      </c>
      <c r="C132" s="180">
        <v>50</v>
      </c>
      <c r="D132" s="155" t="s">
        <v>50</v>
      </c>
    </row>
    <row r="133" spans="1:11" x14ac:dyDescent="0.3">
      <c r="A133" s="180">
        <v>50375</v>
      </c>
      <c r="B133" s="527" t="s">
        <v>1066</v>
      </c>
      <c r="C133" s="180">
        <v>50</v>
      </c>
      <c r="D133" s="155" t="s">
        <v>50</v>
      </c>
      <c r="K133" s="527"/>
    </row>
    <row r="134" spans="1:11" x14ac:dyDescent="0.3">
      <c r="A134" s="180">
        <v>50376</v>
      </c>
      <c r="B134" s="527" t="s">
        <v>1067</v>
      </c>
      <c r="C134" s="180">
        <v>50</v>
      </c>
      <c r="D134" s="155" t="s">
        <v>50</v>
      </c>
      <c r="K134" s="527"/>
    </row>
    <row r="135" spans="1:11" x14ac:dyDescent="0.3">
      <c r="A135" s="180">
        <v>50380</v>
      </c>
      <c r="B135" s="180" t="s">
        <v>1072</v>
      </c>
      <c r="C135" s="180">
        <v>50</v>
      </c>
      <c r="D135" s="155" t="s">
        <v>50</v>
      </c>
    </row>
    <row r="136" spans="1:11" x14ac:dyDescent="0.3">
      <c r="A136" s="180">
        <v>50389</v>
      </c>
      <c r="B136" s="180" t="s">
        <v>555</v>
      </c>
      <c r="C136" s="180">
        <v>50</v>
      </c>
      <c r="D136" s="155" t="s">
        <v>50</v>
      </c>
    </row>
    <row r="137" spans="1:11" x14ac:dyDescent="0.3">
      <c r="A137" s="180">
        <v>50500</v>
      </c>
      <c r="B137" s="527" t="s">
        <v>556</v>
      </c>
      <c r="C137" s="180">
        <v>50</v>
      </c>
      <c r="D137" s="155" t="s">
        <v>50</v>
      </c>
      <c r="K137" s="527"/>
    </row>
    <row r="138" spans="1:11" x14ac:dyDescent="0.3">
      <c r="A138" s="180">
        <v>50544</v>
      </c>
      <c r="B138" s="527" t="s">
        <v>1088</v>
      </c>
      <c r="C138" s="180">
        <v>50</v>
      </c>
      <c r="D138" s="155" t="s">
        <v>50</v>
      </c>
      <c r="K138" s="527"/>
    </row>
    <row r="139" spans="1:11" x14ac:dyDescent="0.3">
      <c r="A139" s="180">
        <v>50396</v>
      </c>
      <c r="B139" s="180" t="s">
        <v>557</v>
      </c>
      <c r="C139" s="180">
        <v>50</v>
      </c>
      <c r="D139" s="155" t="s">
        <v>50</v>
      </c>
    </row>
    <row r="140" spans="1:11" x14ac:dyDescent="0.3">
      <c r="A140" s="180">
        <v>50397</v>
      </c>
      <c r="B140" s="527" t="s">
        <v>1091</v>
      </c>
      <c r="C140" s="180">
        <v>50</v>
      </c>
      <c r="D140" s="155" t="s">
        <v>50</v>
      </c>
      <c r="K140" s="527"/>
    </row>
    <row r="141" spans="1:11" x14ac:dyDescent="0.3">
      <c r="A141" s="180">
        <v>50399</v>
      </c>
      <c r="B141" s="180" t="s">
        <v>559</v>
      </c>
      <c r="C141" s="180">
        <v>50</v>
      </c>
      <c r="D141" s="155" t="s">
        <v>50</v>
      </c>
    </row>
    <row r="142" spans="1:11" x14ac:dyDescent="0.3">
      <c r="A142" s="180">
        <v>50403</v>
      </c>
      <c r="B142" s="180" t="s">
        <v>1097</v>
      </c>
      <c r="C142" s="180">
        <v>50</v>
      </c>
      <c r="D142" s="155" t="s">
        <v>50</v>
      </c>
    </row>
    <row r="143" spans="1:11" x14ac:dyDescent="0.3">
      <c r="A143" s="180">
        <v>50486</v>
      </c>
      <c r="B143" s="180" t="s">
        <v>853</v>
      </c>
      <c r="C143" s="180">
        <v>50</v>
      </c>
      <c r="D143" s="155" t="s">
        <v>50</v>
      </c>
    </row>
    <row r="144" spans="1:11" x14ac:dyDescent="0.3">
      <c r="A144" s="180">
        <v>50408</v>
      </c>
      <c r="B144" s="180" t="s">
        <v>1103</v>
      </c>
      <c r="C144" s="180">
        <v>50</v>
      </c>
      <c r="D144" s="155" t="s">
        <v>50</v>
      </c>
    </row>
    <row r="145" spans="1:11" x14ac:dyDescent="0.3">
      <c r="A145" s="180">
        <v>50409</v>
      </c>
      <c r="B145" s="180" t="s">
        <v>854</v>
      </c>
      <c r="C145" s="180">
        <v>50</v>
      </c>
      <c r="D145" s="155" t="s">
        <v>50</v>
      </c>
    </row>
    <row r="146" spans="1:11" x14ac:dyDescent="0.3">
      <c r="A146" s="180">
        <v>50420</v>
      </c>
      <c r="B146" s="180" t="s">
        <v>561</v>
      </c>
      <c r="C146" s="180">
        <v>50</v>
      </c>
      <c r="D146" s="155" t="s">
        <v>50</v>
      </c>
    </row>
    <row r="147" spans="1:11" x14ac:dyDescent="0.3">
      <c r="A147" s="180">
        <v>50421</v>
      </c>
      <c r="B147" s="180" t="s">
        <v>855</v>
      </c>
      <c r="C147" s="180">
        <v>50</v>
      </c>
      <c r="D147" s="155" t="s">
        <v>50</v>
      </c>
    </row>
    <row r="148" spans="1:11" x14ac:dyDescent="0.3">
      <c r="A148" s="180">
        <v>50423</v>
      </c>
      <c r="B148" s="180" t="s">
        <v>562</v>
      </c>
      <c r="C148" s="180">
        <v>50</v>
      </c>
      <c r="D148" s="155" t="s">
        <v>50</v>
      </c>
    </row>
    <row r="149" spans="1:11" x14ac:dyDescent="0.3">
      <c r="A149" s="180">
        <v>50428</v>
      </c>
      <c r="B149" s="180" t="s">
        <v>1125</v>
      </c>
      <c r="C149" s="180">
        <v>50</v>
      </c>
      <c r="D149" s="155" t="s">
        <v>50</v>
      </c>
    </row>
    <row r="150" spans="1:11" x14ac:dyDescent="0.3">
      <c r="A150" s="180">
        <v>50499</v>
      </c>
      <c r="B150" s="180" t="s">
        <v>857</v>
      </c>
      <c r="C150" s="180">
        <v>50</v>
      </c>
      <c r="D150" s="155" t="s">
        <v>50</v>
      </c>
    </row>
    <row r="151" spans="1:11" x14ac:dyDescent="0.3">
      <c r="A151" s="180">
        <v>5103</v>
      </c>
      <c r="B151" s="180" t="s">
        <v>478</v>
      </c>
      <c r="C151" s="180">
        <v>51</v>
      </c>
      <c r="D151" s="155" t="s">
        <v>50</v>
      </c>
    </row>
    <row r="152" spans="1:11" x14ac:dyDescent="0.3">
      <c r="A152" s="180">
        <v>5107</v>
      </c>
      <c r="B152" s="528" t="s">
        <v>484</v>
      </c>
      <c r="C152" s="180">
        <v>51</v>
      </c>
      <c r="D152" s="155" t="s">
        <v>50</v>
      </c>
      <c r="K152" s="528"/>
    </row>
    <row r="153" spans="1:11" x14ac:dyDescent="0.3">
      <c r="A153" s="180">
        <v>5116</v>
      </c>
      <c r="B153" s="528" t="s">
        <v>858</v>
      </c>
      <c r="C153" s="180">
        <v>51</v>
      </c>
      <c r="D153" s="155" t="s">
        <v>50</v>
      </c>
      <c r="K153" s="528"/>
    </row>
    <row r="154" spans="1:11" x14ac:dyDescent="0.3">
      <c r="A154" s="180">
        <v>5119</v>
      </c>
      <c r="B154" s="180" t="s">
        <v>859</v>
      </c>
      <c r="C154" s="180">
        <v>51</v>
      </c>
      <c r="D154" s="155" t="s">
        <v>50</v>
      </c>
    </row>
    <row r="155" spans="1:11" x14ac:dyDescent="0.3">
      <c r="A155" s="180">
        <v>5123</v>
      </c>
      <c r="B155" s="527" t="s">
        <v>860</v>
      </c>
      <c r="C155" s="180">
        <v>51</v>
      </c>
      <c r="D155" s="155" t="s">
        <v>50</v>
      </c>
      <c r="K155" s="527"/>
    </row>
    <row r="156" spans="1:11" x14ac:dyDescent="0.3">
      <c r="A156" s="180">
        <v>5132</v>
      </c>
      <c r="B156" s="180" t="s">
        <v>501</v>
      </c>
      <c r="C156" s="180">
        <v>51</v>
      </c>
      <c r="D156" s="155" t="s">
        <v>50</v>
      </c>
    </row>
    <row r="157" spans="1:11" x14ac:dyDescent="0.3">
      <c r="A157" s="180">
        <v>5147</v>
      </c>
      <c r="B157" s="180" t="s">
        <v>523</v>
      </c>
      <c r="C157" s="180">
        <v>51</v>
      </c>
      <c r="D157" s="155" t="s">
        <v>50</v>
      </c>
    </row>
    <row r="158" spans="1:11" x14ac:dyDescent="0.3">
      <c r="A158" s="180">
        <v>5157</v>
      </c>
      <c r="B158" s="527" t="s">
        <v>861</v>
      </c>
      <c r="C158" s="180">
        <v>51</v>
      </c>
      <c r="D158" s="155" t="s">
        <v>50</v>
      </c>
      <c r="K158" s="527"/>
    </row>
    <row r="159" spans="1:11" x14ac:dyDescent="0.3">
      <c r="A159" s="180">
        <v>5165</v>
      </c>
      <c r="B159" s="180" t="s">
        <v>532</v>
      </c>
      <c r="C159" s="180">
        <v>51</v>
      </c>
      <c r="D159" s="155" t="s">
        <v>50</v>
      </c>
    </row>
    <row r="160" spans="1:11" x14ac:dyDescent="0.3">
      <c r="A160" s="180">
        <v>5170</v>
      </c>
      <c r="B160" s="527" t="s">
        <v>535</v>
      </c>
      <c r="C160" s="180">
        <v>51</v>
      </c>
      <c r="D160" s="155" t="s">
        <v>50</v>
      </c>
      <c r="K160" s="527"/>
    </row>
    <row r="161" spans="1:4" x14ac:dyDescent="0.3">
      <c r="A161" s="180">
        <v>5182</v>
      </c>
      <c r="B161" s="180" t="s">
        <v>549</v>
      </c>
      <c r="C161" s="180">
        <v>51</v>
      </c>
      <c r="D161" s="714" t="s">
        <v>50</v>
      </c>
    </row>
    <row r="162" spans="1:4" x14ac:dyDescent="0.3">
      <c r="A162" s="180">
        <v>5188</v>
      </c>
      <c r="B162" s="180" t="s">
        <v>558</v>
      </c>
      <c r="C162" s="180">
        <v>51</v>
      </c>
      <c r="D162" s="714" t="s">
        <v>50</v>
      </c>
    </row>
    <row r="163" spans="1:4" x14ac:dyDescent="0.3">
      <c r="A163" s="180">
        <v>591706</v>
      </c>
      <c r="B163" s="180" t="s">
        <v>862</v>
      </c>
      <c r="C163" s="180">
        <v>59</v>
      </c>
      <c r="D163" s="714" t="s">
        <v>50</v>
      </c>
    </row>
    <row r="164" spans="1:4" x14ac:dyDescent="0.3">
      <c r="A164" s="180">
        <v>591604</v>
      </c>
      <c r="B164" s="180" t="s">
        <v>493</v>
      </c>
      <c r="C164" s="180">
        <v>59</v>
      </c>
      <c r="D164" s="714" t="s">
        <v>50</v>
      </c>
    </row>
    <row r="165" spans="1:4" x14ac:dyDescent="0.3">
      <c r="A165" s="180">
        <v>591632</v>
      </c>
      <c r="B165" s="180" t="s">
        <v>505</v>
      </c>
      <c r="C165" s="180">
        <v>59</v>
      </c>
      <c r="D165" s="714" t="s">
        <v>50</v>
      </c>
    </row>
    <row r="166" spans="1:4" x14ac:dyDescent="0.3">
      <c r="A166" s="180">
        <v>591633</v>
      </c>
      <c r="B166" s="180" t="s">
        <v>863</v>
      </c>
      <c r="C166" s="180">
        <v>59</v>
      </c>
      <c r="D166" s="714" t="s">
        <v>50</v>
      </c>
    </row>
    <row r="167" spans="1:4" x14ac:dyDescent="0.3">
      <c r="A167" s="180">
        <v>591627</v>
      </c>
      <c r="B167" s="180" t="s">
        <v>1606</v>
      </c>
      <c r="C167" s="180">
        <v>59</v>
      </c>
      <c r="D167" s="714" t="s">
        <v>50</v>
      </c>
    </row>
    <row r="168" spans="1:4" x14ac:dyDescent="0.3">
      <c r="A168" s="180">
        <v>591629</v>
      </c>
      <c r="B168" s="180" t="s">
        <v>1607</v>
      </c>
      <c r="C168" s="180">
        <v>59</v>
      </c>
      <c r="D168" s="714" t="s">
        <v>50</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59C7-D101-4FF8-B13C-F4FADB068718}">
  <sheetPr codeName="Sheet13" filterMode="1"/>
  <dimension ref="A1:M109"/>
  <sheetViews>
    <sheetView workbookViewId="0">
      <selection activeCell="E117" sqref="E117"/>
    </sheetView>
  </sheetViews>
  <sheetFormatPr defaultRowHeight="14.4" x14ac:dyDescent="0.3"/>
  <cols>
    <col min="1" max="1" width="20.6640625" style="613" customWidth="1"/>
    <col min="2" max="2" width="24.6640625" style="613" customWidth="1"/>
    <col min="3" max="3" width="11.33203125" style="814" customWidth="1"/>
    <col min="4" max="4" width="12.109375" style="614" customWidth="1"/>
    <col min="5" max="5" width="14.33203125" style="614" customWidth="1"/>
    <col min="6" max="6" width="3.44140625" style="613" customWidth="1"/>
    <col min="7" max="7" width="17.33203125" style="613" customWidth="1"/>
    <col min="8" max="8" width="2.109375" style="613" customWidth="1"/>
    <col min="9" max="9" width="7.5546875" style="814" customWidth="1"/>
    <col min="10" max="10" width="12.109375" style="614" customWidth="1"/>
    <col min="11" max="11" width="14.33203125" style="614" customWidth="1"/>
    <col min="12" max="251" width="8.88671875" style="613"/>
    <col min="252" max="252" width="15.88671875" style="613" customWidth="1"/>
    <col min="253" max="253" width="2.109375" style="613" customWidth="1"/>
    <col min="254" max="254" width="7.5546875" style="613" customWidth="1"/>
    <col min="255" max="255" width="12.109375" style="613" customWidth="1"/>
    <col min="256" max="256" width="14.33203125" style="613" customWidth="1"/>
    <col min="257" max="257" width="3.44140625" style="613" customWidth="1"/>
    <col min="258" max="258" width="17.33203125" style="613" customWidth="1"/>
    <col min="259" max="259" width="2.109375" style="613" customWidth="1"/>
    <col min="260" max="260" width="7.5546875" style="613" customWidth="1"/>
    <col min="261" max="261" width="12.109375" style="613" customWidth="1"/>
    <col min="262" max="262" width="14.33203125" style="613" customWidth="1"/>
    <col min="263" max="263" width="42.5546875" style="613" customWidth="1"/>
    <col min="264" max="507" width="8.88671875" style="613"/>
    <col min="508" max="508" width="15.88671875" style="613" customWidth="1"/>
    <col min="509" max="509" width="2.109375" style="613" customWidth="1"/>
    <col min="510" max="510" width="7.5546875" style="613" customWidth="1"/>
    <col min="511" max="511" width="12.109375" style="613" customWidth="1"/>
    <col min="512" max="512" width="14.33203125" style="613" customWidth="1"/>
    <col min="513" max="513" width="3.44140625" style="613" customWidth="1"/>
    <col min="514" max="514" width="17.33203125" style="613" customWidth="1"/>
    <col min="515" max="515" width="2.109375" style="613" customWidth="1"/>
    <col min="516" max="516" width="7.5546875" style="613" customWidth="1"/>
    <col min="517" max="517" width="12.109375" style="613" customWidth="1"/>
    <col min="518" max="518" width="14.33203125" style="613" customWidth="1"/>
    <col min="519" max="519" width="42.5546875" style="613" customWidth="1"/>
    <col min="520" max="763" width="8.88671875" style="613"/>
    <col min="764" max="764" width="15.88671875" style="613" customWidth="1"/>
    <col min="765" max="765" width="2.109375" style="613" customWidth="1"/>
    <col min="766" max="766" width="7.5546875" style="613" customWidth="1"/>
    <col min="767" max="767" width="12.109375" style="613" customWidth="1"/>
    <col min="768" max="768" width="14.33203125" style="613" customWidth="1"/>
    <col min="769" max="769" width="3.44140625" style="613" customWidth="1"/>
    <col min="770" max="770" width="17.33203125" style="613" customWidth="1"/>
    <col min="771" max="771" width="2.109375" style="613" customWidth="1"/>
    <col min="772" max="772" width="7.5546875" style="613" customWidth="1"/>
    <col min="773" max="773" width="12.109375" style="613" customWidth="1"/>
    <col min="774" max="774" width="14.33203125" style="613" customWidth="1"/>
    <col min="775" max="775" width="42.5546875" style="613" customWidth="1"/>
    <col min="776" max="1019" width="8.88671875" style="613"/>
    <col min="1020" max="1020" width="15.88671875" style="613" customWidth="1"/>
    <col min="1021" max="1021" width="2.109375" style="613" customWidth="1"/>
    <col min="1022" max="1022" width="7.5546875" style="613" customWidth="1"/>
    <col min="1023" max="1023" width="12.109375" style="613" customWidth="1"/>
    <col min="1024" max="1024" width="14.33203125" style="613" customWidth="1"/>
    <col min="1025" max="1025" width="3.44140625" style="613" customWidth="1"/>
    <col min="1026" max="1026" width="17.33203125" style="613" customWidth="1"/>
    <col min="1027" max="1027" width="2.109375" style="613" customWidth="1"/>
    <col min="1028" max="1028" width="7.5546875" style="613" customWidth="1"/>
    <col min="1029" max="1029" width="12.109375" style="613" customWidth="1"/>
    <col min="1030" max="1030" width="14.33203125" style="613" customWidth="1"/>
    <col min="1031" max="1031" width="42.5546875" style="613" customWidth="1"/>
    <col min="1032" max="1275" width="8.88671875" style="613"/>
    <col min="1276" max="1276" width="15.88671875" style="613" customWidth="1"/>
    <col min="1277" max="1277" width="2.109375" style="613" customWidth="1"/>
    <col min="1278" max="1278" width="7.5546875" style="613" customWidth="1"/>
    <col min="1279" max="1279" width="12.109375" style="613" customWidth="1"/>
    <col min="1280" max="1280" width="14.33203125" style="613" customWidth="1"/>
    <col min="1281" max="1281" width="3.44140625" style="613" customWidth="1"/>
    <col min="1282" max="1282" width="17.33203125" style="613" customWidth="1"/>
    <col min="1283" max="1283" width="2.109375" style="613" customWidth="1"/>
    <col min="1284" max="1284" width="7.5546875" style="613" customWidth="1"/>
    <col min="1285" max="1285" width="12.109375" style="613" customWidth="1"/>
    <col min="1286" max="1286" width="14.33203125" style="613" customWidth="1"/>
    <col min="1287" max="1287" width="42.5546875" style="613" customWidth="1"/>
    <col min="1288" max="1531" width="8.88671875" style="613"/>
    <col min="1532" max="1532" width="15.88671875" style="613" customWidth="1"/>
    <col min="1533" max="1533" width="2.109375" style="613" customWidth="1"/>
    <col min="1534" max="1534" width="7.5546875" style="613" customWidth="1"/>
    <col min="1535" max="1535" width="12.109375" style="613" customWidth="1"/>
    <col min="1536" max="1536" width="14.33203125" style="613" customWidth="1"/>
    <col min="1537" max="1537" width="3.44140625" style="613" customWidth="1"/>
    <col min="1538" max="1538" width="17.33203125" style="613" customWidth="1"/>
    <col min="1539" max="1539" width="2.109375" style="613" customWidth="1"/>
    <col min="1540" max="1540" width="7.5546875" style="613" customWidth="1"/>
    <col min="1541" max="1541" width="12.109375" style="613" customWidth="1"/>
    <col min="1542" max="1542" width="14.33203125" style="613" customWidth="1"/>
    <col min="1543" max="1543" width="42.5546875" style="613" customWidth="1"/>
    <col min="1544" max="1787" width="8.88671875" style="613"/>
    <col min="1788" max="1788" width="15.88671875" style="613" customWidth="1"/>
    <col min="1789" max="1789" width="2.109375" style="613" customWidth="1"/>
    <col min="1790" max="1790" width="7.5546875" style="613" customWidth="1"/>
    <col min="1791" max="1791" width="12.109375" style="613" customWidth="1"/>
    <col min="1792" max="1792" width="14.33203125" style="613" customWidth="1"/>
    <col min="1793" max="1793" width="3.44140625" style="613" customWidth="1"/>
    <col min="1794" max="1794" width="17.33203125" style="613" customWidth="1"/>
    <col min="1795" max="1795" width="2.109375" style="613" customWidth="1"/>
    <col min="1796" max="1796" width="7.5546875" style="613" customWidth="1"/>
    <col min="1797" max="1797" width="12.109375" style="613" customWidth="1"/>
    <col min="1798" max="1798" width="14.33203125" style="613" customWidth="1"/>
    <col min="1799" max="1799" width="42.5546875" style="613" customWidth="1"/>
    <col min="1800" max="2043" width="8.88671875" style="613"/>
    <col min="2044" max="2044" width="15.88671875" style="613" customWidth="1"/>
    <col min="2045" max="2045" width="2.109375" style="613" customWidth="1"/>
    <col min="2046" max="2046" width="7.5546875" style="613" customWidth="1"/>
    <col min="2047" max="2047" width="12.109375" style="613" customWidth="1"/>
    <col min="2048" max="2048" width="14.33203125" style="613" customWidth="1"/>
    <col min="2049" max="2049" width="3.44140625" style="613" customWidth="1"/>
    <col min="2050" max="2050" width="17.33203125" style="613" customWidth="1"/>
    <col min="2051" max="2051" width="2.109375" style="613" customWidth="1"/>
    <col min="2052" max="2052" width="7.5546875" style="613" customWidth="1"/>
    <col min="2053" max="2053" width="12.109375" style="613" customWidth="1"/>
    <col min="2054" max="2054" width="14.33203125" style="613" customWidth="1"/>
    <col min="2055" max="2055" width="42.5546875" style="613" customWidth="1"/>
    <col min="2056" max="2299" width="8.88671875" style="613"/>
    <col min="2300" max="2300" width="15.88671875" style="613" customWidth="1"/>
    <col min="2301" max="2301" width="2.109375" style="613" customWidth="1"/>
    <col min="2302" max="2302" width="7.5546875" style="613" customWidth="1"/>
    <col min="2303" max="2303" width="12.109375" style="613" customWidth="1"/>
    <col min="2304" max="2304" width="14.33203125" style="613" customWidth="1"/>
    <col min="2305" max="2305" width="3.44140625" style="613" customWidth="1"/>
    <col min="2306" max="2306" width="17.33203125" style="613" customWidth="1"/>
    <col min="2307" max="2307" width="2.109375" style="613" customWidth="1"/>
    <col min="2308" max="2308" width="7.5546875" style="613" customWidth="1"/>
    <col min="2309" max="2309" width="12.109375" style="613" customWidth="1"/>
    <col min="2310" max="2310" width="14.33203125" style="613" customWidth="1"/>
    <col min="2311" max="2311" width="42.5546875" style="613" customWidth="1"/>
    <col min="2312" max="2555" width="8.88671875" style="613"/>
    <col min="2556" max="2556" width="15.88671875" style="613" customWidth="1"/>
    <col min="2557" max="2557" width="2.109375" style="613" customWidth="1"/>
    <col min="2558" max="2558" width="7.5546875" style="613" customWidth="1"/>
    <col min="2559" max="2559" width="12.109375" style="613" customWidth="1"/>
    <col min="2560" max="2560" width="14.33203125" style="613" customWidth="1"/>
    <col min="2561" max="2561" width="3.44140625" style="613" customWidth="1"/>
    <col min="2562" max="2562" width="17.33203125" style="613" customWidth="1"/>
    <col min="2563" max="2563" width="2.109375" style="613" customWidth="1"/>
    <col min="2564" max="2564" width="7.5546875" style="613" customWidth="1"/>
    <col min="2565" max="2565" width="12.109375" style="613" customWidth="1"/>
    <col min="2566" max="2566" width="14.33203125" style="613" customWidth="1"/>
    <col min="2567" max="2567" width="42.5546875" style="613" customWidth="1"/>
    <col min="2568" max="2811" width="8.88671875" style="613"/>
    <col min="2812" max="2812" width="15.88671875" style="613" customWidth="1"/>
    <col min="2813" max="2813" width="2.109375" style="613" customWidth="1"/>
    <col min="2814" max="2814" width="7.5546875" style="613" customWidth="1"/>
    <col min="2815" max="2815" width="12.109375" style="613" customWidth="1"/>
    <col min="2816" max="2816" width="14.33203125" style="613" customWidth="1"/>
    <col min="2817" max="2817" width="3.44140625" style="613" customWidth="1"/>
    <col min="2818" max="2818" width="17.33203125" style="613" customWidth="1"/>
    <col min="2819" max="2819" width="2.109375" style="613" customWidth="1"/>
    <col min="2820" max="2820" width="7.5546875" style="613" customWidth="1"/>
    <col min="2821" max="2821" width="12.109375" style="613" customWidth="1"/>
    <col min="2822" max="2822" width="14.33203125" style="613" customWidth="1"/>
    <col min="2823" max="2823" width="42.5546875" style="613" customWidth="1"/>
    <col min="2824" max="3067" width="8.88671875" style="613"/>
    <col min="3068" max="3068" width="15.88671875" style="613" customWidth="1"/>
    <col min="3069" max="3069" width="2.109375" style="613" customWidth="1"/>
    <col min="3070" max="3070" width="7.5546875" style="613" customWidth="1"/>
    <col min="3071" max="3071" width="12.109375" style="613" customWidth="1"/>
    <col min="3072" max="3072" width="14.33203125" style="613" customWidth="1"/>
    <col min="3073" max="3073" width="3.44140625" style="613" customWidth="1"/>
    <col min="3074" max="3074" width="17.33203125" style="613" customWidth="1"/>
    <col min="3075" max="3075" width="2.109375" style="613" customWidth="1"/>
    <col min="3076" max="3076" width="7.5546875" style="613" customWidth="1"/>
    <col min="3077" max="3077" width="12.109375" style="613" customWidth="1"/>
    <col min="3078" max="3078" width="14.33203125" style="613" customWidth="1"/>
    <col min="3079" max="3079" width="42.5546875" style="613" customWidth="1"/>
    <col min="3080" max="3323" width="8.88671875" style="613"/>
    <col min="3324" max="3324" width="15.88671875" style="613" customWidth="1"/>
    <col min="3325" max="3325" width="2.109375" style="613" customWidth="1"/>
    <col min="3326" max="3326" width="7.5546875" style="613" customWidth="1"/>
    <col min="3327" max="3327" width="12.109375" style="613" customWidth="1"/>
    <col min="3328" max="3328" width="14.33203125" style="613" customWidth="1"/>
    <col min="3329" max="3329" width="3.44140625" style="613" customWidth="1"/>
    <col min="3330" max="3330" width="17.33203125" style="613" customWidth="1"/>
    <col min="3331" max="3331" width="2.109375" style="613" customWidth="1"/>
    <col min="3332" max="3332" width="7.5546875" style="613" customWidth="1"/>
    <col min="3333" max="3333" width="12.109375" style="613" customWidth="1"/>
    <col min="3334" max="3334" width="14.33203125" style="613" customWidth="1"/>
    <col min="3335" max="3335" width="42.5546875" style="613" customWidth="1"/>
    <col min="3336" max="3579" width="8.88671875" style="613"/>
    <col min="3580" max="3580" width="15.88671875" style="613" customWidth="1"/>
    <col min="3581" max="3581" width="2.109375" style="613" customWidth="1"/>
    <col min="3582" max="3582" width="7.5546875" style="613" customWidth="1"/>
    <col min="3583" max="3583" width="12.109375" style="613" customWidth="1"/>
    <col min="3584" max="3584" width="14.33203125" style="613" customWidth="1"/>
    <col min="3585" max="3585" width="3.44140625" style="613" customWidth="1"/>
    <col min="3586" max="3586" width="17.33203125" style="613" customWidth="1"/>
    <col min="3587" max="3587" width="2.109375" style="613" customWidth="1"/>
    <col min="3588" max="3588" width="7.5546875" style="613" customWidth="1"/>
    <col min="3589" max="3589" width="12.109375" style="613" customWidth="1"/>
    <col min="3590" max="3590" width="14.33203125" style="613" customWidth="1"/>
    <col min="3591" max="3591" width="42.5546875" style="613" customWidth="1"/>
    <col min="3592" max="3835" width="8.88671875" style="613"/>
    <col min="3836" max="3836" width="15.88671875" style="613" customWidth="1"/>
    <col min="3837" max="3837" width="2.109375" style="613" customWidth="1"/>
    <col min="3838" max="3838" width="7.5546875" style="613" customWidth="1"/>
    <col min="3839" max="3839" width="12.109375" style="613" customWidth="1"/>
    <col min="3840" max="3840" width="14.33203125" style="613" customWidth="1"/>
    <col min="3841" max="3841" width="3.44140625" style="613" customWidth="1"/>
    <col min="3842" max="3842" width="17.33203125" style="613" customWidth="1"/>
    <col min="3843" max="3843" width="2.109375" style="613" customWidth="1"/>
    <col min="3844" max="3844" width="7.5546875" style="613" customWidth="1"/>
    <col min="3845" max="3845" width="12.109375" style="613" customWidth="1"/>
    <col min="3846" max="3846" width="14.33203125" style="613" customWidth="1"/>
    <col min="3847" max="3847" width="42.5546875" style="613" customWidth="1"/>
    <col min="3848" max="4091" width="8.88671875" style="613"/>
    <col min="4092" max="4092" width="15.88671875" style="613" customWidth="1"/>
    <col min="4093" max="4093" width="2.109375" style="613" customWidth="1"/>
    <col min="4094" max="4094" width="7.5546875" style="613" customWidth="1"/>
    <col min="4095" max="4095" width="12.109375" style="613" customWidth="1"/>
    <col min="4096" max="4096" width="14.33203125" style="613" customWidth="1"/>
    <col min="4097" max="4097" width="3.44140625" style="613" customWidth="1"/>
    <col min="4098" max="4098" width="17.33203125" style="613" customWidth="1"/>
    <col min="4099" max="4099" width="2.109375" style="613" customWidth="1"/>
    <col min="4100" max="4100" width="7.5546875" style="613" customWidth="1"/>
    <col min="4101" max="4101" width="12.109375" style="613" customWidth="1"/>
    <col min="4102" max="4102" width="14.33203125" style="613" customWidth="1"/>
    <col min="4103" max="4103" width="42.5546875" style="613" customWidth="1"/>
    <col min="4104" max="4347" width="8.88671875" style="613"/>
    <col min="4348" max="4348" width="15.88671875" style="613" customWidth="1"/>
    <col min="4349" max="4349" width="2.109375" style="613" customWidth="1"/>
    <col min="4350" max="4350" width="7.5546875" style="613" customWidth="1"/>
    <col min="4351" max="4351" width="12.109375" style="613" customWidth="1"/>
    <col min="4352" max="4352" width="14.33203125" style="613" customWidth="1"/>
    <col min="4353" max="4353" width="3.44140625" style="613" customWidth="1"/>
    <col min="4354" max="4354" width="17.33203125" style="613" customWidth="1"/>
    <col min="4355" max="4355" width="2.109375" style="613" customWidth="1"/>
    <col min="4356" max="4356" width="7.5546875" style="613" customWidth="1"/>
    <col min="4357" max="4357" width="12.109375" style="613" customWidth="1"/>
    <col min="4358" max="4358" width="14.33203125" style="613" customWidth="1"/>
    <col min="4359" max="4359" width="42.5546875" style="613" customWidth="1"/>
    <col min="4360" max="4603" width="8.88671875" style="613"/>
    <col min="4604" max="4604" width="15.88671875" style="613" customWidth="1"/>
    <col min="4605" max="4605" width="2.109375" style="613" customWidth="1"/>
    <col min="4606" max="4606" width="7.5546875" style="613" customWidth="1"/>
    <col min="4607" max="4607" width="12.109375" style="613" customWidth="1"/>
    <col min="4608" max="4608" width="14.33203125" style="613" customWidth="1"/>
    <col min="4609" max="4609" width="3.44140625" style="613" customWidth="1"/>
    <col min="4610" max="4610" width="17.33203125" style="613" customWidth="1"/>
    <col min="4611" max="4611" width="2.109375" style="613" customWidth="1"/>
    <col min="4612" max="4612" width="7.5546875" style="613" customWidth="1"/>
    <col min="4613" max="4613" width="12.109375" style="613" customWidth="1"/>
    <col min="4614" max="4614" width="14.33203125" style="613" customWidth="1"/>
    <col min="4615" max="4615" width="42.5546875" style="613" customWidth="1"/>
    <col min="4616" max="4859" width="8.88671875" style="613"/>
    <col min="4860" max="4860" width="15.88671875" style="613" customWidth="1"/>
    <col min="4861" max="4861" width="2.109375" style="613" customWidth="1"/>
    <col min="4862" max="4862" width="7.5546875" style="613" customWidth="1"/>
    <col min="4863" max="4863" width="12.109375" style="613" customWidth="1"/>
    <col min="4864" max="4864" width="14.33203125" style="613" customWidth="1"/>
    <col min="4865" max="4865" width="3.44140625" style="613" customWidth="1"/>
    <col min="4866" max="4866" width="17.33203125" style="613" customWidth="1"/>
    <col min="4867" max="4867" width="2.109375" style="613" customWidth="1"/>
    <col min="4868" max="4868" width="7.5546875" style="613" customWidth="1"/>
    <col min="4869" max="4869" width="12.109375" style="613" customWidth="1"/>
    <col min="4870" max="4870" width="14.33203125" style="613" customWidth="1"/>
    <col min="4871" max="4871" width="42.5546875" style="613" customWidth="1"/>
    <col min="4872" max="5115" width="8.88671875" style="613"/>
    <col min="5116" max="5116" width="15.88671875" style="613" customWidth="1"/>
    <col min="5117" max="5117" width="2.109375" style="613" customWidth="1"/>
    <col min="5118" max="5118" width="7.5546875" style="613" customWidth="1"/>
    <col min="5119" max="5119" width="12.109375" style="613" customWidth="1"/>
    <col min="5120" max="5120" width="14.33203125" style="613" customWidth="1"/>
    <col min="5121" max="5121" width="3.44140625" style="613" customWidth="1"/>
    <col min="5122" max="5122" width="17.33203125" style="613" customWidth="1"/>
    <col min="5123" max="5123" width="2.109375" style="613" customWidth="1"/>
    <col min="5124" max="5124" width="7.5546875" style="613" customWidth="1"/>
    <col min="5125" max="5125" width="12.109375" style="613" customWidth="1"/>
    <col min="5126" max="5126" width="14.33203125" style="613" customWidth="1"/>
    <col min="5127" max="5127" width="42.5546875" style="613" customWidth="1"/>
    <col min="5128" max="5371" width="8.88671875" style="613"/>
    <col min="5372" max="5372" width="15.88671875" style="613" customWidth="1"/>
    <col min="5373" max="5373" width="2.109375" style="613" customWidth="1"/>
    <col min="5374" max="5374" width="7.5546875" style="613" customWidth="1"/>
    <col min="5375" max="5375" width="12.109375" style="613" customWidth="1"/>
    <col min="5376" max="5376" width="14.33203125" style="613" customWidth="1"/>
    <col min="5377" max="5377" width="3.44140625" style="613" customWidth="1"/>
    <col min="5378" max="5378" width="17.33203125" style="613" customWidth="1"/>
    <col min="5379" max="5379" width="2.109375" style="613" customWidth="1"/>
    <col min="5380" max="5380" width="7.5546875" style="613" customWidth="1"/>
    <col min="5381" max="5381" width="12.109375" style="613" customWidth="1"/>
    <col min="5382" max="5382" width="14.33203125" style="613" customWidth="1"/>
    <col min="5383" max="5383" width="42.5546875" style="613" customWidth="1"/>
    <col min="5384" max="5627" width="8.88671875" style="613"/>
    <col min="5628" max="5628" width="15.88671875" style="613" customWidth="1"/>
    <col min="5629" max="5629" width="2.109375" style="613" customWidth="1"/>
    <col min="5630" max="5630" width="7.5546875" style="613" customWidth="1"/>
    <col min="5631" max="5631" width="12.109375" style="613" customWidth="1"/>
    <col min="5632" max="5632" width="14.33203125" style="613" customWidth="1"/>
    <col min="5633" max="5633" width="3.44140625" style="613" customWidth="1"/>
    <col min="5634" max="5634" width="17.33203125" style="613" customWidth="1"/>
    <col min="5635" max="5635" width="2.109375" style="613" customWidth="1"/>
    <col min="5636" max="5636" width="7.5546875" style="613" customWidth="1"/>
    <col min="5637" max="5637" width="12.109375" style="613" customWidth="1"/>
    <col min="5638" max="5638" width="14.33203125" style="613" customWidth="1"/>
    <col min="5639" max="5639" width="42.5546875" style="613" customWidth="1"/>
    <col min="5640" max="5883" width="8.88671875" style="613"/>
    <col min="5884" max="5884" width="15.88671875" style="613" customWidth="1"/>
    <col min="5885" max="5885" width="2.109375" style="613" customWidth="1"/>
    <col min="5886" max="5886" width="7.5546875" style="613" customWidth="1"/>
    <col min="5887" max="5887" width="12.109375" style="613" customWidth="1"/>
    <col min="5888" max="5888" width="14.33203125" style="613" customWidth="1"/>
    <col min="5889" max="5889" width="3.44140625" style="613" customWidth="1"/>
    <col min="5890" max="5890" width="17.33203125" style="613" customWidth="1"/>
    <col min="5891" max="5891" width="2.109375" style="613" customWidth="1"/>
    <col min="5892" max="5892" width="7.5546875" style="613" customWidth="1"/>
    <col min="5893" max="5893" width="12.109375" style="613" customWidth="1"/>
    <col min="5894" max="5894" width="14.33203125" style="613" customWidth="1"/>
    <col min="5895" max="5895" width="42.5546875" style="613" customWidth="1"/>
    <col min="5896" max="6139" width="8.88671875" style="613"/>
    <col min="6140" max="6140" width="15.88671875" style="613" customWidth="1"/>
    <col min="6141" max="6141" width="2.109375" style="613" customWidth="1"/>
    <col min="6142" max="6142" width="7.5546875" style="613" customWidth="1"/>
    <col min="6143" max="6143" width="12.109375" style="613" customWidth="1"/>
    <col min="6144" max="6144" width="14.33203125" style="613" customWidth="1"/>
    <col min="6145" max="6145" width="3.44140625" style="613" customWidth="1"/>
    <col min="6146" max="6146" width="17.33203125" style="613" customWidth="1"/>
    <col min="6147" max="6147" width="2.109375" style="613" customWidth="1"/>
    <col min="6148" max="6148" width="7.5546875" style="613" customWidth="1"/>
    <col min="6149" max="6149" width="12.109375" style="613" customWidth="1"/>
    <col min="6150" max="6150" width="14.33203125" style="613" customWidth="1"/>
    <col min="6151" max="6151" width="42.5546875" style="613" customWidth="1"/>
    <col min="6152" max="6395" width="8.88671875" style="613"/>
    <col min="6396" max="6396" width="15.88671875" style="613" customWidth="1"/>
    <col min="6397" max="6397" width="2.109375" style="613" customWidth="1"/>
    <col min="6398" max="6398" width="7.5546875" style="613" customWidth="1"/>
    <col min="6399" max="6399" width="12.109375" style="613" customWidth="1"/>
    <col min="6400" max="6400" width="14.33203125" style="613" customWidth="1"/>
    <col min="6401" max="6401" width="3.44140625" style="613" customWidth="1"/>
    <col min="6402" max="6402" width="17.33203125" style="613" customWidth="1"/>
    <col min="6403" max="6403" width="2.109375" style="613" customWidth="1"/>
    <col min="6404" max="6404" width="7.5546875" style="613" customWidth="1"/>
    <col min="6405" max="6405" width="12.109375" style="613" customWidth="1"/>
    <col min="6406" max="6406" width="14.33203125" style="613" customWidth="1"/>
    <col min="6407" max="6407" width="42.5546875" style="613" customWidth="1"/>
    <col min="6408" max="6651" width="8.88671875" style="613"/>
    <col min="6652" max="6652" width="15.88671875" style="613" customWidth="1"/>
    <col min="6653" max="6653" width="2.109375" style="613" customWidth="1"/>
    <col min="6654" max="6654" width="7.5546875" style="613" customWidth="1"/>
    <col min="6655" max="6655" width="12.109375" style="613" customWidth="1"/>
    <col min="6656" max="6656" width="14.33203125" style="613" customWidth="1"/>
    <col min="6657" max="6657" width="3.44140625" style="613" customWidth="1"/>
    <col min="6658" max="6658" width="17.33203125" style="613" customWidth="1"/>
    <col min="6659" max="6659" width="2.109375" style="613" customWidth="1"/>
    <col min="6660" max="6660" width="7.5546875" style="613" customWidth="1"/>
    <col min="6661" max="6661" width="12.109375" style="613" customWidth="1"/>
    <col min="6662" max="6662" width="14.33203125" style="613" customWidth="1"/>
    <col min="6663" max="6663" width="42.5546875" style="613" customWidth="1"/>
    <col min="6664" max="6907" width="8.88671875" style="613"/>
    <col min="6908" max="6908" width="15.88671875" style="613" customWidth="1"/>
    <col min="6909" max="6909" width="2.109375" style="613" customWidth="1"/>
    <col min="6910" max="6910" width="7.5546875" style="613" customWidth="1"/>
    <col min="6911" max="6911" width="12.109375" style="613" customWidth="1"/>
    <col min="6912" max="6912" width="14.33203125" style="613" customWidth="1"/>
    <col min="6913" max="6913" width="3.44140625" style="613" customWidth="1"/>
    <col min="6914" max="6914" width="17.33203125" style="613" customWidth="1"/>
    <col min="6915" max="6915" width="2.109375" style="613" customWidth="1"/>
    <col min="6916" max="6916" width="7.5546875" style="613" customWidth="1"/>
    <col min="6917" max="6917" width="12.109375" style="613" customWidth="1"/>
    <col min="6918" max="6918" width="14.33203125" style="613" customWidth="1"/>
    <col min="6919" max="6919" width="42.5546875" style="613" customWidth="1"/>
    <col min="6920" max="7163" width="8.88671875" style="613"/>
    <col min="7164" max="7164" width="15.88671875" style="613" customWidth="1"/>
    <col min="7165" max="7165" width="2.109375" style="613" customWidth="1"/>
    <col min="7166" max="7166" width="7.5546875" style="613" customWidth="1"/>
    <col min="7167" max="7167" width="12.109375" style="613" customWidth="1"/>
    <col min="7168" max="7168" width="14.33203125" style="613" customWidth="1"/>
    <col min="7169" max="7169" width="3.44140625" style="613" customWidth="1"/>
    <col min="7170" max="7170" width="17.33203125" style="613" customWidth="1"/>
    <col min="7171" max="7171" width="2.109375" style="613" customWidth="1"/>
    <col min="7172" max="7172" width="7.5546875" style="613" customWidth="1"/>
    <col min="7173" max="7173" width="12.109375" style="613" customWidth="1"/>
    <col min="7174" max="7174" width="14.33203125" style="613" customWidth="1"/>
    <col min="7175" max="7175" width="42.5546875" style="613" customWidth="1"/>
    <col min="7176" max="7419" width="8.88671875" style="613"/>
    <col min="7420" max="7420" width="15.88671875" style="613" customWidth="1"/>
    <col min="7421" max="7421" width="2.109375" style="613" customWidth="1"/>
    <col min="7422" max="7422" width="7.5546875" style="613" customWidth="1"/>
    <col min="7423" max="7423" width="12.109375" style="613" customWidth="1"/>
    <col min="7424" max="7424" width="14.33203125" style="613" customWidth="1"/>
    <col min="7425" max="7425" width="3.44140625" style="613" customWidth="1"/>
    <col min="7426" max="7426" width="17.33203125" style="613" customWidth="1"/>
    <col min="7427" max="7427" width="2.109375" style="613" customWidth="1"/>
    <col min="7428" max="7428" width="7.5546875" style="613" customWidth="1"/>
    <col min="7429" max="7429" width="12.109375" style="613" customWidth="1"/>
    <col min="7430" max="7430" width="14.33203125" style="613" customWidth="1"/>
    <col min="7431" max="7431" width="42.5546875" style="613" customWidth="1"/>
    <col min="7432" max="7675" width="8.88671875" style="613"/>
    <col min="7676" max="7676" width="15.88671875" style="613" customWidth="1"/>
    <col min="7677" max="7677" width="2.109375" style="613" customWidth="1"/>
    <col min="7678" max="7678" width="7.5546875" style="613" customWidth="1"/>
    <col min="7679" max="7679" width="12.109375" style="613" customWidth="1"/>
    <col min="7680" max="7680" width="14.33203125" style="613" customWidth="1"/>
    <col min="7681" max="7681" width="3.44140625" style="613" customWidth="1"/>
    <col min="7682" max="7682" width="17.33203125" style="613" customWidth="1"/>
    <col min="7683" max="7683" width="2.109375" style="613" customWidth="1"/>
    <col min="7684" max="7684" width="7.5546875" style="613" customWidth="1"/>
    <col min="7685" max="7685" width="12.109375" style="613" customWidth="1"/>
    <col min="7686" max="7686" width="14.33203125" style="613" customWidth="1"/>
    <col min="7687" max="7687" width="42.5546875" style="613" customWidth="1"/>
    <col min="7688" max="7931" width="8.88671875" style="613"/>
    <col min="7932" max="7932" width="15.88671875" style="613" customWidth="1"/>
    <col min="7933" max="7933" width="2.109375" style="613" customWidth="1"/>
    <col min="7934" max="7934" width="7.5546875" style="613" customWidth="1"/>
    <col min="7935" max="7935" width="12.109375" style="613" customWidth="1"/>
    <col min="7936" max="7936" width="14.33203125" style="613" customWidth="1"/>
    <col min="7937" max="7937" width="3.44140625" style="613" customWidth="1"/>
    <col min="7938" max="7938" width="17.33203125" style="613" customWidth="1"/>
    <col min="7939" max="7939" width="2.109375" style="613" customWidth="1"/>
    <col min="7940" max="7940" width="7.5546875" style="613" customWidth="1"/>
    <col min="7941" max="7941" width="12.109375" style="613" customWidth="1"/>
    <col min="7942" max="7942" width="14.33203125" style="613" customWidth="1"/>
    <col min="7943" max="7943" width="42.5546875" style="613" customWidth="1"/>
    <col min="7944" max="8187" width="8.88671875" style="613"/>
    <col min="8188" max="8188" width="15.88671875" style="613" customWidth="1"/>
    <col min="8189" max="8189" width="2.109375" style="613" customWidth="1"/>
    <col min="8190" max="8190" width="7.5546875" style="613" customWidth="1"/>
    <col min="8191" max="8191" width="12.109375" style="613" customWidth="1"/>
    <col min="8192" max="8192" width="14.33203125" style="613" customWidth="1"/>
    <col min="8193" max="8193" width="3.44140625" style="613" customWidth="1"/>
    <col min="8194" max="8194" width="17.33203125" style="613" customWidth="1"/>
    <col min="8195" max="8195" width="2.109375" style="613" customWidth="1"/>
    <col min="8196" max="8196" width="7.5546875" style="613" customWidth="1"/>
    <col min="8197" max="8197" width="12.109375" style="613" customWidth="1"/>
    <col min="8198" max="8198" width="14.33203125" style="613" customWidth="1"/>
    <col min="8199" max="8199" width="42.5546875" style="613" customWidth="1"/>
    <col min="8200" max="8443" width="8.88671875" style="613"/>
    <col min="8444" max="8444" width="15.88671875" style="613" customWidth="1"/>
    <col min="8445" max="8445" width="2.109375" style="613" customWidth="1"/>
    <col min="8446" max="8446" width="7.5546875" style="613" customWidth="1"/>
    <col min="8447" max="8447" width="12.109375" style="613" customWidth="1"/>
    <col min="8448" max="8448" width="14.33203125" style="613" customWidth="1"/>
    <col min="8449" max="8449" width="3.44140625" style="613" customWidth="1"/>
    <col min="8450" max="8450" width="17.33203125" style="613" customWidth="1"/>
    <col min="8451" max="8451" width="2.109375" style="613" customWidth="1"/>
    <col min="8452" max="8452" width="7.5546875" style="613" customWidth="1"/>
    <col min="8453" max="8453" width="12.109375" style="613" customWidth="1"/>
    <col min="8454" max="8454" width="14.33203125" style="613" customWidth="1"/>
    <col min="8455" max="8455" width="42.5546875" style="613" customWidth="1"/>
    <col min="8456" max="8699" width="8.88671875" style="613"/>
    <col min="8700" max="8700" width="15.88671875" style="613" customWidth="1"/>
    <col min="8701" max="8701" width="2.109375" style="613" customWidth="1"/>
    <col min="8702" max="8702" width="7.5546875" style="613" customWidth="1"/>
    <col min="8703" max="8703" width="12.109375" style="613" customWidth="1"/>
    <col min="8704" max="8704" width="14.33203125" style="613" customWidth="1"/>
    <col min="8705" max="8705" width="3.44140625" style="613" customWidth="1"/>
    <col min="8706" max="8706" width="17.33203125" style="613" customWidth="1"/>
    <col min="8707" max="8707" width="2.109375" style="613" customWidth="1"/>
    <col min="8708" max="8708" width="7.5546875" style="613" customWidth="1"/>
    <col min="8709" max="8709" width="12.109375" style="613" customWidth="1"/>
    <col min="8710" max="8710" width="14.33203125" style="613" customWidth="1"/>
    <col min="8711" max="8711" width="42.5546875" style="613" customWidth="1"/>
    <col min="8712" max="8955" width="8.88671875" style="613"/>
    <col min="8956" max="8956" width="15.88671875" style="613" customWidth="1"/>
    <col min="8957" max="8957" width="2.109375" style="613" customWidth="1"/>
    <col min="8958" max="8958" width="7.5546875" style="613" customWidth="1"/>
    <col min="8959" max="8959" width="12.109375" style="613" customWidth="1"/>
    <col min="8960" max="8960" width="14.33203125" style="613" customWidth="1"/>
    <col min="8961" max="8961" width="3.44140625" style="613" customWidth="1"/>
    <col min="8962" max="8962" width="17.33203125" style="613" customWidth="1"/>
    <col min="8963" max="8963" width="2.109375" style="613" customWidth="1"/>
    <col min="8964" max="8964" width="7.5546875" style="613" customWidth="1"/>
    <col min="8965" max="8965" width="12.109375" style="613" customWidth="1"/>
    <col min="8966" max="8966" width="14.33203125" style="613" customWidth="1"/>
    <col min="8967" max="8967" width="42.5546875" style="613" customWidth="1"/>
    <col min="8968" max="9211" width="8.88671875" style="613"/>
    <col min="9212" max="9212" width="15.88671875" style="613" customWidth="1"/>
    <col min="9213" max="9213" width="2.109375" style="613" customWidth="1"/>
    <col min="9214" max="9214" width="7.5546875" style="613" customWidth="1"/>
    <col min="9215" max="9215" width="12.109375" style="613" customWidth="1"/>
    <col min="9216" max="9216" width="14.33203125" style="613" customWidth="1"/>
    <col min="9217" max="9217" width="3.44140625" style="613" customWidth="1"/>
    <col min="9218" max="9218" width="17.33203125" style="613" customWidth="1"/>
    <col min="9219" max="9219" width="2.109375" style="613" customWidth="1"/>
    <col min="9220" max="9220" width="7.5546875" style="613" customWidth="1"/>
    <col min="9221" max="9221" width="12.109375" style="613" customWidth="1"/>
    <col min="9222" max="9222" width="14.33203125" style="613" customWidth="1"/>
    <col min="9223" max="9223" width="42.5546875" style="613" customWidth="1"/>
    <col min="9224" max="9467" width="8.88671875" style="613"/>
    <col min="9468" max="9468" width="15.88671875" style="613" customWidth="1"/>
    <col min="9469" max="9469" width="2.109375" style="613" customWidth="1"/>
    <col min="9470" max="9470" width="7.5546875" style="613" customWidth="1"/>
    <col min="9471" max="9471" width="12.109375" style="613" customWidth="1"/>
    <col min="9472" max="9472" width="14.33203125" style="613" customWidth="1"/>
    <col min="9473" max="9473" width="3.44140625" style="613" customWidth="1"/>
    <col min="9474" max="9474" width="17.33203125" style="613" customWidth="1"/>
    <col min="9475" max="9475" width="2.109375" style="613" customWidth="1"/>
    <col min="9476" max="9476" width="7.5546875" style="613" customWidth="1"/>
    <col min="9477" max="9477" width="12.109375" style="613" customWidth="1"/>
    <col min="9478" max="9478" width="14.33203125" style="613" customWidth="1"/>
    <col min="9479" max="9479" width="42.5546875" style="613" customWidth="1"/>
    <col min="9480" max="9723" width="8.88671875" style="613"/>
    <col min="9724" max="9724" width="15.88671875" style="613" customWidth="1"/>
    <col min="9725" max="9725" width="2.109375" style="613" customWidth="1"/>
    <col min="9726" max="9726" width="7.5546875" style="613" customWidth="1"/>
    <col min="9727" max="9727" width="12.109375" style="613" customWidth="1"/>
    <col min="9728" max="9728" width="14.33203125" style="613" customWidth="1"/>
    <col min="9729" max="9729" width="3.44140625" style="613" customWidth="1"/>
    <col min="9730" max="9730" width="17.33203125" style="613" customWidth="1"/>
    <col min="9731" max="9731" width="2.109375" style="613" customWidth="1"/>
    <col min="9732" max="9732" width="7.5546875" style="613" customWidth="1"/>
    <col min="9733" max="9733" width="12.109375" style="613" customWidth="1"/>
    <col min="9734" max="9734" width="14.33203125" style="613" customWidth="1"/>
    <col min="9735" max="9735" width="42.5546875" style="613" customWidth="1"/>
    <col min="9736" max="9979" width="8.88671875" style="613"/>
    <col min="9980" max="9980" width="15.88671875" style="613" customWidth="1"/>
    <col min="9981" max="9981" width="2.109375" style="613" customWidth="1"/>
    <col min="9982" max="9982" width="7.5546875" style="613" customWidth="1"/>
    <col min="9983" max="9983" width="12.109375" style="613" customWidth="1"/>
    <col min="9984" max="9984" width="14.33203125" style="613" customWidth="1"/>
    <col min="9985" max="9985" width="3.44140625" style="613" customWidth="1"/>
    <col min="9986" max="9986" width="17.33203125" style="613" customWidth="1"/>
    <col min="9987" max="9987" width="2.109375" style="613" customWidth="1"/>
    <col min="9988" max="9988" width="7.5546875" style="613" customWidth="1"/>
    <col min="9989" max="9989" width="12.109375" style="613" customWidth="1"/>
    <col min="9990" max="9990" width="14.33203125" style="613" customWidth="1"/>
    <col min="9991" max="9991" width="42.5546875" style="613" customWidth="1"/>
    <col min="9992" max="10235" width="8.88671875" style="613"/>
    <col min="10236" max="10236" width="15.88671875" style="613" customWidth="1"/>
    <col min="10237" max="10237" width="2.109375" style="613" customWidth="1"/>
    <col min="10238" max="10238" width="7.5546875" style="613" customWidth="1"/>
    <col min="10239" max="10239" width="12.109375" style="613" customWidth="1"/>
    <col min="10240" max="10240" width="14.33203125" style="613" customWidth="1"/>
    <col min="10241" max="10241" width="3.44140625" style="613" customWidth="1"/>
    <col min="10242" max="10242" width="17.33203125" style="613" customWidth="1"/>
    <col min="10243" max="10243" width="2.109375" style="613" customWidth="1"/>
    <col min="10244" max="10244" width="7.5546875" style="613" customWidth="1"/>
    <col min="10245" max="10245" width="12.109375" style="613" customWidth="1"/>
    <col min="10246" max="10246" width="14.33203125" style="613" customWidth="1"/>
    <col min="10247" max="10247" width="42.5546875" style="613" customWidth="1"/>
    <col min="10248" max="10491" width="8.88671875" style="613"/>
    <col min="10492" max="10492" width="15.88671875" style="613" customWidth="1"/>
    <col min="10493" max="10493" width="2.109375" style="613" customWidth="1"/>
    <col min="10494" max="10494" width="7.5546875" style="613" customWidth="1"/>
    <col min="10495" max="10495" width="12.109375" style="613" customWidth="1"/>
    <col min="10496" max="10496" width="14.33203125" style="613" customWidth="1"/>
    <col min="10497" max="10497" width="3.44140625" style="613" customWidth="1"/>
    <col min="10498" max="10498" width="17.33203125" style="613" customWidth="1"/>
    <col min="10499" max="10499" width="2.109375" style="613" customWidth="1"/>
    <col min="10500" max="10500" width="7.5546875" style="613" customWidth="1"/>
    <col min="10501" max="10501" width="12.109375" style="613" customWidth="1"/>
    <col min="10502" max="10502" width="14.33203125" style="613" customWidth="1"/>
    <col min="10503" max="10503" width="42.5546875" style="613" customWidth="1"/>
    <col min="10504" max="10747" width="8.88671875" style="613"/>
    <col min="10748" max="10748" width="15.88671875" style="613" customWidth="1"/>
    <col min="10749" max="10749" width="2.109375" style="613" customWidth="1"/>
    <col min="10750" max="10750" width="7.5546875" style="613" customWidth="1"/>
    <col min="10751" max="10751" width="12.109375" style="613" customWidth="1"/>
    <col min="10752" max="10752" width="14.33203125" style="613" customWidth="1"/>
    <col min="10753" max="10753" width="3.44140625" style="613" customWidth="1"/>
    <col min="10754" max="10754" width="17.33203125" style="613" customWidth="1"/>
    <col min="10755" max="10755" width="2.109375" style="613" customWidth="1"/>
    <col min="10756" max="10756" width="7.5546875" style="613" customWidth="1"/>
    <col min="10757" max="10757" width="12.109375" style="613" customWidth="1"/>
    <col min="10758" max="10758" width="14.33203125" style="613" customWidth="1"/>
    <col min="10759" max="10759" width="42.5546875" style="613" customWidth="1"/>
    <col min="10760" max="11003" width="8.88671875" style="613"/>
    <col min="11004" max="11004" width="15.88671875" style="613" customWidth="1"/>
    <col min="11005" max="11005" width="2.109375" style="613" customWidth="1"/>
    <col min="11006" max="11006" width="7.5546875" style="613" customWidth="1"/>
    <col min="11007" max="11007" width="12.109375" style="613" customWidth="1"/>
    <col min="11008" max="11008" width="14.33203125" style="613" customWidth="1"/>
    <col min="11009" max="11009" width="3.44140625" style="613" customWidth="1"/>
    <col min="11010" max="11010" width="17.33203125" style="613" customWidth="1"/>
    <col min="11011" max="11011" width="2.109375" style="613" customWidth="1"/>
    <col min="11012" max="11012" width="7.5546875" style="613" customWidth="1"/>
    <col min="11013" max="11013" width="12.109375" style="613" customWidth="1"/>
    <col min="11014" max="11014" width="14.33203125" style="613" customWidth="1"/>
    <col min="11015" max="11015" width="42.5546875" style="613" customWidth="1"/>
    <col min="11016" max="11259" width="8.88671875" style="613"/>
    <col min="11260" max="11260" width="15.88671875" style="613" customWidth="1"/>
    <col min="11261" max="11261" width="2.109375" style="613" customWidth="1"/>
    <col min="11262" max="11262" width="7.5546875" style="613" customWidth="1"/>
    <col min="11263" max="11263" width="12.109375" style="613" customWidth="1"/>
    <col min="11264" max="11264" width="14.33203125" style="613" customWidth="1"/>
    <col min="11265" max="11265" width="3.44140625" style="613" customWidth="1"/>
    <col min="11266" max="11266" width="17.33203125" style="613" customWidth="1"/>
    <col min="11267" max="11267" width="2.109375" style="613" customWidth="1"/>
    <col min="11268" max="11268" width="7.5546875" style="613" customWidth="1"/>
    <col min="11269" max="11269" width="12.109375" style="613" customWidth="1"/>
    <col min="11270" max="11270" width="14.33203125" style="613" customWidth="1"/>
    <col min="11271" max="11271" width="42.5546875" style="613" customWidth="1"/>
    <col min="11272" max="11515" width="8.88671875" style="613"/>
    <col min="11516" max="11516" width="15.88671875" style="613" customWidth="1"/>
    <col min="11517" max="11517" width="2.109375" style="613" customWidth="1"/>
    <col min="11518" max="11518" width="7.5546875" style="613" customWidth="1"/>
    <col min="11519" max="11519" width="12.109375" style="613" customWidth="1"/>
    <col min="11520" max="11520" width="14.33203125" style="613" customWidth="1"/>
    <col min="11521" max="11521" width="3.44140625" style="613" customWidth="1"/>
    <col min="11522" max="11522" width="17.33203125" style="613" customWidth="1"/>
    <col min="11523" max="11523" width="2.109375" style="613" customWidth="1"/>
    <col min="11524" max="11524" width="7.5546875" style="613" customWidth="1"/>
    <col min="11525" max="11525" width="12.109375" style="613" customWidth="1"/>
    <col min="11526" max="11526" width="14.33203125" style="613" customWidth="1"/>
    <col min="11527" max="11527" width="42.5546875" style="613" customWidth="1"/>
    <col min="11528" max="11771" width="8.88671875" style="613"/>
    <col min="11772" max="11772" width="15.88671875" style="613" customWidth="1"/>
    <col min="11773" max="11773" width="2.109375" style="613" customWidth="1"/>
    <col min="11774" max="11774" width="7.5546875" style="613" customWidth="1"/>
    <col min="11775" max="11775" width="12.109375" style="613" customWidth="1"/>
    <col min="11776" max="11776" width="14.33203125" style="613" customWidth="1"/>
    <col min="11777" max="11777" width="3.44140625" style="613" customWidth="1"/>
    <col min="11778" max="11778" width="17.33203125" style="613" customWidth="1"/>
    <col min="11779" max="11779" width="2.109375" style="613" customWidth="1"/>
    <col min="11780" max="11780" width="7.5546875" style="613" customWidth="1"/>
    <col min="11781" max="11781" width="12.109375" style="613" customWidth="1"/>
    <col min="11782" max="11782" width="14.33203125" style="613" customWidth="1"/>
    <col min="11783" max="11783" width="42.5546875" style="613" customWidth="1"/>
    <col min="11784" max="12027" width="8.88671875" style="613"/>
    <col min="12028" max="12028" width="15.88671875" style="613" customWidth="1"/>
    <col min="12029" max="12029" width="2.109375" style="613" customWidth="1"/>
    <col min="12030" max="12030" width="7.5546875" style="613" customWidth="1"/>
    <col min="12031" max="12031" width="12.109375" style="613" customWidth="1"/>
    <col min="12032" max="12032" width="14.33203125" style="613" customWidth="1"/>
    <col min="12033" max="12033" width="3.44140625" style="613" customWidth="1"/>
    <col min="12034" max="12034" width="17.33203125" style="613" customWidth="1"/>
    <col min="12035" max="12035" width="2.109375" style="613" customWidth="1"/>
    <col min="12036" max="12036" width="7.5546875" style="613" customWidth="1"/>
    <col min="12037" max="12037" width="12.109375" style="613" customWidth="1"/>
    <col min="12038" max="12038" width="14.33203125" style="613" customWidth="1"/>
    <col min="12039" max="12039" width="42.5546875" style="613" customWidth="1"/>
    <col min="12040" max="12283" width="8.88671875" style="613"/>
    <col min="12284" max="12284" width="15.88671875" style="613" customWidth="1"/>
    <col min="12285" max="12285" width="2.109375" style="613" customWidth="1"/>
    <col min="12286" max="12286" width="7.5546875" style="613" customWidth="1"/>
    <col min="12287" max="12287" width="12.109375" style="613" customWidth="1"/>
    <col min="12288" max="12288" width="14.33203125" style="613" customWidth="1"/>
    <col min="12289" max="12289" width="3.44140625" style="613" customWidth="1"/>
    <col min="12290" max="12290" width="17.33203125" style="613" customWidth="1"/>
    <col min="12291" max="12291" width="2.109375" style="613" customWidth="1"/>
    <col min="12292" max="12292" width="7.5546875" style="613" customWidth="1"/>
    <col min="12293" max="12293" width="12.109375" style="613" customWidth="1"/>
    <col min="12294" max="12294" width="14.33203125" style="613" customWidth="1"/>
    <col min="12295" max="12295" width="42.5546875" style="613" customWidth="1"/>
    <col min="12296" max="12539" width="8.88671875" style="613"/>
    <col min="12540" max="12540" width="15.88671875" style="613" customWidth="1"/>
    <col min="12541" max="12541" width="2.109375" style="613" customWidth="1"/>
    <col min="12542" max="12542" width="7.5546875" style="613" customWidth="1"/>
    <col min="12543" max="12543" width="12.109375" style="613" customWidth="1"/>
    <col min="12544" max="12544" width="14.33203125" style="613" customWidth="1"/>
    <col min="12545" max="12545" width="3.44140625" style="613" customWidth="1"/>
    <col min="12546" max="12546" width="17.33203125" style="613" customWidth="1"/>
    <col min="12547" max="12547" width="2.109375" style="613" customWidth="1"/>
    <col min="12548" max="12548" width="7.5546875" style="613" customWidth="1"/>
    <col min="12549" max="12549" width="12.109375" style="613" customWidth="1"/>
    <col min="12550" max="12550" width="14.33203125" style="613" customWidth="1"/>
    <col min="12551" max="12551" width="42.5546875" style="613" customWidth="1"/>
    <col min="12552" max="12795" width="8.88671875" style="613"/>
    <col min="12796" max="12796" width="15.88671875" style="613" customWidth="1"/>
    <col min="12797" max="12797" width="2.109375" style="613" customWidth="1"/>
    <col min="12798" max="12798" width="7.5546875" style="613" customWidth="1"/>
    <col min="12799" max="12799" width="12.109375" style="613" customWidth="1"/>
    <col min="12800" max="12800" width="14.33203125" style="613" customWidth="1"/>
    <col min="12801" max="12801" width="3.44140625" style="613" customWidth="1"/>
    <col min="12802" max="12802" width="17.33203125" style="613" customWidth="1"/>
    <col min="12803" max="12803" width="2.109375" style="613" customWidth="1"/>
    <col min="12804" max="12804" width="7.5546875" style="613" customWidth="1"/>
    <col min="12805" max="12805" width="12.109375" style="613" customWidth="1"/>
    <col min="12806" max="12806" width="14.33203125" style="613" customWidth="1"/>
    <col min="12807" max="12807" width="42.5546875" style="613" customWidth="1"/>
    <col min="12808" max="13051" width="8.88671875" style="613"/>
    <col min="13052" max="13052" width="15.88671875" style="613" customWidth="1"/>
    <col min="13053" max="13053" width="2.109375" style="613" customWidth="1"/>
    <col min="13054" max="13054" width="7.5546875" style="613" customWidth="1"/>
    <col min="13055" max="13055" width="12.109375" style="613" customWidth="1"/>
    <col min="13056" max="13056" width="14.33203125" style="613" customWidth="1"/>
    <col min="13057" max="13057" width="3.44140625" style="613" customWidth="1"/>
    <col min="13058" max="13058" width="17.33203125" style="613" customWidth="1"/>
    <col min="13059" max="13059" width="2.109375" style="613" customWidth="1"/>
    <col min="13060" max="13060" width="7.5546875" style="613" customWidth="1"/>
    <col min="13061" max="13061" width="12.109375" style="613" customWidth="1"/>
    <col min="13062" max="13062" width="14.33203125" style="613" customWidth="1"/>
    <col min="13063" max="13063" width="42.5546875" style="613" customWidth="1"/>
    <col min="13064" max="13307" width="8.88671875" style="613"/>
    <col min="13308" max="13308" width="15.88671875" style="613" customWidth="1"/>
    <col min="13309" max="13309" width="2.109375" style="613" customWidth="1"/>
    <col min="13310" max="13310" width="7.5546875" style="613" customWidth="1"/>
    <col min="13311" max="13311" width="12.109375" style="613" customWidth="1"/>
    <col min="13312" max="13312" width="14.33203125" style="613" customWidth="1"/>
    <col min="13313" max="13313" width="3.44140625" style="613" customWidth="1"/>
    <col min="13314" max="13314" width="17.33203125" style="613" customWidth="1"/>
    <col min="13315" max="13315" width="2.109375" style="613" customWidth="1"/>
    <col min="13316" max="13316" width="7.5546875" style="613" customWidth="1"/>
    <col min="13317" max="13317" width="12.109375" style="613" customWidth="1"/>
    <col min="13318" max="13318" width="14.33203125" style="613" customWidth="1"/>
    <col min="13319" max="13319" width="42.5546875" style="613" customWidth="1"/>
    <col min="13320" max="13563" width="8.88671875" style="613"/>
    <col min="13564" max="13564" width="15.88671875" style="613" customWidth="1"/>
    <col min="13565" max="13565" width="2.109375" style="613" customWidth="1"/>
    <col min="13566" max="13566" width="7.5546875" style="613" customWidth="1"/>
    <col min="13567" max="13567" width="12.109375" style="613" customWidth="1"/>
    <col min="13568" max="13568" width="14.33203125" style="613" customWidth="1"/>
    <col min="13569" max="13569" width="3.44140625" style="613" customWidth="1"/>
    <col min="13570" max="13570" width="17.33203125" style="613" customWidth="1"/>
    <col min="13571" max="13571" width="2.109375" style="613" customWidth="1"/>
    <col min="13572" max="13572" width="7.5546875" style="613" customWidth="1"/>
    <col min="13573" max="13573" width="12.109375" style="613" customWidth="1"/>
    <col min="13574" max="13574" width="14.33203125" style="613" customWidth="1"/>
    <col min="13575" max="13575" width="42.5546875" style="613" customWidth="1"/>
    <col min="13576" max="13819" width="8.88671875" style="613"/>
    <col min="13820" max="13820" width="15.88671875" style="613" customWidth="1"/>
    <col min="13821" max="13821" width="2.109375" style="613" customWidth="1"/>
    <col min="13822" max="13822" width="7.5546875" style="613" customWidth="1"/>
    <col min="13823" max="13823" width="12.109375" style="613" customWidth="1"/>
    <col min="13824" max="13824" width="14.33203125" style="613" customWidth="1"/>
    <col min="13825" max="13825" width="3.44140625" style="613" customWidth="1"/>
    <col min="13826" max="13826" width="17.33203125" style="613" customWidth="1"/>
    <col min="13827" max="13827" width="2.109375" style="613" customWidth="1"/>
    <col min="13828" max="13828" width="7.5546875" style="613" customWidth="1"/>
    <col min="13829" max="13829" width="12.109375" style="613" customWidth="1"/>
    <col min="13830" max="13830" width="14.33203125" style="613" customWidth="1"/>
    <col min="13831" max="13831" width="42.5546875" style="613" customWidth="1"/>
    <col min="13832" max="14075" width="8.88671875" style="613"/>
    <col min="14076" max="14076" width="15.88671875" style="613" customWidth="1"/>
    <col min="14077" max="14077" width="2.109375" style="613" customWidth="1"/>
    <col min="14078" max="14078" width="7.5546875" style="613" customWidth="1"/>
    <col min="14079" max="14079" width="12.109375" style="613" customWidth="1"/>
    <col min="14080" max="14080" width="14.33203125" style="613" customWidth="1"/>
    <col min="14081" max="14081" width="3.44140625" style="613" customWidth="1"/>
    <col min="14082" max="14082" width="17.33203125" style="613" customWidth="1"/>
    <col min="14083" max="14083" width="2.109375" style="613" customWidth="1"/>
    <col min="14084" max="14084" width="7.5546875" style="613" customWidth="1"/>
    <col min="14085" max="14085" width="12.109375" style="613" customWidth="1"/>
    <col min="14086" max="14086" width="14.33203125" style="613" customWidth="1"/>
    <col min="14087" max="14087" width="42.5546875" style="613" customWidth="1"/>
    <col min="14088" max="14331" width="8.88671875" style="613"/>
    <col min="14332" max="14332" width="15.88671875" style="613" customWidth="1"/>
    <col min="14333" max="14333" width="2.109375" style="613" customWidth="1"/>
    <col min="14334" max="14334" width="7.5546875" style="613" customWidth="1"/>
    <col min="14335" max="14335" width="12.109375" style="613" customWidth="1"/>
    <col min="14336" max="14336" width="14.33203125" style="613" customWidth="1"/>
    <col min="14337" max="14337" width="3.44140625" style="613" customWidth="1"/>
    <col min="14338" max="14338" width="17.33203125" style="613" customWidth="1"/>
    <col min="14339" max="14339" width="2.109375" style="613" customWidth="1"/>
    <col min="14340" max="14340" width="7.5546875" style="613" customWidth="1"/>
    <col min="14341" max="14341" width="12.109375" style="613" customWidth="1"/>
    <col min="14342" max="14342" width="14.33203125" style="613" customWidth="1"/>
    <col min="14343" max="14343" width="42.5546875" style="613" customWidth="1"/>
    <col min="14344" max="14587" width="8.88671875" style="613"/>
    <col min="14588" max="14588" width="15.88671875" style="613" customWidth="1"/>
    <col min="14589" max="14589" width="2.109375" style="613" customWidth="1"/>
    <col min="14590" max="14590" width="7.5546875" style="613" customWidth="1"/>
    <col min="14591" max="14591" width="12.109375" style="613" customWidth="1"/>
    <col min="14592" max="14592" width="14.33203125" style="613" customWidth="1"/>
    <col min="14593" max="14593" width="3.44140625" style="613" customWidth="1"/>
    <col min="14594" max="14594" width="17.33203125" style="613" customWidth="1"/>
    <col min="14595" max="14595" width="2.109375" style="613" customWidth="1"/>
    <col min="14596" max="14596" width="7.5546875" style="613" customWidth="1"/>
    <col min="14597" max="14597" width="12.109375" style="613" customWidth="1"/>
    <col min="14598" max="14598" width="14.33203125" style="613" customWidth="1"/>
    <col min="14599" max="14599" width="42.5546875" style="613" customWidth="1"/>
    <col min="14600" max="14843" width="8.88671875" style="613"/>
    <col min="14844" max="14844" width="15.88671875" style="613" customWidth="1"/>
    <col min="14845" max="14845" width="2.109375" style="613" customWidth="1"/>
    <col min="14846" max="14846" width="7.5546875" style="613" customWidth="1"/>
    <col min="14847" max="14847" width="12.109375" style="613" customWidth="1"/>
    <col min="14848" max="14848" width="14.33203125" style="613" customWidth="1"/>
    <col min="14849" max="14849" width="3.44140625" style="613" customWidth="1"/>
    <col min="14850" max="14850" width="17.33203125" style="613" customWidth="1"/>
    <col min="14851" max="14851" width="2.109375" style="613" customWidth="1"/>
    <col min="14852" max="14852" width="7.5546875" style="613" customWidth="1"/>
    <col min="14853" max="14853" width="12.109375" style="613" customWidth="1"/>
    <col min="14854" max="14854" width="14.33203125" style="613" customWidth="1"/>
    <col min="14855" max="14855" width="42.5546875" style="613" customWidth="1"/>
    <col min="14856" max="15099" width="8.88671875" style="613"/>
    <col min="15100" max="15100" width="15.88671875" style="613" customWidth="1"/>
    <col min="15101" max="15101" width="2.109375" style="613" customWidth="1"/>
    <col min="15102" max="15102" width="7.5546875" style="613" customWidth="1"/>
    <col min="15103" max="15103" width="12.109375" style="613" customWidth="1"/>
    <col min="15104" max="15104" width="14.33203125" style="613" customWidth="1"/>
    <col min="15105" max="15105" width="3.44140625" style="613" customWidth="1"/>
    <col min="15106" max="15106" width="17.33203125" style="613" customWidth="1"/>
    <col min="15107" max="15107" width="2.109375" style="613" customWidth="1"/>
    <col min="15108" max="15108" width="7.5546875" style="613" customWidth="1"/>
    <col min="15109" max="15109" width="12.109375" style="613" customWidth="1"/>
    <col min="15110" max="15110" width="14.33203125" style="613" customWidth="1"/>
    <col min="15111" max="15111" width="42.5546875" style="613" customWidth="1"/>
    <col min="15112" max="15355" width="8.88671875" style="613"/>
    <col min="15356" max="15356" width="15.88671875" style="613" customWidth="1"/>
    <col min="15357" max="15357" width="2.109375" style="613" customWidth="1"/>
    <col min="15358" max="15358" width="7.5546875" style="613" customWidth="1"/>
    <col min="15359" max="15359" width="12.109375" style="613" customWidth="1"/>
    <col min="15360" max="15360" width="14.33203125" style="613" customWidth="1"/>
    <col min="15361" max="15361" width="3.44140625" style="613" customWidth="1"/>
    <col min="15362" max="15362" width="17.33203125" style="613" customWidth="1"/>
    <col min="15363" max="15363" width="2.109375" style="613" customWidth="1"/>
    <col min="15364" max="15364" width="7.5546875" style="613" customWidth="1"/>
    <col min="15365" max="15365" width="12.109375" style="613" customWidth="1"/>
    <col min="15366" max="15366" width="14.33203125" style="613" customWidth="1"/>
    <col min="15367" max="15367" width="42.5546875" style="613" customWidth="1"/>
    <col min="15368" max="15611" width="8.88671875" style="613"/>
    <col min="15612" max="15612" width="15.88671875" style="613" customWidth="1"/>
    <col min="15613" max="15613" width="2.109375" style="613" customWidth="1"/>
    <col min="15614" max="15614" width="7.5546875" style="613" customWidth="1"/>
    <col min="15615" max="15615" width="12.109375" style="613" customWidth="1"/>
    <col min="15616" max="15616" width="14.33203125" style="613" customWidth="1"/>
    <col min="15617" max="15617" width="3.44140625" style="613" customWidth="1"/>
    <col min="15618" max="15618" width="17.33203125" style="613" customWidth="1"/>
    <col min="15619" max="15619" width="2.109375" style="613" customWidth="1"/>
    <col min="15620" max="15620" width="7.5546875" style="613" customWidth="1"/>
    <col min="15621" max="15621" width="12.109375" style="613" customWidth="1"/>
    <col min="15622" max="15622" width="14.33203125" style="613" customWidth="1"/>
    <col min="15623" max="15623" width="42.5546875" style="613" customWidth="1"/>
    <col min="15624" max="15867" width="8.88671875" style="613"/>
    <col min="15868" max="15868" width="15.88671875" style="613" customWidth="1"/>
    <col min="15869" max="15869" width="2.109375" style="613" customWidth="1"/>
    <col min="15870" max="15870" width="7.5546875" style="613" customWidth="1"/>
    <col min="15871" max="15871" width="12.109375" style="613" customWidth="1"/>
    <col min="15872" max="15872" width="14.33203125" style="613" customWidth="1"/>
    <col min="15873" max="15873" width="3.44140625" style="613" customWidth="1"/>
    <col min="15874" max="15874" width="17.33203125" style="613" customWidth="1"/>
    <col min="15875" max="15875" width="2.109375" style="613" customWidth="1"/>
    <col min="15876" max="15876" width="7.5546875" style="613" customWidth="1"/>
    <col min="15877" max="15877" width="12.109375" style="613" customWidth="1"/>
    <col min="15878" max="15878" width="14.33203125" style="613" customWidth="1"/>
    <col min="15879" max="15879" width="42.5546875" style="613" customWidth="1"/>
    <col min="15880" max="16123" width="8.88671875" style="613"/>
    <col min="16124" max="16124" width="15.88671875" style="613" customWidth="1"/>
    <col min="16125" max="16125" width="2.109375" style="613" customWidth="1"/>
    <col min="16126" max="16126" width="7.5546875" style="613" customWidth="1"/>
    <col min="16127" max="16127" width="12.109375" style="613" customWidth="1"/>
    <col min="16128" max="16128" width="14.33203125" style="613" customWidth="1"/>
    <col min="16129" max="16129" width="3.44140625" style="613" customWidth="1"/>
    <col min="16130" max="16130" width="17.33203125" style="613" customWidth="1"/>
    <col min="16131" max="16131" width="2.109375" style="613" customWidth="1"/>
    <col min="16132" max="16132" width="7.5546875" style="613" customWidth="1"/>
    <col min="16133" max="16133" width="12.109375" style="613" customWidth="1"/>
    <col min="16134" max="16134" width="14.33203125" style="613" customWidth="1"/>
    <col min="16135" max="16135" width="42.5546875" style="613" customWidth="1"/>
    <col min="16136" max="16384" width="8.88671875" style="613"/>
  </cols>
  <sheetData>
    <row r="1" spans="1:13" x14ac:dyDescent="0.3">
      <c r="A1" s="810" t="s">
        <v>1738</v>
      </c>
      <c r="B1" s="810"/>
      <c r="C1" s="810"/>
      <c r="D1" s="810"/>
      <c r="E1" s="810"/>
      <c r="F1" s="810"/>
      <c r="G1" s="810"/>
      <c r="H1" s="810"/>
      <c r="I1" s="810"/>
      <c r="J1" s="810"/>
      <c r="K1" s="810"/>
      <c r="L1" s="810"/>
      <c r="M1" s="810"/>
    </row>
    <row r="2" spans="1:13" x14ac:dyDescent="0.3">
      <c r="A2" s="810" t="s">
        <v>615</v>
      </c>
      <c r="B2" s="810"/>
      <c r="C2" s="810"/>
      <c r="D2" s="810"/>
      <c r="E2" s="810"/>
      <c r="F2" s="810"/>
      <c r="G2" s="810"/>
      <c r="H2" s="810"/>
      <c r="I2" s="810"/>
      <c r="J2" s="810"/>
      <c r="K2" s="810"/>
      <c r="L2" s="810"/>
      <c r="M2" s="810"/>
    </row>
    <row r="3" spans="1:13" x14ac:dyDescent="0.3">
      <c r="A3" s="810" t="s">
        <v>616</v>
      </c>
      <c r="B3" s="810"/>
      <c r="C3" s="810"/>
      <c r="D3" s="810"/>
      <c r="E3" s="810"/>
      <c r="F3" s="810"/>
      <c r="G3" s="810"/>
      <c r="H3" s="810"/>
      <c r="I3" s="810"/>
      <c r="J3" s="810"/>
      <c r="K3" s="810"/>
      <c r="L3" s="810"/>
    </row>
    <row r="4" spans="1:13" x14ac:dyDescent="0.3">
      <c r="A4" s="810"/>
      <c r="B4" s="810"/>
      <c r="C4" s="811"/>
      <c r="D4" s="812"/>
      <c r="E4" s="812"/>
      <c r="F4" s="810"/>
      <c r="G4" s="180"/>
      <c r="H4" s="180"/>
      <c r="I4" s="180"/>
      <c r="J4" s="180"/>
      <c r="K4" s="180"/>
      <c r="L4" s="180"/>
    </row>
    <row r="5" spans="1:13" x14ac:dyDescent="0.3">
      <c r="A5" s="810"/>
      <c r="B5" s="810"/>
      <c r="C5" s="811"/>
      <c r="D5" s="812" t="s">
        <v>617</v>
      </c>
      <c r="E5" s="812" t="s">
        <v>618</v>
      </c>
      <c r="F5" s="810"/>
      <c r="G5" s="180"/>
      <c r="H5" s="180"/>
      <c r="I5" s="180"/>
      <c r="J5" s="180"/>
      <c r="K5" s="180"/>
      <c r="L5" s="180"/>
      <c r="M5" s="810"/>
    </row>
    <row r="6" spans="1:13" x14ac:dyDescent="0.3">
      <c r="A6" s="810"/>
      <c r="B6" s="810"/>
      <c r="C6" s="811" t="s">
        <v>619</v>
      </c>
      <c r="D6" s="812" t="s">
        <v>620</v>
      </c>
      <c r="E6" s="812" t="s">
        <v>621</v>
      </c>
      <c r="F6" s="810"/>
      <c r="G6" s="180"/>
      <c r="H6" s="180"/>
      <c r="I6" s="180"/>
      <c r="J6" s="180"/>
      <c r="K6" s="180"/>
      <c r="L6" s="180"/>
      <c r="M6" s="810"/>
    </row>
    <row r="7" spans="1:13" x14ac:dyDescent="0.3">
      <c r="A7" s="810" t="s">
        <v>622</v>
      </c>
      <c r="B7" s="810"/>
      <c r="C7" s="811" t="s">
        <v>623</v>
      </c>
      <c r="D7" s="812" t="s">
        <v>624</v>
      </c>
      <c r="E7" s="812" t="s">
        <v>624</v>
      </c>
      <c r="F7" s="810"/>
      <c r="G7" s="180"/>
      <c r="H7" s="180"/>
      <c r="I7" s="180"/>
      <c r="J7" s="180"/>
      <c r="K7" s="180"/>
      <c r="L7" s="180"/>
      <c r="M7" s="810"/>
    </row>
    <row r="8" spans="1:13" hidden="1" x14ac:dyDescent="0.3">
      <c r="A8" s="810" t="s">
        <v>1768</v>
      </c>
      <c r="B8" s="810" t="s">
        <v>1769</v>
      </c>
      <c r="C8" s="813">
        <v>0.66</v>
      </c>
      <c r="D8" s="812">
        <v>2017</v>
      </c>
      <c r="E8" s="812">
        <v>2023</v>
      </c>
      <c r="F8" s="810"/>
      <c r="G8" s="180"/>
      <c r="H8" s="180"/>
      <c r="I8" s="180"/>
      <c r="J8" s="180"/>
      <c r="K8" s="180"/>
      <c r="L8" s="180"/>
    </row>
    <row r="9" spans="1:13" hidden="1" x14ac:dyDescent="0.3">
      <c r="A9" s="810" t="s">
        <v>1770</v>
      </c>
      <c r="B9" s="810" t="s">
        <v>1771</v>
      </c>
      <c r="C9" s="813">
        <v>0.79</v>
      </c>
      <c r="D9" s="812">
        <v>2015</v>
      </c>
      <c r="E9" s="812">
        <v>2023</v>
      </c>
      <c r="F9" s="810"/>
      <c r="G9" s="180"/>
      <c r="H9" s="180"/>
      <c r="I9" s="180"/>
      <c r="J9" s="180"/>
      <c r="K9" s="180"/>
      <c r="L9" s="180"/>
    </row>
    <row r="10" spans="1:13" hidden="1" x14ac:dyDescent="0.3">
      <c r="A10" s="810" t="s">
        <v>1772</v>
      </c>
      <c r="B10" s="810" t="s">
        <v>1773</v>
      </c>
      <c r="C10" s="813">
        <v>0.59699999999999998</v>
      </c>
      <c r="D10" s="812">
        <v>2021</v>
      </c>
      <c r="E10" s="812">
        <v>2027</v>
      </c>
      <c r="F10" s="810"/>
      <c r="G10" s="180"/>
      <c r="H10" s="180"/>
      <c r="I10" s="180"/>
      <c r="J10" s="180"/>
      <c r="K10" s="180"/>
      <c r="L10" s="180"/>
      <c r="M10" s="810"/>
    </row>
    <row r="11" spans="1:13" hidden="1" x14ac:dyDescent="0.3">
      <c r="A11" s="810" t="s">
        <v>1774</v>
      </c>
      <c r="B11" s="810" t="s">
        <v>478</v>
      </c>
      <c r="C11" s="813">
        <v>0.77700000000000002</v>
      </c>
      <c r="D11" s="812">
        <v>2018</v>
      </c>
      <c r="E11" s="812">
        <v>2026</v>
      </c>
      <c r="F11" s="810"/>
      <c r="G11" s="180"/>
      <c r="H11" s="180"/>
      <c r="I11" s="180"/>
      <c r="J11" s="180"/>
      <c r="K11" s="180"/>
      <c r="L11" s="180"/>
      <c r="M11" s="810"/>
    </row>
    <row r="12" spans="1:13" hidden="1" x14ac:dyDescent="0.3">
      <c r="A12" s="810" t="s">
        <v>1775</v>
      </c>
      <c r="B12" s="810" t="s">
        <v>1776</v>
      </c>
      <c r="C12" s="813">
        <v>0.51</v>
      </c>
      <c r="D12" s="812">
        <v>2019</v>
      </c>
      <c r="E12" s="812">
        <v>2023</v>
      </c>
      <c r="F12" s="810"/>
      <c r="G12" s="180"/>
      <c r="H12" s="180"/>
      <c r="I12" s="180"/>
      <c r="J12" s="180"/>
      <c r="K12" s="180"/>
      <c r="L12" s="180"/>
      <c r="M12" s="810"/>
    </row>
    <row r="13" spans="1:13" hidden="1" x14ac:dyDescent="0.3">
      <c r="A13" s="810" t="s">
        <v>1777</v>
      </c>
      <c r="B13" s="810" t="s">
        <v>1778</v>
      </c>
      <c r="C13" s="813">
        <v>0.55000000000000004</v>
      </c>
      <c r="D13" s="812">
        <v>2018</v>
      </c>
      <c r="E13" s="812">
        <v>2022</v>
      </c>
      <c r="F13" s="810"/>
      <c r="G13" s="180"/>
      <c r="H13" s="180"/>
      <c r="I13" s="180"/>
      <c r="J13" s="180"/>
      <c r="K13" s="180"/>
      <c r="L13" s="180"/>
      <c r="M13" s="810"/>
    </row>
    <row r="14" spans="1:13" hidden="1" x14ac:dyDescent="0.3">
      <c r="A14" s="810" t="s">
        <v>1779</v>
      </c>
      <c r="B14" s="810" t="s">
        <v>1780</v>
      </c>
      <c r="C14" s="813">
        <v>0.625</v>
      </c>
      <c r="D14" s="812">
        <v>2018</v>
      </c>
      <c r="E14" s="812">
        <v>2026</v>
      </c>
      <c r="F14" s="810"/>
      <c r="G14" s="180"/>
      <c r="H14" s="180"/>
      <c r="I14" s="180"/>
      <c r="J14" s="180"/>
      <c r="K14" s="180"/>
      <c r="L14" s="180"/>
      <c r="M14" s="810"/>
    </row>
    <row r="15" spans="1:13" hidden="1" x14ac:dyDescent="0.3">
      <c r="A15" s="810" t="s">
        <v>1781</v>
      </c>
      <c r="B15" s="810" t="s">
        <v>484</v>
      </c>
      <c r="C15" s="813">
        <v>0.86499999999999999</v>
      </c>
      <c r="D15" s="812">
        <v>2020</v>
      </c>
      <c r="E15" s="812">
        <v>2028</v>
      </c>
      <c r="F15" s="810"/>
      <c r="G15" s="180"/>
      <c r="H15" s="180"/>
      <c r="I15" s="180"/>
      <c r="J15" s="180"/>
      <c r="K15" s="180"/>
      <c r="L15" s="180"/>
      <c r="M15" s="810"/>
    </row>
    <row r="16" spans="1:13" hidden="1" x14ac:dyDescent="0.3">
      <c r="A16" s="810" t="s">
        <v>1782</v>
      </c>
      <c r="B16" s="810" t="s">
        <v>1783</v>
      </c>
      <c r="C16" s="813">
        <v>0.82</v>
      </c>
      <c r="D16" s="812">
        <v>2015</v>
      </c>
      <c r="E16" s="812">
        <v>2022</v>
      </c>
      <c r="F16" s="810"/>
      <c r="G16" s="180"/>
      <c r="H16" s="180"/>
      <c r="I16" s="180"/>
      <c r="J16" s="180"/>
      <c r="K16" s="180"/>
      <c r="L16" s="180"/>
      <c r="M16" s="810"/>
    </row>
    <row r="17" spans="1:13" hidden="1" x14ac:dyDescent="0.3">
      <c r="A17" s="810" t="s">
        <v>1784</v>
      </c>
      <c r="B17" s="810" t="s">
        <v>1785</v>
      </c>
      <c r="C17" s="813">
        <v>0.48499999999999999</v>
      </c>
      <c r="D17" s="812">
        <v>2019</v>
      </c>
      <c r="E17" s="812">
        <v>2023</v>
      </c>
      <c r="F17" s="810"/>
      <c r="G17" s="180"/>
      <c r="H17" s="180"/>
      <c r="I17" s="180"/>
      <c r="J17" s="180"/>
      <c r="K17" s="180"/>
      <c r="L17" s="180"/>
      <c r="M17" s="810"/>
    </row>
    <row r="18" spans="1:13" hidden="1" x14ac:dyDescent="0.3">
      <c r="A18" s="810" t="s">
        <v>1786</v>
      </c>
      <c r="B18" s="810" t="s">
        <v>1787</v>
      </c>
      <c r="C18" s="813">
        <v>0.48799999999999999</v>
      </c>
      <c r="D18" s="812">
        <v>2021</v>
      </c>
      <c r="E18" s="812">
        <v>2025</v>
      </c>
      <c r="F18" s="810"/>
      <c r="G18" s="180"/>
      <c r="H18" s="180"/>
      <c r="I18" s="180"/>
      <c r="J18" s="180"/>
      <c r="K18" s="180"/>
      <c r="L18" s="180"/>
      <c r="M18" s="810"/>
    </row>
    <row r="19" spans="1:13" hidden="1" x14ac:dyDescent="0.3">
      <c r="A19" s="810" t="s">
        <v>1788</v>
      </c>
      <c r="B19" s="810" t="s">
        <v>1789</v>
      </c>
      <c r="C19" s="813">
        <v>0.69499999999999995</v>
      </c>
      <c r="D19" s="812">
        <v>2019</v>
      </c>
      <c r="E19" s="812">
        <v>2023</v>
      </c>
      <c r="F19" s="810"/>
      <c r="G19" s="180"/>
      <c r="H19" s="180"/>
      <c r="I19" s="180"/>
      <c r="J19" s="180"/>
      <c r="K19" s="180"/>
      <c r="L19" s="180"/>
      <c r="M19" s="810"/>
    </row>
    <row r="20" spans="1:13" x14ac:dyDescent="0.3">
      <c r="A20" s="810" t="s">
        <v>1739</v>
      </c>
      <c r="B20" s="810" t="s">
        <v>1740</v>
      </c>
      <c r="C20" s="813">
        <v>0.74</v>
      </c>
      <c r="D20" s="812">
        <v>2020</v>
      </c>
      <c r="E20" s="812">
        <v>2024</v>
      </c>
      <c r="F20" s="810"/>
      <c r="G20" s="180"/>
      <c r="H20" s="180"/>
      <c r="I20" s="180"/>
      <c r="J20" s="180"/>
      <c r="K20" s="180"/>
      <c r="L20" s="180"/>
      <c r="M20" s="810"/>
    </row>
    <row r="21" spans="1:13" hidden="1" x14ac:dyDescent="0.3">
      <c r="A21" s="810" t="s">
        <v>1790</v>
      </c>
      <c r="B21" s="810" t="s">
        <v>1791</v>
      </c>
      <c r="C21" s="813">
        <v>0.63</v>
      </c>
      <c r="D21" s="812">
        <v>2021</v>
      </c>
      <c r="E21" s="812">
        <v>2029</v>
      </c>
      <c r="F21" s="810"/>
      <c r="G21" s="180"/>
      <c r="H21" s="180"/>
      <c r="I21" s="180"/>
      <c r="J21" s="180"/>
      <c r="K21" s="180"/>
      <c r="L21" s="180"/>
      <c r="M21" s="810"/>
    </row>
    <row r="22" spans="1:13" hidden="1" x14ac:dyDescent="0.3">
      <c r="A22" s="810" t="s">
        <v>1792</v>
      </c>
      <c r="B22" s="810" t="s">
        <v>1793</v>
      </c>
      <c r="C22" s="813">
        <v>0.87</v>
      </c>
      <c r="D22" s="812">
        <v>2015</v>
      </c>
      <c r="E22" s="812">
        <v>2023</v>
      </c>
      <c r="F22" s="810"/>
      <c r="G22" s="180"/>
      <c r="H22" s="180"/>
      <c r="I22" s="180"/>
      <c r="J22" s="180"/>
      <c r="K22" s="180"/>
      <c r="L22" s="180"/>
      <c r="M22" s="810"/>
    </row>
    <row r="23" spans="1:13" x14ac:dyDescent="0.3">
      <c r="A23" s="810" t="s">
        <v>1741</v>
      </c>
      <c r="B23" s="810" t="s">
        <v>1742</v>
      </c>
      <c r="C23" s="813">
        <v>0.33</v>
      </c>
      <c r="D23" s="812">
        <v>2020</v>
      </c>
      <c r="E23" s="812">
        <v>2024</v>
      </c>
      <c r="F23" s="810"/>
      <c r="G23" s="180"/>
      <c r="H23" s="180"/>
      <c r="I23" s="180"/>
      <c r="J23" s="180"/>
      <c r="K23" s="180"/>
      <c r="L23" s="180"/>
      <c r="M23" s="810"/>
    </row>
    <row r="24" spans="1:13" hidden="1" x14ac:dyDescent="0.3">
      <c r="A24" s="810" t="s">
        <v>1794</v>
      </c>
      <c r="B24" s="810" t="s">
        <v>858</v>
      </c>
      <c r="C24" s="813">
        <v>0.73499999999999999</v>
      </c>
      <c r="D24" s="812">
        <v>2016</v>
      </c>
      <c r="E24" s="812">
        <v>2023</v>
      </c>
      <c r="F24" s="810"/>
      <c r="G24" s="180"/>
      <c r="H24" s="180"/>
      <c r="I24" s="180"/>
      <c r="J24" s="180"/>
      <c r="K24" s="180"/>
      <c r="L24" s="180"/>
      <c r="M24" s="810"/>
    </row>
    <row r="25" spans="1:13" hidden="1" x14ac:dyDescent="0.3">
      <c r="A25" s="810" t="s">
        <v>1795</v>
      </c>
      <c r="B25" s="810" t="s">
        <v>1796</v>
      </c>
      <c r="C25" s="813">
        <v>0.57499999999999996</v>
      </c>
      <c r="D25" s="812">
        <v>2019</v>
      </c>
      <c r="E25" s="812">
        <v>2023</v>
      </c>
      <c r="F25" s="810"/>
      <c r="G25" s="180"/>
      <c r="H25" s="180"/>
      <c r="I25" s="180"/>
      <c r="J25" s="180"/>
      <c r="K25" s="180"/>
      <c r="L25" s="180"/>
      <c r="M25" s="810"/>
    </row>
    <row r="26" spans="1:13" hidden="1" x14ac:dyDescent="0.3">
      <c r="A26" s="810" t="s">
        <v>1797</v>
      </c>
      <c r="B26" s="810" t="s">
        <v>1798</v>
      </c>
      <c r="C26" s="813">
        <v>0.66500000000000004</v>
      </c>
      <c r="D26" s="812">
        <v>2021</v>
      </c>
      <c r="E26" s="812">
        <v>2025</v>
      </c>
      <c r="F26" s="810"/>
      <c r="G26" s="180"/>
      <c r="H26" s="180"/>
      <c r="I26" s="180"/>
      <c r="J26" s="180"/>
      <c r="K26" s="180"/>
      <c r="L26" s="180"/>
      <c r="M26" s="810"/>
    </row>
    <row r="27" spans="1:13" hidden="1" x14ac:dyDescent="0.3">
      <c r="A27" s="810" t="s">
        <v>1799</v>
      </c>
      <c r="B27" s="810" t="s">
        <v>859</v>
      </c>
      <c r="C27" s="813">
        <v>0.5</v>
      </c>
      <c r="D27" s="812">
        <v>2020</v>
      </c>
      <c r="E27" s="812">
        <v>2028</v>
      </c>
      <c r="F27" s="810"/>
      <c r="G27" s="180"/>
      <c r="H27" s="180"/>
      <c r="I27" s="180"/>
      <c r="J27" s="180"/>
      <c r="K27" s="180"/>
      <c r="L27" s="180"/>
      <c r="M27" s="810"/>
    </row>
    <row r="28" spans="1:13" hidden="1" x14ac:dyDescent="0.3">
      <c r="A28" s="810" t="s">
        <v>1800</v>
      </c>
      <c r="B28" s="810" t="s">
        <v>1801</v>
      </c>
      <c r="C28" s="813">
        <v>0.755</v>
      </c>
      <c r="D28" s="812">
        <v>2014</v>
      </c>
      <c r="E28" s="812">
        <v>2022</v>
      </c>
      <c r="G28" s="180"/>
      <c r="H28" s="180"/>
      <c r="I28" s="180"/>
      <c r="J28" s="180"/>
      <c r="K28" s="180"/>
      <c r="L28" s="180"/>
      <c r="M28" s="810"/>
    </row>
    <row r="29" spans="1:13" hidden="1" x14ac:dyDescent="0.3">
      <c r="A29" s="810" t="s">
        <v>1802</v>
      </c>
      <c r="B29" s="810" t="s">
        <v>1803</v>
      </c>
      <c r="C29" s="813">
        <v>0.43</v>
      </c>
      <c r="D29" s="812">
        <v>2018</v>
      </c>
      <c r="E29" s="812">
        <v>2026</v>
      </c>
      <c r="G29" s="180"/>
      <c r="H29" s="180"/>
      <c r="I29" s="180"/>
      <c r="J29" s="180"/>
      <c r="K29" s="180"/>
      <c r="L29" s="180"/>
      <c r="M29" s="810"/>
    </row>
    <row r="30" spans="1:13" hidden="1" x14ac:dyDescent="0.3">
      <c r="A30" s="810" t="s">
        <v>1804</v>
      </c>
      <c r="B30" s="810" t="s">
        <v>1805</v>
      </c>
      <c r="C30" s="813">
        <v>0.6875</v>
      </c>
      <c r="D30" s="812">
        <v>2021</v>
      </c>
      <c r="E30" s="812">
        <v>2025</v>
      </c>
      <c r="F30" s="810"/>
      <c r="G30" s="180"/>
      <c r="H30" s="180"/>
      <c r="I30" s="180"/>
      <c r="J30" s="180"/>
      <c r="K30" s="180"/>
      <c r="L30" s="180"/>
      <c r="M30" s="810"/>
    </row>
    <row r="31" spans="1:13" hidden="1" x14ac:dyDescent="0.3">
      <c r="A31" s="810" t="s">
        <v>1806</v>
      </c>
      <c r="B31" s="810" t="s">
        <v>860</v>
      </c>
      <c r="C31" s="813">
        <v>0.80500000000000005</v>
      </c>
      <c r="D31" s="812">
        <v>2021</v>
      </c>
      <c r="E31" s="812">
        <v>2029</v>
      </c>
      <c r="F31" s="810"/>
      <c r="G31" s="180"/>
      <c r="H31" s="180"/>
      <c r="I31" s="180"/>
      <c r="J31" s="180"/>
      <c r="K31" s="180"/>
      <c r="L31" s="180"/>
      <c r="M31" s="810"/>
    </row>
    <row r="32" spans="1:13" hidden="1" x14ac:dyDescent="0.3">
      <c r="A32" s="810" t="s">
        <v>1807</v>
      </c>
      <c r="B32" s="810" t="s">
        <v>1808</v>
      </c>
      <c r="C32" s="813">
        <v>0.56000000000000005</v>
      </c>
      <c r="D32" s="812">
        <v>2016</v>
      </c>
      <c r="E32" s="812">
        <v>2023</v>
      </c>
      <c r="F32" s="810"/>
      <c r="G32" s="180"/>
      <c r="H32" s="180"/>
      <c r="I32" s="180"/>
      <c r="J32" s="180"/>
      <c r="K32" s="180"/>
      <c r="L32" s="180"/>
      <c r="M32" s="810"/>
    </row>
    <row r="33" spans="1:13" hidden="1" x14ac:dyDescent="0.3">
      <c r="A33" s="810" t="s">
        <v>1809</v>
      </c>
      <c r="B33" s="810" t="s">
        <v>1810</v>
      </c>
      <c r="C33" s="813">
        <v>0.79900000000000004</v>
      </c>
      <c r="D33" s="812">
        <v>2017</v>
      </c>
      <c r="E33" s="812">
        <v>2025</v>
      </c>
      <c r="F33" s="810"/>
      <c r="G33" s="180"/>
      <c r="H33" s="180"/>
      <c r="I33" s="180"/>
      <c r="J33" s="180"/>
      <c r="K33" s="180"/>
      <c r="L33" s="180"/>
      <c r="M33" s="810"/>
    </row>
    <row r="34" spans="1:13" hidden="1" x14ac:dyDescent="0.3">
      <c r="A34" s="810" t="s">
        <v>1811</v>
      </c>
      <c r="B34" s="810" t="s">
        <v>1812</v>
      </c>
      <c r="C34" s="813">
        <v>0.46</v>
      </c>
      <c r="D34" s="812">
        <v>2021</v>
      </c>
      <c r="E34" s="812">
        <v>2029</v>
      </c>
      <c r="F34" s="810"/>
      <c r="G34" s="180"/>
      <c r="H34" s="180"/>
      <c r="I34" s="180"/>
      <c r="J34" s="180"/>
      <c r="K34" s="180"/>
      <c r="L34" s="180"/>
      <c r="M34" s="810"/>
    </row>
    <row r="35" spans="1:13" hidden="1" x14ac:dyDescent="0.3">
      <c r="A35" s="810" t="s">
        <v>1813</v>
      </c>
      <c r="B35" s="810" t="s">
        <v>1814</v>
      </c>
      <c r="C35" s="813">
        <v>0.40050000000000002</v>
      </c>
      <c r="D35" s="812">
        <v>2020</v>
      </c>
      <c r="E35" s="812">
        <v>2025</v>
      </c>
      <c r="F35" s="810"/>
      <c r="G35" s="180"/>
      <c r="H35" s="180"/>
      <c r="I35" s="180"/>
      <c r="J35" s="180"/>
      <c r="K35" s="180"/>
      <c r="L35" s="180"/>
      <c r="M35" s="810"/>
    </row>
    <row r="36" spans="1:13" hidden="1" x14ac:dyDescent="0.3">
      <c r="A36" s="810" t="s">
        <v>1815</v>
      </c>
      <c r="B36" s="810" t="s">
        <v>1816</v>
      </c>
      <c r="C36" s="813">
        <v>0.54</v>
      </c>
      <c r="D36" s="812">
        <v>2021</v>
      </c>
      <c r="E36" s="812">
        <v>2027</v>
      </c>
      <c r="F36" s="810"/>
      <c r="G36" s="180"/>
      <c r="H36" s="180"/>
      <c r="I36" s="180"/>
      <c r="J36" s="180"/>
      <c r="K36" s="180"/>
      <c r="L36" s="180"/>
      <c r="M36" s="810"/>
    </row>
    <row r="37" spans="1:13" hidden="1" x14ac:dyDescent="0.3">
      <c r="A37" s="810" t="s">
        <v>1817</v>
      </c>
      <c r="B37" s="810" t="s">
        <v>1818</v>
      </c>
      <c r="C37" s="813">
        <v>0.73299999999999998</v>
      </c>
      <c r="D37" s="812">
        <v>2021</v>
      </c>
      <c r="E37" s="812">
        <v>2025</v>
      </c>
      <c r="F37" s="810"/>
      <c r="G37" s="180"/>
      <c r="H37" s="180"/>
      <c r="I37" s="180"/>
      <c r="J37" s="180"/>
      <c r="K37" s="180"/>
      <c r="L37" s="180"/>
      <c r="M37" s="810"/>
    </row>
    <row r="38" spans="1:13" hidden="1" x14ac:dyDescent="0.3">
      <c r="A38" s="810" t="s">
        <v>1819</v>
      </c>
      <c r="B38" s="810" t="s">
        <v>1820</v>
      </c>
      <c r="C38" s="813">
        <v>0.73499999999999999</v>
      </c>
      <c r="D38" s="812">
        <v>2017</v>
      </c>
      <c r="E38" s="812">
        <v>2022</v>
      </c>
      <c r="F38" s="810"/>
      <c r="G38" s="180"/>
      <c r="H38" s="180"/>
      <c r="I38" s="180"/>
      <c r="J38" s="180"/>
      <c r="K38" s="180"/>
      <c r="L38" s="180"/>
      <c r="M38" s="810"/>
    </row>
    <row r="39" spans="1:13" hidden="1" x14ac:dyDescent="0.3">
      <c r="A39" s="810" t="s">
        <v>1821</v>
      </c>
      <c r="B39" s="810" t="s">
        <v>1822</v>
      </c>
      <c r="C39" s="813">
        <v>0.72219999999999995</v>
      </c>
      <c r="D39" s="812">
        <v>2019</v>
      </c>
      <c r="E39" s="812">
        <v>2026</v>
      </c>
      <c r="F39" s="810"/>
      <c r="G39" s="180"/>
      <c r="H39" s="180"/>
      <c r="I39" s="180"/>
      <c r="J39" s="180"/>
      <c r="K39" s="180"/>
      <c r="L39" s="180"/>
      <c r="M39" s="810"/>
    </row>
    <row r="40" spans="1:13" x14ac:dyDescent="0.3">
      <c r="A40" s="810" t="s">
        <v>1743</v>
      </c>
      <c r="B40" s="810" t="s">
        <v>501</v>
      </c>
      <c r="C40" s="813">
        <v>0.95</v>
      </c>
      <c r="D40" s="812">
        <v>2017</v>
      </c>
      <c r="E40" s="812">
        <v>2024</v>
      </c>
      <c r="F40" s="810"/>
      <c r="G40" s="180"/>
      <c r="H40" s="180"/>
      <c r="I40" s="180"/>
      <c r="J40" s="180"/>
      <c r="K40" s="180"/>
      <c r="L40" s="180"/>
      <c r="M40" s="810"/>
    </row>
    <row r="41" spans="1:13" hidden="1" x14ac:dyDescent="0.3">
      <c r="A41" s="810" t="s">
        <v>1823</v>
      </c>
      <c r="B41" s="810" t="s">
        <v>1824</v>
      </c>
      <c r="C41" s="813">
        <v>0.67779999999999996</v>
      </c>
      <c r="D41" s="812">
        <v>2021</v>
      </c>
      <c r="E41" s="812">
        <v>2025</v>
      </c>
      <c r="F41" s="810"/>
      <c r="G41" s="180"/>
      <c r="H41" s="180"/>
      <c r="I41" s="180"/>
      <c r="J41" s="180"/>
      <c r="K41" s="180"/>
      <c r="L41" s="180"/>
      <c r="M41" s="810"/>
    </row>
    <row r="42" spans="1:13" x14ac:dyDescent="0.3">
      <c r="A42" s="810" t="s">
        <v>1744</v>
      </c>
      <c r="B42" s="810" t="s">
        <v>1745</v>
      </c>
      <c r="C42" s="813">
        <v>0.79500000000000004</v>
      </c>
      <c r="D42" s="812">
        <v>2018</v>
      </c>
      <c r="E42" s="812">
        <v>2024</v>
      </c>
      <c r="F42" s="810"/>
      <c r="G42" s="180"/>
      <c r="H42" s="180"/>
      <c r="I42" s="180"/>
      <c r="J42" s="180"/>
      <c r="K42" s="180"/>
      <c r="L42" s="180"/>
      <c r="M42" s="810"/>
    </row>
    <row r="43" spans="1:13" hidden="1" x14ac:dyDescent="0.3">
      <c r="A43" s="810" t="s">
        <v>1825</v>
      </c>
      <c r="B43" s="810" t="s">
        <v>1826</v>
      </c>
      <c r="C43" s="813">
        <v>0.83</v>
      </c>
      <c r="D43" s="812">
        <v>2019</v>
      </c>
      <c r="E43" s="812">
        <v>2023</v>
      </c>
      <c r="F43" s="810"/>
      <c r="G43" s="180"/>
      <c r="H43" s="180"/>
      <c r="I43" s="180"/>
      <c r="J43" s="180"/>
      <c r="K43" s="180"/>
      <c r="L43" s="180"/>
      <c r="M43" s="810"/>
    </row>
    <row r="44" spans="1:13" hidden="1" x14ac:dyDescent="0.3">
      <c r="A44" s="810" t="s">
        <v>1827</v>
      </c>
      <c r="B44" s="810" t="s">
        <v>1828</v>
      </c>
      <c r="C44" s="813">
        <v>0.79</v>
      </c>
      <c r="D44" s="812">
        <v>2017</v>
      </c>
      <c r="E44" s="812">
        <v>2025</v>
      </c>
      <c r="F44" s="810"/>
      <c r="G44" s="180"/>
      <c r="H44" s="180"/>
      <c r="I44" s="180"/>
      <c r="J44" s="180"/>
      <c r="K44" s="180"/>
      <c r="L44" s="180"/>
      <c r="M44" s="810"/>
    </row>
    <row r="45" spans="1:13" hidden="1" x14ac:dyDescent="0.3">
      <c r="A45" s="810" t="s">
        <v>1829</v>
      </c>
      <c r="B45" s="810" t="s">
        <v>1830</v>
      </c>
      <c r="C45" s="813">
        <v>0.65</v>
      </c>
      <c r="D45" s="812">
        <v>2019</v>
      </c>
      <c r="E45" s="812">
        <v>2023</v>
      </c>
      <c r="F45" s="810"/>
      <c r="G45" s="180"/>
      <c r="H45" s="180"/>
      <c r="I45" s="180"/>
      <c r="J45" s="180"/>
      <c r="K45" s="180"/>
      <c r="L45" s="180"/>
      <c r="M45" s="810"/>
    </row>
    <row r="46" spans="1:13" x14ac:dyDescent="0.3">
      <c r="A46" s="810" t="s">
        <v>1746</v>
      </c>
      <c r="B46" s="810" t="s">
        <v>1747</v>
      </c>
      <c r="C46" s="813">
        <v>0.84</v>
      </c>
      <c r="D46" s="812">
        <v>2018</v>
      </c>
      <c r="E46" s="812">
        <v>2024</v>
      </c>
      <c r="F46" s="810"/>
      <c r="G46" s="180"/>
      <c r="H46" s="180"/>
      <c r="I46" s="180"/>
      <c r="J46" s="180"/>
      <c r="K46" s="180"/>
      <c r="L46" s="180"/>
      <c r="M46" s="810"/>
    </row>
    <row r="47" spans="1:13" hidden="1" x14ac:dyDescent="0.3">
      <c r="A47" s="810" t="s">
        <v>1831</v>
      </c>
      <c r="B47" s="810" t="s">
        <v>1832</v>
      </c>
      <c r="C47" s="813">
        <v>0.78600000000000003</v>
      </c>
      <c r="D47" s="812">
        <v>2021</v>
      </c>
      <c r="E47" s="812">
        <v>2029</v>
      </c>
      <c r="F47" s="810"/>
      <c r="G47" s="180"/>
      <c r="H47" s="180"/>
      <c r="I47" s="180"/>
      <c r="J47" s="180"/>
      <c r="K47" s="180"/>
      <c r="L47" s="180"/>
      <c r="M47" s="810"/>
    </row>
    <row r="48" spans="1:13" hidden="1" x14ac:dyDescent="0.3">
      <c r="A48" s="810" t="s">
        <v>1833</v>
      </c>
      <c r="B48" s="810" t="s">
        <v>1834</v>
      </c>
      <c r="C48" s="813">
        <v>0.73050000000000004</v>
      </c>
      <c r="D48" s="812">
        <v>2017</v>
      </c>
      <c r="E48" s="812">
        <v>2022</v>
      </c>
      <c r="F48" s="810"/>
      <c r="G48" s="180"/>
      <c r="H48" s="180"/>
      <c r="I48" s="180"/>
      <c r="J48" s="180"/>
      <c r="K48" s="180"/>
      <c r="L48" s="180"/>
      <c r="M48" s="810"/>
    </row>
    <row r="49" spans="1:13" x14ac:dyDescent="0.3">
      <c r="A49" s="810" t="s">
        <v>1748</v>
      </c>
      <c r="B49" s="810" t="s">
        <v>1749</v>
      </c>
      <c r="C49" s="813">
        <v>0.76</v>
      </c>
      <c r="D49" s="812">
        <v>2020</v>
      </c>
      <c r="E49" s="812">
        <v>2024</v>
      </c>
      <c r="F49" s="810"/>
      <c r="G49" s="180"/>
      <c r="H49" s="180"/>
      <c r="I49" s="180"/>
      <c r="J49" s="180"/>
      <c r="K49" s="180"/>
      <c r="L49" s="180"/>
      <c r="M49" s="810"/>
    </row>
    <row r="50" spans="1:13" hidden="1" x14ac:dyDescent="0.3">
      <c r="A50" s="810" t="s">
        <v>1835</v>
      </c>
      <c r="B50" s="810" t="s">
        <v>1836</v>
      </c>
      <c r="C50" s="813">
        <v>0.75</v>
      </c>
      <c r="D50" s="812">
        <v>2017</v>
      </c>
      <c r="E50" s="812">
        <v>2022</v>
      </c>
      <c r="F50" s="810"/>
      <c r="G50" s="180"/>
      <c r="H50" s="180"/>
      <c r="I50" s="180"/>
      <c r="J50" s="180"/>
      <c r="K50" s="180"/>
      <c r="L50" s="180"/>
      <c r="M50" s="810"/>
    </row>
    <row r="51" spans="1:13" hidden="1" x14ac:dyDescent="0.3">
      <c r="A51" s="810" t="s">
        <v>1837</v>
      </c>
      <c r="B51" s="810" t="s">
        <v>1838</v>
      </c>
      <c r="C51" s="813">
        <v>0.53500000000000003</v>
      </c>
      <c r="D51" s="812">
        <v>2021</v>
      </c>
      <c r="E51" s="812">
        <v>2025</v>
      </c>
      <c r="F51" s="810"/>
      <c r="G51" s="180"/>
      <c r="H51" s="180"/>
      <c r="I51" s="180"/>
      <c r="J51" s="180"/>
      <c r="K51" s="180"/>
      <c r="L51" s="180"/>
      <c r="M51" s="810"/>
    </row>
    <row r="52" spans="1:13" hidden="1" x14ac:dyDescent="0.3">
      <c r="A52" s="810" t="s">
        <v>1839</v>
      </c>
      <c r="B52" s="810" t="s">
        <v>1840</v>
      </c>
      <c r="C52" s="813">
        <v>0.56100000000000005</v>
      </c>
      <c r="D52" s="812">
        <v>2019</v>
      </c>
      <c r="E52" s="812">
        <v>2023</v>
      </c>
      <c r="F52" s="810"/>
      <c r="G52" s="180"/>
      <c r="H52" s="180"/>
      <c r="I52" s="180"/>
      <c r="J52" s="180"/>
      <c r="K52" s="180"/>
      <c r="L52" s="180"/>
      <c r="M52" s="810"/>
    </row>
    <row r="53" spans="1:13" hidden="1" x14ac:dyDescent="0.3">
      <c r="A53" s="810" t="s">
        <v>1841</v>
      </c>
      <c r="B53" s="810" t="s">
        <v>1842</v>
      </c>
      <c r="C53" s="813">
        <v>0.84</v>
      </c>
      <c r="D53" s="812">
        <v>2019</v>
      </c>
      <c r="E53" s="812">
        <v>2027</v>
      </c>
      <c r="F53" s="810"/>
      <c r="G53" s="180"/>
      <c r="H53" s="180"/>
      <c r="I53" s="180"/>
      <c r="J53" s="180"/>
      <c r="K53" s="180"/>
      <c r="L53" s="180"/>
      <c r="M53" s="810"/>
    </row>
    <row r="54" spans="1:13" hidden="1" x14ac:dyDescent="0.3">
      <c r="A54" s="810" t="s">
        <v>1843</v>
      </c>
      <c r="B54" s="810" t="s">
        <v>1844</v>
      </c>
      <c r="C54" s="813">
        <v>0.75</v>
      </c>
      <c r="D54" s="812">
        <v>2014</v>
      </c>
      <c r="E54" s="812">
        <v>2022</v>
      </c>
      <c r="F54" s="810"/>
      <c r="G54" s="180"/>
      <c r="H54" s="180"/>
      <c r="I54" s="180"/>
      <c r="J54" s="180"/>
      <c r="K54" s="180"/>
      <c r="L54" s="180"/>
      <c r="M54" s="810"/>
    </row>
    <row r="55" spans="1:13" hidden="1" x14ac:dyDescent="0.3">
      <c r="A55" s="810" t="s">
        <v>1845</v>
      </c>
      <c r="B55" s="810" t="s">
        <v>523</v>
      </c>
      <c r="C55" s="813">
        <v>0.79500000000000004</v>
      </c>
      <c r="D55" s="812">
        <v>2017</v>
      </c>
      <c r="E55" s="812">
        <v>2023</v>
      </c>
      <c r="F55" s="810"/>
      <c r="G55" s="180"/>
      <c r="H55" s="180"/>
      <c r="I55" s="180"/>
      <c r="J55" s="180"/>
      <c r="K55" s="180"/>
      <c r="L55" s="180"/>
      <c r="M55" s="810"/>
    </row>
    <row r="56" spans="1:13" hidden="1" x14ac:dyDescent="0.3">
      <c r="A56" s="810" t="s">
        <v>1846</v>
      </c>
      <c r="B56" s="810" t="s">
        <v>1847</v>
      </c>
      <c r="C56" s="813">
        <v>0.53749999999999998</v>
      </c>
      <c r="D56" s="812">
        <v>2019</v>
      </c>
      <c r="E56" s="812">
        <v>2023</v>
      </c>
      <c r="F56" s="810"/>
      <c r="G56" s="180"/>
      <c r="H56" s="180"/>
      <c r="I56" s="180"/>
      <c r="J56" s="180"/>
      <c r="K56" s="180"/>
      <c r="L56" s="180"/>
      <c r="M56" s="810"/>
    </row>
    <row r="57" spans="1:13" hidden="1" x14ac:dyDescent="0.3">
      <c r="A57" s="810" t="s">
        <v>1848</v>
      </c>
      <c r="B57" s="810" t="s">
        <v>1849</v>
      </c>
      <c r="C57" s="813">
        <v>0.36</v>
      </c>
      <c r="D57" s="812">
        <v>2021</v>
      </c>
      <c r="E57" s="812">
        <v>2025</v>
      </c>
      <c r="F57" s="810"/>
      <c r="G57" s="180"/>
      <c r="H57" s="180"/>
      <c r="I57" s="180"/>
      <c r="J57" s="180"/>
      <c r="K57" s="180"/>
      <c r="L57" s="180"/>
      <c r="M57" s="810"/>
    </row>
    <row r="58" spans="1:13" hidden="1" x14ac:dyDescent="0.3">
      <c r="A58" s="810" t="s">
        <v>1850</v>
      </c>
      <c r="B58" s="810" t="s">
        <v>1851</v>
      </c>
      <c r="C58" s="811">
        <v>0.73</v>
      </c>
      <c r="D58" s="812">
        <v>2019</v>
      </c>
      <c r="E58" s="812">
        <v>2025</v>
      </c>
      <c r="F58" s="810"/>
      <c r="G58" s="180"/>
      <c r="H58" s="180"/>
      <c r="I58" s="180"/>
      <c r="J58" s="180"/>
      <c r="K58" s="180"/>
      <c r="L58" s="180"/>
      <c r="M58" s="810"/>
    </row>
    <row r="59" spans="1:13" hidden="1" x14ac:dyDescent="0.3">
      <c r="A59" s="810" t="s">
        <v>1852</v>
      </c>
      <c r="B59" s="810" t="s">
        <v>1853</v>
      </c>
      <c r="C59" s="811">
        <v>0.75</v>
      </c>
      <c r="D59" s="812">
        <v>2014</v>
      </c>
      <c r="E59" s="812">
        <v>2022</v>
      </c>
      <c r="F59" s="810"/>
      <c r="G59" s="180"/>
      <c r="H59" s="180"/>
      <c r="I59" s="180"/>
      <c r="J59" s="180"/>
      <c r="K59" s="180"/>
      <c r="L59" s="180"/>
      <c r="M59" s="810"/>
    </row>
    <row r="60" spans="1:13" hidden="1" x14ac:dyDescent="0.3">
      <c r="A60" s="810" t="s">
        <v>1854</v>
      </c>
      <c r="B60" s="810" t="s">
        <v>1855</v>
      </c>
      <c r="C60" s="811">
        <v>0.76</v>
      </c>
      <c r="D60" s="812">
        <v>2019</v>
      </c>
      <c r="E60" s="812">
        <v>2023</v>
      </c>
      <c r="F60" s="810"/>
      <c r="G60" s="180"/>
      <c r="H60" s="180"/>
      <c r="I60" s="180"/>
      <c r="J60" s="180"/>
      <c r="K60" s="180"/>
      <c r="L60" s="180"/>
      <c r="M60" s="810"/>
    </row>
    <row r="61" spans="1:13" hidden="1" x14ac:dyDescent="0.3">
      <c r="A61" s="810" t="s">
        <v>1856</v>
      </c>
      <c r="B61" s="810" t="s">
        <v>1857</v>
      </c>
      <c r="C61" s="811">
        <v>0.84499999999999997</v>
      </c>
      <c r="D61" s="812">
        <v>2017</v>
      </c>
      <c r="E61" s="812">
        <v>2025</v>
      </c>
      <c r="F61" s="810"/>
      <c r="G61" s="180"/>
      <c r="H61" s="180"/>
      <c r="I61" s="180"/>
      <c r="J61" s="180"/>
      <c r="K61" s="180"/>
      <c r="L61" s="180"/>
      <c r="M61" s="810"/>
    </row>
    <row r="62" spans="1:13" hidden="1" x14ac:dyDescent="0.3">
      <c r="A62" s="810" t="s">
        <v>1858</v>
      </c>
      <c r="B62" s="810" t="s">
        <v>1859</v>
      </c>
      <c r="C62" s="811">
        <v>0.61899999999999999</v>
      </c>
      <c r="D62" s="812">
        <v>2019</v>
      </c>
      <c r="E62" s="812">
        <v>2023</v>
      </c>
      <c r="F62" s="810"/>
      <c r="G62" s="180"/>
      <c r="H62" s="180"/>
      <c r="I62" s="180"/>
      <c r="J62" s="180"/>
      <c r="K62" s="180"/>
      <c r="L62" s="180"/>
      <c r="M62" s="810"/>
    </row>
    <row r="63" spans="1:13" hidden="1" x14ac:dyDescent="0.3">
      <c r="A63" s="810" t="s">
        <v>1860</v>
      </c>
      <c r="B63" s="810" t="s">
        <v>1861</v>
      </c>
      <c r="C63" s="811">
        <v>0.4</v>
      </c>
      <c r="D63" s="812">
        <v>2019</v>
      </c>
      <c r="E63" s="812">
        <v>2023</v>
      </c>
      <c r="F63" s="810"/>
      <c r="G63" s="180"/>
      <c r="H63" s="180"/>
      <c r="I63" s="180"/>
      <c r="J63" s="180"/>
      <c r="K63" s="180"/>
      <c r="L63" s="180"/>
      <c r="M63" s="810"/>
    </row>
    <row r="64" spans="1:13" hidden="1" x14ac:dyDescent="0.3">
      <c r="A64" s="810" t="s">
        <v>1862</v>
      </c>
      <c r="B64" s="810" t="s">
        <v>1863</v>
      </c>
      <c r="C64" s="811">
        <v>0.5</v>
      </c>
      <c r="D64" s="812">
        <v>2020</v>
      </c>
      <c r="E64" s="812">
        <v>2028</v>
      </c>
      <c r="F64" s="810"/>
      <c r="G64" s="180"/>
      <c r="H64" s="180"/>
      <c r="I64" s="180"/>
      <c r="J64" s="180"/>
      <c r="K64" s="180"/>
      <c r="L64" s="180"/>
      <c r="M64" s="810"/>
    </row>
    <row r="65" spans="1:13" hidden="1" x14ac:dyDescent="0.3">
      <c r="A65" s="810" t="s">
        <v>1864</v>
      </c>
      <c r="B65" s="810" t="s">
        <v>861</v>
      </c>
      <c r="C65" s="811">
        <v>0.81</v>
      </c>
      <c r="D65" s="812">
        <v>2017</v>
      </c>
      <c r="E65" s="812">
        <v>2025</v>
      </c>
      <c r="F65" s="810"/>
      <c r="G65" s="180"/>
      <c r="H65" s="180"/>
      <c r="I65" s="180"/>
      <c r="J65" s="180"/>
      <c r="K65" s="180"/>
      <c r="L65" s="180"/>
      <c r="M65" s="810"/>
    </row>
    <row r="66" spans="1:13" hidden="1" x14ac:dyDescent="0.3">
      <c r="A66" s="810" t="s">
        <v>1865</v>
      </c>
      <c r="B66" s="810" t="s">
        <v>1866</v>
      </c>
      <c r="C66" s="811">
        <v>0.57750000000000001</v>
      </c>
      <c r="D66" s="812">
        <v>2019</v>
      </c>
      <c r="E66" s="812">
        <v>2023</v>
      </c>
      <c r="F66" s="810"/>
      <c r="G66" s="180"/>
      <c r="H66" s="180"/>
      <c r="I66" s="180"/>
      <c r="J66" s="180"/>
      <c r="K66" s="180"/>
      <c r="L66" s="180"/>
      <c r="M66" s="810"/>
    </row>
    <row r="67" spans="1:13" hidden="1" x14ac:dyDescent="0.3">
      <c r="A67" s="810" t="s">
        <v>1867</v>
      </c>
      <c r="B67" s="810" t="s">
        <v>1868</v>
      </c>
      <c r="C67" s="811">
        <v>0.6169</v>
      </c>
      <c r="D67" s="812">
        <v>2019</v>
      </c>
      <c r="E67" s="812">
        <v>2023</v>
      </c>
      <c r="F67" s="810"/>
      <c r="G67" s="180"/>
      <c r="H67" s="180"/>
      <c r="I67" s="180"/>
      <c r="J67" s="180"/>
      <c r="K67" s="180"/>
      <c r="L67" s="180"/>
      <c r="M67" s="810"/>
    </row>
    <row r="68" spans="1:13" hidden="1" x14ac:dyDescent="0.3">
      <c r="A68" s="810" t="s">
        <v>1869</v>
      </c>
      <c r="B68" s="810" t="s">
        <v>1870</v>
      </c>
      <c r="C68" s="811">
        <v>0.57999999999999996</v>
      </c>
      <c r="D68" s="812">
        <v>2018</v>
      </c>
      <c r="E68" s="812">
        <v>2022</v>
      </c>
      <c r="F68" s="810"/>
      <c r="G68" s="180"/>
      <c r="H68" s="180"/>
      <c r="I68" s="180"/>
      <c r="J68" s="180"/>
      <c r="K68" s="180"/>
      <c r="L68" s="180"/>
      <c r="M68" s="810"/>
    </row>
    <row r="69" spans="1:13" hidden="1" x14ac:dyDescent="0.3">
      <c r="A69" s="810" t="s">
        <v>1871</v>
      </c>
      <c r="B69" s="810" t="s">
        <v>1872</v>
      </c>
      <c r="C69" s="811">
        <v>0.61499999999999999</v>
      </c>
      <c r="D69" s="812">
        <v>2020</v>
      </c>
      <c r="E69" s="812">
        <v>2028</v>
      </c>
      <c r="F69" s="810"/>
      <c r="G69" s="180"/>
      <c r="H69" s="180"/>
      <c r="I69" s="180"/>
      <c r="J69" s="180"/>
      <c r="K69" s="180"/>
      <c r="L69" s="180"/>
      <c r="M69" s="810"/>
    </row>
    <row r="70" spans="1:13" hidden="1" x14ac:dyDescent="0.3">
      <c r="A70" s="810" t="s">
        <v>1873</v>
      </c>
      <c r="B70" s="810" t="s">
        <v>1874</v>
      </c>
      <c r="C70" s="811">
        <v>0.51</v>
      </c>
      <c r="D70" s="812">
        <v>2019</v>
      </c>
      <c r="E70" s="812">
        <v>2023</v>
      </c>
      <c r="F70" s="810"/>
      <c r="G70" s="180"/>
      <c r="H70" s="180"/>
      <c r="I70" s="180"/>
      <c r="J70" s="180"/>
      <c r="K70" s="180"/>
      <c r="L70" s="180"/>
      <c r="M70" s="810"/>
    </row>
    <row r="71" spans="1:13" x14ac:dyDescent="0.3">
      <c r="A71" s="810" t="s">
        <v>1750</v>
      </c>
      <c r="B71" s="810" t="s">
        <v>1751</v>
      </c>
      <c r="C71" s="811">
        <v>0.67</v>
      </c>
      <c r="D71" s="812">
        <v>2017</v>
      </c>
      <c r="E71" s="812">
        <v>2024</v>
      </c>
      <c r="F71" s="810"/>
      <c r="G71" s="180"/>
      <c r="H71" s="180"/>
      <c r="I71" s="180"/>
      <c r="J71" s="180"/>
      <c r="K71" s="180"/>
      <c r="L71" s="180"/>
      <c r="M71" s="810"/>
    </row>
    <row r="72" spans="1:13" hidden="1" x14ac:dyDescent="0.3">
      <c r="A72" s="810" t="s">
        <v>1875</v>
      </c>
      <c r="B72" s="810" t="s">
        <v>1876</v>
      </c>
      <c r="C72" s="811">
        <v>0.47499999999999998</v>
      </c>
      <c r="D72" s="812">
        <v>2021</v>
      </c>
      <c r="E72" s="812">
        <v>2025</v>
      </c>
      <c r="F72" s="810"/>
      <c r="G72" s="180"/>
      <c r="H72" s="180"/>
      <c r="I72" s="180"/>
      <c r="J72" s="180"/>
      <c r="K72" s="180"/>
      <c r="L72" s="180"/>
      <c r="M72" s="810"/>
    </row>
    <row r="73" spans="1:13" hidden="1" x14ac:dyDescent="0.3">
      <c r="A73" s="613" t="s">
        <v>1877</v>
      </c>
      <c r="B73" s="613" t="s">
        <v>532</v>
      </c>
      <c r="C73" s="814">
        <v>0.90500000000000003</v>
      </c>
      <c r="D73" s="614">
        <v>2015</v>
      </c>
      <c r="E73" s="614">
        <v>2023</v>
      </c>
      <c r="G73" s="180"/>
      <c r="H73" s="180"/>
      <c r="I73" s="180"/>
      <c r="J73" s="180"/>
      <c r="K73" s="180"/>
      <c r="L73" s="180"/>
    </row>
    <row r="74" spans="1:13" hidden="1" x14ac:dyDescent="0.3">
      <c r="A74" s="613" t="s">
        <v>1878</v>
      </c>
      <c r="B74" s="613" t="s">
        <v>1879</v>
      </c>
      <c r="C74" s="814">
        <v>0.70499999999999996</v>
      </c>
      <c r="D74" s="614">
        <v>2018</v>
      </c>
      <c r="E74" s="614">
        <v>2022</v>
      </c>
      <c r="G74" s="180"/>
      <c r="H74" s="180"/>
      <c r="I74" s="180"/>
      <c r="J74" s="180"/>
      <c r="K74" s="180"/>
      <c r="L74" s="180"/>
    </row>
    <row r="75" spans="1:13" hidden="1" x14ac:dyDescent="0.3">
      <c r="A75" s="613" t="s">
        <v>1880</v>
      </c>
      <c r="B75" s="613" t="s">
        <v>1881</v>
      </c>
      <c r="C75" s="814">
        <v>0.81869999999999998</v>
      </c>
      <c r="D75" s="614">
        <v>2021</v>
      </c>
      <c r="E75" s="614">
        <v>2025</v>
      </c>
      <c r="G75" s="180"/>
      <c r="H75" s="180"/>
      <c r="I75" s="180"/>
      <c r="J75" s="180"/>
      <c r="K75" s="180"/>
      <c r="L75" s="180"/>
    </row>
    <row r="76" spans="1:13" hidden="1" x14ac:dyDescent="0.3">
      <c r="A76" s="613" t="s">
        <v>1882</v>
      </c>
      <c r="B76" s="613" t="s">
        <v>1883</v>
      </c>
      <c r="C76" s="814">
        <v>0.625</v>
      </c>
      <c r="D76" s="614">
        <v>2020</v>
      </c>
      <c r="E76" s="614">
        <v>2028</v>
      </c>
      <c r="G76" s="180"/>
      <c r="H76" s="180"/>
      <c r="I76" s="180"/>
      <c r="J76" s="180"/>
      <c r="K76" s="180"/>
      <c r="L76" s="180"/>
    </row>
    <row r="77" spans="1:13" hidden="1" x14ac:dyDescent="0.3">
      <c r="A77" s="613" t="s">
        <v>1884</v>
      </c>
      <c r="B77" s="613" t="s">
        <v>1885</v>
      </c>
      <c r="C77" s="814">
        <v>0.77</v>
      </c>
      <c r="D77" s="614">
        <v>2014</v>
      </c>
      <c r="E77" s="614">
        <v>2022</v>
      </c>
      <c r="G77" s="180"/>
      <c r="H77" s="180"/>
      <c r="I77" s="180"/>
      <c r="J77" s="180"/>
      <c r="K77" s="180"/>
      <c r="L77" s="180"/>
    </row>
    <row r="78" spans="1:13" hidden="1" x14ac:dyDescent="0.3">
      <c r="A78" s="613" t="s">
        <v>1886</v>
      </c>
      <c r="B78" s="613" t="s">
        <v>535</v>
      </c>
      <c r="C78" s="814">
        <v>0.64500000000000002</v>
      </c>
      <c r="D78" s="614">
        <v>2019</v>
      </c>
      <c r="E78" s="614">
        <v>2027</v>
      </c>
      <c r="G78" s="180"/>
      <c r="H78" s="180"/>
      <c r="I78" s="180"/>
      <c r="J78" s="180"/>
      <c r="K78" s="180"/>
      <c r="L78" s="180"/>
    </row>
    <row r="79" spans="1:13" x14ac:dyDescent="0.3">
      <c r="A79" s="613" t="s">
        <v>1752</v>
      </c>
      <c r="B79" s="613" t="s">
        <v>1753</v>
      </c>
      <c r="C79" s="814">
        <v>0.61</v>
      </c>
      <c r="D79" s="614">
        <v>2016</v>
      </c>
      <c r="E79" s="614">
        <v>2024</v>
      </c>
      <c r="G79" s="180"/>
      <c r="H79" s="180"/>
      <c r="I79" s="180"/>
      <c r="J79" s="180"/>
      <c r="K79" s="180"/>
      <c r="L79" s="180"/>
    </row>
    <row r="80" spans="1:13" hidden="1" x14ac:dyDescent="0.3">
      <c r="A80" s="613" t="s">
        <v>1887</v>
      </c>
      <c r="B80" s="613" t="s">
        <v>1888</v>
      </c>
      <c r="C80" s="814">
        <v>0.72</v>
      </c>
      <c r="D80" s="614">
        <v>2021</v>
      </c>
      <c r="E80" s="614">
        <v>2025</v>
      </c>
      <c r="G80" s="180"/>
      <c r="H80" s="180"/>
      <c r="I80" s="180"/>
      <c r="J80" s="180"/>
      <c r="K80" s="180"/>
      <c r="L80" s="180"/>
    </row>
    <row r="81" spans="1:12" x14ac:dyDescent="0.3">
      <c r="A81" s="613" t="s">
        <v>1754</v>
      </c>
      <c r="B81" s="613" t="s">
        <v>1755</v>
      </c>
      <c r="C81" s="814">
        <v>0.68410000000000004</v>
      </c>
      <c r="D81" s="614">
        <v>2020</v>
      </c>
      <c r="E81" s="614">
        <v>2024</v>
      </c>
      <c r="G81" s="180"/>
      <c r="H81" s="180"/>
      <c r="I81" s="180"/>
      <c r="J81" s="180"/>
      <c r="K81" s="180"/>
      <c r="L81" s="180"/>
    </row>
    <row r="82" spans="1:12" hidden="1" x14ac:dyDescent="0.3">
      <c r="A82" s="613" t="s">
        <v>1889</v>
      </c>
      <c r="B82" s="613" t="s">
        <v>1890</v>
      </c>
      <c r="C82" s="814">
        <v>0.51429999999999998</v>
      </c>
      <c r="D82" s="614">
        <v>2021</v>
      </c>
      <c r="E82" s="614">
        <v>2025</v>
      </c>
      <c r="G82" s="180"/>
      <c r="H82" s="180"/>
      <c r="I82" s="180"/>
      <c r="J82" s="180"/>
      <c r="K82" s="180"/>
      <c r="L82" s="180"/>
    </row>
    <row r="83" spans="1:12" hidden="1" x14ac:dyDescent="0.3">
      <c r="A83" s="613" t="s">
        <v>1891</v>
      </c>
      <c r="B83" s="613" t="s">
        <v>1892</v>
      </c>
      <c r="C83" s="814">
        <v>0.63270000000000004</v>
      </c>
      <c r="D83" s="614">
        <v>2019</v>
      </c>
      <c r="E83" s="614">
        <v>2023</v>
      </c>
      <c r="G83" s="180"/>
      <c r="H83" s="180"/>
      <c r="I83" s="180"/>
      <c r="J83" s="180"/>
      <c r="K83" s="180"/>
      <c r="L83" s="180"/>
    </row>
    <row r="84" spans="1:12" x14ac:dyDescent="0.3">
      <c r="A84" s="613" t="s">
        <v>1756</v>
      </c>
      <c r="B84" s="613" t="s">
        <v>1757</v>
      </c>
      <c r="C84" s="814">
        <v>0.83</v>
      </c>
      <c r="D84" s="614">
        <v>2016</v>
      </c>
      <c r="E84" s="614">
        <v>2024</v>
      </c>
      <c r="G84" s="180"/>
      <c r="H84" s="180"/>
      <c r="I84" s="180"/>
      <c r="J84" s="180"/>
      <c r="K84" s="180"/>
      <c r="L84" s="180"/>
    </row>
    <row r="85" spans="1:12" x14ac:dyDescent="0.3">
      <c r="A85" s="613" t="s">
        <v>1758</v>
      </c>
      <c r="B85" s="613" t="s">
        <v>1759</v>
      </c>
      <c r="C85" s="814">
        <v>0.77</v>
      </c>
      <c r="D85" s="614">
        <v>2018</v>
      </c>
      <c r="E85" s="614">
        <v>2024</v>
      </c>
      <c r="G85" s="180"/>
      <c r="H85" s="180"/>
      <c r="I85" s="180"/>
      <c r="J85" s="180"/>
      <c r="K85" s="180"/>
      <c r="L85" s="180"/>
    </row>
    <row r="86" spans="1:12" x14ac:dyDescent="0.3">
      <c r="A86" s="613" t="s">
        <v>1760</v>
      </c>
      <c r="B86" s="613" t="s">
        <v>1761</v>
      </c>
      <c r="C86" s="814">
        <v>0.69499999999999995</v>
      </c>
      <c r="D86" s="614">
        <v>2019</v>
      </c>
      <c r="E86" s="614">
        <v>2024</v>
      </c>
      <c r="G86" s="180"/>
      <c r="H86" s="180"/>
      <c r="I86" s="180"/>
      <c r="J86" s="180"/>
      <c r="K86" s="180"/>
      <c r="L86" s="180"/>
    </row>
    <row r="87" spans="1:12" hidden="1" x14ac:dyDescent="0.3">
      <c r="A87" s="613" t="s">
        <v>1893</v>
      </c>
      <c r="B87" s="613" t="s">
        <v>1894</v>
      </c>
      <c r="C87" s="814">
        <v>0.65749999999999997</v>
      </c>
      <c r="D87" s="614">
        <v>2019</v>
      </c>
      <c r="E87" s="614">
        <v>2023</v>
      </c>
      <c r="G87" s="180"/>
      <c r="H87" s="180"/>
      <c r="I87" s="180"/>
      <c r="J87" s="180"/>
      <c r="K87" s="180"/>
      <c r="L87" s="180"/>
    </row>
    <row r="88" spans="1:12" hidden="1" x14ac:dyDescent="0.3">
      <c r="A88" s="613" t="s">
        <v>1895</v>
      </c>
      <c r="B88" s="613" t="s">
        <v>1896</v>
      </c>
      <c r="C88" s="814">
        <v>0.59699999999999998</v>
      </c>
      <c r="D88" s="614">
        <v>2019</v>
      </c>
      <c r="E88" s="614">
        <v>2023</v>
      </c>
      <c r="G88" s="180"/>
      <c r="H88" s="180"/>
      <c r="I88" s="180"/>
      <c r="J88" s="180"/>
      <c r="K88" s="180"/>
      <c r="L88" s="180"/>
    </row>
    <row r="89" spans="1:12" hidden="1" x14ac:dyDescent="0.3">
      <c r="A89" s="613" t="s">
        <v>1897</v>
      </c>
      <c r="B89" s="613" t="s">
        <v>1898</v>
      </c>
      <c r="C89" s="814">
        <v>0.82499999999999996</v>
      </c>
      <c r="D89" s="614">
        <v>2019</v>
      </c>
      <c r="E89" s="614">
        <v>2027</v>
      </c>
      <c r="G89" s="180"/>
      <c r="H89" s="180"/>
      <c r="I89" s="180"/>
      <c r="J89" s="180"/>
      <c r="K89" s="180"/>
      <c r="L89" s="180"/>
    </row>
    <row r="90" spans="1:12" hidden="1" x14ac:dyDescent="0.3">
      <c r="A90" s="613" t="s">
        <v>1899</v>
      </c>
      <c r="B90" s="613" t="s">
        <v>549</v>
      </c>
      <c r="C90" s="814">
        <v>1</v>
      </c>
      <c r="D90" s="614">
        <v>2019</v>
      </c>
      <c r="E90" s="614">
        <v>2027</v>
      </c>
      <c r="G90" s="180"/>
      <c r="H90" s="180"/>
      <c r="I90" s="180"/>
      <c r="J90" s="180"/>
      <c r="K90" s="180"/>
      <c r="L90" s="180"/>
    </row>
    <row r="91" spans="1:12" hidden="1" x14ac:dyDescent="0.3">
      <c r="A91" s="613" t="s">
        <v>1900</v>
      </c>
      <c r="B91" s="613" t="s">
        <v>1901</v>
      </c>
      <c r="C91" s="814">
        <v>0.61</v>
      </c>
      <c r="D91" s="614">
        <v>2021</v>
      </c>
      <c r="E91" s="614">
        <v>2025</v>
      </c>
      <c r="G91" s="180"/>
      <c r="H91" s="180"/>
      <c r="I91" s="180"/>
      <c r="J91" s="180"/>
      <c r="K91" s="180"/>
      <c r="L91" s="180"/>
    </row>
    <row r="92" spans="1:12" hidden="1" x14ac:dyDescent="0.3">
      <c r="A92" s="613" t="s">
        <v>1902</v>
      </c>
      <c r="B92" s="613" t="s">
        <v>1903</v>
      </c>
      <c r="C92" s="814">
        <v>0.66</v>
      </c>
      <c r="D92" s="614">
        <v>2021</v>
      </c>
      <c r="E92" s="614">
        <v>2025</v>
      </c>
      <c r="G92" s="180"/>
      <c r="H92" s="180"/>
      <c r="I92" s="180"/>
      <c r="J92" s="180"/>
      <c r="K92" s="180"/>
      <c r="L92" s="180"/>
    </row>
    <row r="93" spans="1:12" hidden="1" x14ac:dyDescent="0.3">
      <c r="A93" s="613" t="s">
        <v>1904</v>
      </c>
      <c r="B93" s="613" t="s">
        <v>1905</v>
      </c>
      <c r="C93" s="814">
        <v>0.55200000000000005</v>
      </c>
      <c r="D93" s="614">
        <v>2021</v>
      </c>
      <c r="E93" s="614">
        <v>2025</v>
      </c>
      <c r="G93" s="180"/>
      <c r="H93" s="180"/>
      <c r="I93" s="180"/>
      <c r="J93" s="180"/>
      <c r="K93" s="180"/>
      <c r="L93" s="180"/>
    </row>
    <row r="94" spans="1:12" hidden="1" x14ac:dyDescent="0.3">
      <c r="A94" s="613" t="s">
        <v>1906</v>
      </c>
      <c r="B94" s="613" t="s">
        <v>1907</v>
      </c>
      <c r="C94" s="814">
        <v>0.36</v>
      </c>
      <c r="D94" s="614">
        <v>2021</v>
      </c>
      <c r="E94" s="614">
        <v>2029</v>
      </c>
      <c r="G94" s="180"/>
      <c r="H94" s="180"/>
      <c r="I94" s="180"/>
      <c r="J94" s="180"/>
      <c r="K94" s="180"/>
      <c r="L94" s="180"/>
    </row>
    <row r="95" spans="1:12" hidden="1" x14ac:dyDescent="0.3">
      <c r="A95" s="613" t="s">
        <v>1908</v>
      </c>
      <c r="B95" s="613" t="s">
        <v>1909</v>
      </c>
      <c r="C95" s="814">
        <v>0.60329999999999995</v>
      </c>
      <c r="D95" s="614">
        <v>2021</v>
      </c>
      <c r="E95" s="614">
        <v>2025</v>
      </c>
      <c r="G95" s="180"/>
      <c r="H95" s="180"/>
      <c r="I95" s="180"/>
      <c r="J95" s="180"/>
      <c r="K95" s="180"/>
      <c r="L95" s="180"/>
    </row>
    <row r="96" spans="1:12" hidden="1" x14ac:dyDescent="0.3">
      <c r="A96" s="613" t="s">
        <v>1910</v>
      </c>
      <c r="B96" s="613" t="s">
        <v>558</v>
      </c>
      <c r="C96" s="814">
        <v>0.95</v>
      </c>
      <c r="D96" s="614">
        <v>2017</v>
      </c>
      <c r="E96" s="614">
        <v>2025</v>
      </c>
      <c r="G96" s="180"/>
      <c r="H96" s="180"/>
      <c r="I96" s="180"/>
      <c r="J96" s="180"/>
      <c r="K96" s="180"/>
      <c r="L96" s="180"/>
    </row>
    <row r="97" spans="1:12" hidden="1" x14ac:dyDescent="0.3">
      <c r="A97" s="613" t="s">
        <v>1911</v>
      </c>
      <c r="B97" s="613" t="s">
        <v>1912</v>
      </c>
      <c r="C97" s="814">
        <v>0.58799999999999997</v>
      </c>
      <c r="D97" s="614">
        <v>2021</v>
      </c>
      <c r="E97" s="614">
        <v>2025</v>
      </c>
      <c r="G97" s="180"/>
      <c r="H97" s="180"/>
      <c r="I97" s="180"/>
      <c r="J97" s="180"/>
      <c r="K97" s="180"/>
      <c r="L97" s="180"/>
    </row>
    <row r="98" spans="1:12" x14ac:dyDescent="0.3">
      <c r="A98" s="613" t="s">
        <v>1762</v>
      </c>
      <c r="B98" s="613" t="s">
        <v>1763</v>
      </c>
      <c r="C98" s="814">
        <v>0.89</v>
      </c>
      <c r="D98" s="614">
        <v>2016</v>
      </c>
      <c r="E98" s="614">
        <v>2024</v>
      </c>
    </row>
    <row r="99" spans="1:12" x14ac:dyDescent="0.3">
      <c r="A99" s="613" t="s">
        <v>1764</v>
      </c>
      <c r="B99" s="613" t="s">
        <v>1765</v>
      </c>
      <c r="C99" s="814">
        <v>0.6</v>
      </c>
      <c r="D99" s="614">
        <v>2020</v>
      </c>
      <c r="E99" s="614">
        <v>2024</v>
      </c>
    </row>
    <row r="100" spans="1:12" hidden="1" x14ac:dyDescent="0.3">
      <c r="A100" s="613" t="s">
        <v>1913</v>
      </c>
      <c r="B100" s="613" t="s">
        <v>1914</v>
      </c>
      <c r="C100" s="814">
        <v>0.81</v>
      </c>
      <c r="D100" s="614">
        <v>2017</v>
      </c>
      <c r="E100" s="614">
        <v>2025</v>
      </c>
    </row>
    <row r="101" spans="1:12" hidden="1" x14ac:dyDescent="0.3">
      <c r="A101" s="613" t="s">
        <v>1915</v>
      </c>
      <c r="B101" s="613" t="s">
        <v>1916</v>
      </c>
      <c r="C101" s="814">
        <v>0.85</v>
      </c>
      <c r="D101" s="614">
        <v>2021</v>
      </c>
      <c r="E101" s="614">
        <v>2029</v>
      </c>
    </row>
    <row r="102" spans="1:12" hidden="1" x14ac:dyDescent="0.3">
      <c r="A102" s="613" t="s">
        <v>1917</v>
      </c>
      <c r="B102" s="613" t="s">
        <v>1918</v>
      </c>
      <c r="C102" s="814">
        <v>0.40300000000000002</v>
      </c>
      <c r="D102" s="614">
        <v>2014</v>
      </c>
      <c r="E102" s="614">
        <v>2022</v>
      </c>
    </row>
    <row r="103" spans="1:12" hidden="1" x14ac:dyDescent="0.3">
      <c r="A103" s="613" t="s">
        <v>1919</v>
      </c>
      <c r="B103" s="613" t="s">
        <v>1920</v>
      </c>
      <c r="C103" s="814">
        <v>0.70750000000000002</v>
      </c>
      <c r="D103" s="614">
        <v>2019</v>
      </c>
      <c r="E103" s="614">
        <v>2027</v>
      </c>
    </row>
    <row r="104" spans="1:12" hidden="1" x14ac:dyDescent="0.3">
      <c r="A104" s="613" t="s">
        <v>1921</v>
      </c>
      <c r="B104" s="613" t="s">
        <v>1922</v>
      </c>
      <c r="C104" s="814">
        <v>0.66</v>
      </c>
      <c r="D104" s="614">
        <v>2019</v>
      </c>
      <c r="E104" s="614">
        <v>2023</v>
      </c>
    </row>
    <row r="105" spans="1:12" x14ac:dyDescent="0.3">
      <c r="A105" s="613" t="s">
        <v>1766</v>
      </c>
      <c r="B105" s="613" t="s">
        <v>1767</v>
      </c>
      <c r="C105" s="814">
        <v>0.73</v>
      </c>
      <c r="D105" s="614">
        <v>2016</v>
      </c>
      <c r="E105" s="614">
        <v>2024</v>
      </c>
    </row>
    <row r="106" spans="1:12" hidden="1" x14ac:dyDescent="0.3">
      <c r="A106" s="613" t="s">
        <v>1923</v>
      </c>
      <c r="B106" s="613" t="s">
        <v>1924</v>
      </c>
      <c r="C106" s="814">
        <v>0.66</v>
      </c>
      <c r="D106" s="614">
        <v>2017</v>
      </c>
      <c r="E106" s="614">
        <v>2023</v>
      </c>
    </row>
    <row r="107" spans="1:12" x14ac:dyDescent="0.3">
      <c r="A107" s="613" t="s">
        <v>1925</v>
      </c>
      <c r="B107" s="613" t="s">
        <v>1926</v>
      </c>
      <c r="C107" s="814">
        <v>0.6</v>
      </c>
      <c r="D107" s="614">
        <v>2016</v>
      </c>
      <c r="E107" s="614">
        <v>2024</v>
      </c>
    </row>
    <row r="109" spans="1:12" x14ac:dyDescent="0.3">
      <c r="C109" s="814">
        <f>SUM(C8:C108)</f>
        <v>67.168499999999995</v>
      </c>
    </row>
  </sheetData>
  <sheetProtection algorithmName="SHA-512" hashValue="7gnlxkCtkjB8fMAbkd+dShpbZ1V/S/0/+H/XPxNAOCgS1FXiHj9wAaQW9ybHiaLRk7sRvnbUA0gnKkKRJ2JOLQ==" saltValue="kW6bFXL75o3BbEjrLWOPrQ==" spinCount="100000" sheet="1" objects="1" scenarios="1"/>
  <autoFilter ref="A7:E107" xr:uid="{C4C859C7-D101-4FF8-B13C-F4FADB068718}">
    <filterColumn colId="4">
      <filters>
        <filter val="2024"/>
      </filters>
    </filterColumn>
  </autoFilter>
  <sortState xmlns:xlrd2="http://schemas.microsoft.com/office/spreadsheetml/2017/richdata2" ref="A7:D106">
    <sortCondition ref="D7:D106"/>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714"/>
  <sheetViews>
    <sheetView zoomScale="93" zoomScaleNormal="93" workbookViewId="0">
      <pane xSplit="3" ySplit="3" topLeftCell="D4" activePane="bottomRight" state="frozen"/>
      <selection activeCell="K179" sqref="K179"/>
      <selection pane="topRight" activeCell="K179" sqref="K179"/>
      <selection pane="bottomLeft" activeCell="K179" sqref="K179"/>
      <selection pane="bottomRight" activeCell="D5" sqref="D5"/>
    </sheetView>
  </sheetViews>
  <sheetFormatPr defaultColWidth="9.109375" defaultRowHeight="14.4" x14ac:dyDescent="0.3"/>
  <cols>
    <col min="1" max="1" width="8.88671875" style="3" customWidth="1"/>
    <col min="2" max="2" width="17.5546875" style="46" bestFit="1" customWidth="1"/>
    <col min="3" max="3" width="42.5546875" style="364" customWidth="1"/>
    <col min="4" max="4" width="20.88671875" style="3" bestFit="1" customWidth="1"/>
    <col min="5" max="5" width="17.5546875" style="3" customWidth="1"/>
    <col min="6" max="6" width="22.6640625" style="3" customWidth="1"/>
    <col min="7" max="7" width="17.44140625" style="277" customWidth="1"/>
    <col min="8" max="8" width="9.6640625" style="3" customWidth="1"/>
    <col min="9" max="9" width="1" style="309" customWidth="1"/>
    <col min="10" max="10" width="18.109375" style="5" customWidth="1"/>
    <col min="11" max="11" width="36.88671875" style="9" customWidth="1"/>
    <col min="12" max="12" width="26.33203125" style="371" customWidth="1"/>
    <col min="13" max="13" width="8.44140625" customWidth="1"/>
    <col min="14" max="14" width="18.109375" style="3" customWidth="1"/>
    <col min="15" max="15" width="17.88671875" style="3" customWidth="1"/>
    <col min="16" max="16" width="9.109375" style="188" customWidth="1"/>
    <col min="17" max="17" width="10.33203125" style="279" customWidth="1"/>
    <col min="18" max="18" width="7.109375" style="3" customWidth="1"/>
    <col min="19" max="19" width="6" style="3" customWidth="1"/>
    <col min="20" max="20" width="6.6640625" style="3" customWidth="1"/>
    <col min="21" max="21" width="7.5546875" style="3" customWidth="1"/>
    <col min="22" max="22" width="3.44140625" style="3" customWidth="1"/>
    <col min="23" max="23" width="7.33203125" style="3" customWidth="1"/>
    <col min="24" max="24" width="10.5546875" style="3" customWidth="1"/>
    <col min="25" max="25" width="9.88671875" style="3" customWidth="1"/>
    <col min="26" max="26" width="9.109375" style="3" customWidth="1"/>
    <col min="27" max="16384" width="9.109375" style="3"/>
  </cols>
  <sheetData>
    <row r="1" spans="1:28" ht="36" x14ac:dyDescent="0.3">
      <c r="C1" s="43" t="s">
        <v>415</v>
      </c>
      <c r="D1" s="13">
        <f>L51-(L38+L39-L43-L44-L199)-L47</f>
        <v>0</v>
      </c>
      <c r="I1" s="278"/>
      <c r="J1" s="42"/>
      <c r="K1" s="14" t="s">
        <v>46</v>
      </c>
      <c r="L1" s="56"/>
      <c r="S1" s="3">
        <v>100</v>
      </c>
      <c r="T1" s="3">
        <v>1</v>
      </c>
    </row>
    <row r="2" spans="1:28" ht="44.4" x14ac:dyDescent="0.4">
      <c r="C2" s="67" t="str">
        <f>'Unit Data from Audit Worksheet'!D2</f>
        <v>Select Unit Name from Drop Down List</v>
      </c>
      <c r="D2" s="135">
        <v>2023</v>
      </c>
      <c r="E2" s="135">
        <v>2023</v>
      </c>
      <c r="F2" s="12"/>
      <c r="G2" s="63"/>
      <c r="H2" s="12"/>
      <c r="I2" s="278"/>
      <c r="J2" s="37" t="s">
        <v>42</v>
      </c>
      <c r="K2" s="8" t="s">
        <v>41</v>
      </c>
      <c r="L2" s="61" t="s">
        <v>30</v>
      </c>
      <c r="S2" s="3">
        <v>200</v>
      </c>
      <c r="T2" s="3">
        <v>2</v>
      </c>
      <c r="X2" s="311" t="s">
        <v>894</v>
      </c>
      <c r="Y2" s="311" t="s">
        <v>893</v>
      </c>
    </row>
    <row r="3" spans="1:28" ht="31.2" x14ac:dyDescent="0.3">
      <c r="A3" s="280" t="s">
        <v>42</v>
      </c>
      <c r="B3" s="281"/>
      <c r="C3" s="40" t="s">
        <v>1</v>
      </c>
      <c r="D3" s="15" t="s">
        <v>43</v>
      </c>
      <c r="E3" s="15" t="s">
        <v>44</v>
      </c>
      <c r="F3" s="16" t="s">
        <v>48</v>
      </c>
      <c r="G3" s="68" t="s">
        <v>312</v>
      </c>
      <c r="H3" s="16" t="s">
        <v>347</v>
      </c>
      <c r="I3" s="278"/>
      <c r="J3" s="282"/>
      <c r="K3" s="136"/>
      <c r="L3" s="283"/>
      <c r="O3" s="3" t="s">
        <v>281</v>
      </c>
      <c r="Q3" s="79" t="s">
        <v>313</v>
      </c>
      <c r="S3" s="3">
        <v>300</v>
      </c>
      <c r="T3" s="3">
        <v>3</v>
      </c>
      <c r="Y3" s="3" t="s">
        <v>663</v>
      </c>
    </row>
    <row r="4" spans="1:28" ht="25.95" customHeight="1" x14ac:dyDescent="0.35">
      <c r="A4" s="284"/>
      <c r="B4" s="285"/>
      <c r="C4" s="44"/>
      <c r="D4" s="7"/>
      <c r="E4" s="7"/>
      <c r="F4" s="7"/>
      <c r="G4" s="64"/>
      <c r="H4" s="7"/>
      <c r="I4" s="278"/>
      <c r="J4" s="39">
        <v>999</v>
      </c>
      <c r="K4" s="11" t="s">
        <v>278</v>
      </c>
      <c r="L4" s="728" t="e">
        <f>'Unit Data from Audit Worksheet'!D3</f>
        <v>#N/A</v>
      </c>
      <c r="S4" s="3">
        <v>400</v>
      </c>
      <c r="T4" s="3">
        <v>4</v>
      </c>
      <c r="X4" s="286"/>
      <c r="Y4" s="286"/>
    </row>
    <row r="5" spans="1:28" ht="57" customHeight="1" x14ac:dyDescent="0.3">
      <c r="A5" s="287">
        <f>'Unit Data from Audit Worksheet'!A9</f>
        <v>333</v>
      </c>
      <c r="B5" s="48" t="str">
        <f>'Unit Data from Audit Worksheet'!C9</f>
        <v>Net Position-Governmental Activities</v>
      </c>
      <c r="C5" s="288" t="str">
        <f>'Unit Data from Audit Worksheet'!D9</f>
        <v xml:space="preserve"> All unrestricted Cash and investments.  
Exclude: restricted cash 
                   cash held by a third party. </v>
      </c>
      <c r="D5" s="134"/>
      <c r="E5" s="142">
        <f>'Unit Data from Audit Worksheet'!F9</f>
        <v>0</v>
      </c>
      <c r="F5" s="224">
        <f>IF(L5&lt;0,"Error: Number is normally positive.",)</f>
        <v>0</v>
      </c>
      <c r="G5" s="65"/>
      <c r="H5" s="223"/>
      <c r="I5" s="32"/>
      <c r="J5" s="36">
        <v>333</v>
      </c>
      <c r="K5" s="45" t="s">
        <v>176</v>
      </c>
      <c r="L5" s="289">
        <f>IF(D5="",E5,D5)</f>
        <v>0</v>
      </c>
      <c r="P5" s="195"/>
      <c r="X5" s="552">
        <v>333</v>
      </c>
      <c r="Y5" s="286">
        <v>333</v>
      </c>
      <c r="AA5" s="3">
        <f>A5-J5</f>
        <v>0</v>
      </c>
      <c r="AB5" s="286">
        <f>E5-L5</f>
        <v>0</v>
      </c>
    </row>
    <row r="6" spans="1:28" ht="39.75" customHeight="1" x14ac:dyDescent="0.3">
      <c r="A6" s="212">
        <f>'Unit Data from Audit Worksheet'!A10</f>
        <v>500</v>
      </c>
      <c r="B6" s="225" t="str">
        <f>'Unit Data from Audit Worksheet'!C10</f>
        <v>Net Position-Governmental Activities</v>
      </c>
      <c r="C6" s="211" t="str">
        <f>'Unit Data from Audit Worksheet'!D10</f>
        <v xml:space="preserve"> All restricted Cash and investments</v>
      </c>
      <c r="D6" s="134"/>
      <c r="E6" s="231">
        <f>'Unit Data from Audit Worksheet'!F10</f>
        <v>0</v>
      </c>
      <c r="F6" s="224">
        <f>IF(L6&lt;0,"Error: Number is normally positive.",)</f>
        <v>0</v>
      </c>
      <c r="G6" s="226"/>
      <c r="H6" s="223"/>
      <c r="I6" s="32"/>
      <c r="J6" s="222">
        <v>500</v>
      </c>
      <c r="K6" s="221" t="s">
        <v>175</v>
      </c>
      <c r="L6" s="289">
        <f>IF(D6="",E6,D6)</f>
        <v>0</v>
      </c>
      <c r="P6" s="196"/>
      <c r="X6" s="552">
        <v>500</v>
      </c>
      <c r="Y6" s="286">
        <v>500</v>
      </c>
      <c r="AA6" s="386">
        <f t="shared" ref="AA6:AA71" si="0">A6-J6</f>
        <v>0</v>
      </c>
      <c r="AB6" s="286">
        <f t="shared" ref="AB6:AB71" si="1">E6-L6</f>
        <v>0</v>
      </c>
    </row>
    <row r="7" spans="1:28" ht="43.5" customHeight="1" x14ac:dyDescent="0.3">
      <c r="A7" s="212">
        <f>'Unit Data from Audit Worksheet'!A11</f>
        <v>385</v>
      </c>
      <c r="B7" s="225" t="str">
        <f>'Unit Data from Audit Worksheet'!C11</f>
        <v>Net Position-Governmental Activities</v>
      </c>
      <c r="C7" s="211" t="str">
        <f>'Unit Data from Audit Worksheet'!D11</f>
        <v>Total Assets and deferred outflows</v>
      </c>
      <c r="D7" s="134"/>
      <c r="E7" s="231">
        <f>'Unit Data from Audit Worksheet'!F11</f>
        <v>0</v>
      </c>
      <c r="F7" s="126">
        <f>IF((L5+L6)&gt;L7,"Error: Please review accts (333 + 500) &gt; 385",)</f>
        <v>0</v>
      </c>
      <c r="G7" s="226" t="str">
        <f>IF(Q7=1," Included in error count"," ")</f>
        <v xml:space="preserve"> </v>
      </c>
      <c r="H7" s="223"/>
      <c r="I7" s="32"/>
      <c r="J7" s="69">
        <v>385</v>
      </c>
      <c r="K7" s="70" t="s">
        <v>107</v>
      </c>
      <c r="L7" s="290">
        <f>IF(D7="",E7,D7)+IF(D9="",E9,D9)</f>
        <v>0</v>
      </c>
      <c r="N7" s="71" t="s">
        <v>299</v>
      </c>
      <c r="P7" s="196"/>
      <c r="X7" s="552">
        <v>385</v>
      </c>
      <c r="Y7" s="286">
        <v>385</v>
      </c>
      <c r="AA7" s="386">
        <f t="shared" si="0"/>
        <v>0</v>
      </c>
      <c r="AB7" s="286">
        <f t="shared" si="1"/>
        <v>0</v>
      </c>
    </row>
    <row r="8" spans="1:28" ht="90.75" customHeight="1" x14ac:dyDescent="0.3">
      <c r="A8" s="212">
        <f>'Unit Data from Audit Worksheet'!A12</f>
        <v>575</v>
      </c>
      <c r="B8" s="225" t="str">
        <f>'Unit Data from Audit Worksheet'!C12</f>
        <v>Net Position-Governmental Activities</v>
      </c>
      <c r="C8" s="211" t="str">
        <f>'Unit Data from Audit Worksheet'!D12</f>
        <v>Record any positive Internal balances on the net position statements that appear in the Asset Section of the Net Position Statement</v>
      </c>
      <c r="D8" s="134"/>
      <c r="E8" s="231">
        <f>'Unit Data from Audit Worksheet'!F12</f>
        <v>0</v>
      </c>
      <c r="F8" s="224">
        <f>IF(L8&lt;0,"Error: Number is normally positive.",)</f>
        <v>0</v>
      </c>
      <c r="G8" s="226"/>
      <c r="H8" s="223"/>
      <c r="I8" s="32"/>
      <c r="J8" s="222">
        <v>575</v>
      </c>
      <c r="K8" s="228" t="s">
        <v>302</v>
      </c>
      <c r="L8" s="289">
        <f>IF(D8="",E8,D8)</f>
        <v>0</v>
      </c>
      <c r="N8" s="57"/>
      <c r="P8" s="196"/>
      <c r="X8" s="552">
        <v>575</v>
      </c>
      <c r="Y8" s="286">
        <v>575</v>
      </c>
      <c r="AA8" s="386">
        <f t="shared" si="0"/>
        <v>0</v>
      </c>
      <c r="AB8" s="286">
        <f t="shared" si="1"/>
        <v>0</v>
      </c>
    </row>
    <row r="9" spans="1:28" ht="103.5" customHeight="1" x14ac:dyDescent="0.3">
      <c r="A9" s="212">
        <f>'Unit Data from Audit Worksheet'!A13</f>
        <v>576</v>
      </c>
      <c r="B9" s="225" t="str">
        <f>'Unit Data from Audit Worksheet'!C13</f>
        <v>Net Position-Governmental Activities</v>
      </c>
      <c r="C9" s="291" t="str">
        <f>'Unit Data from Audit Worksheet'!D13</f>
        <v>Record any negative Internal balances on the net position statements that appear in the Asset Section of the Net Position Statement.
Enter as a positive</v>
      </c>
      <c r="D9" s="102"/>
      <c r="E9" s="145">
        <f>'Unit Data from Audit Worksheet'!F13</f>
        <v>0</v>
      </c>
      <c r="F9" s="220">
        <f>IF(E9&lt;0,"Error: Enter as positive.",)</f>
        <v>0</v>
      </c>
      <c r="G9" s="104"/>
      <c r="H9" s="105"/>
      <c r="I9" s="32"/>
      <c r="J9" s="97">
        <v>576</v>
      </c>
      <c r="K9" s="228" t="s">
        <v>303</v>
      </c>
      <c r="L9" s="289">
        <f>IF(D9="",E9,D9)</f>
        <v>0</v>
      </c>
      <c r="N9" s="57"/>
      <c r="P9" s="197"/>
      <c r="X9" s="552">
        <v>576</v>
      </c>
      <c r="Y9" s="286">
        <v>576</v>
      </c>
      <c r="AA9" s="386">
        <f t="shared" si="0"/>
        <v>0</v>
      </c>
      <c r="AB9" s="286">
        <f t="shared" si="1"/>
        <v>0</v>
      </c>
    </row>
    <row r="10" spans="1:28" s="18" customFormat="1" ht="100.5" customHeight="1" x14ac:dyDescent="0.3">
      <c r="A10" s="212">
        <f>'Unit Data from Audit Worksheet'!A14</f>
        <v>626</v>
      </c>
      <c r="B10" s="217" t="str">
        <f>'Unit Data from Audit Worksheet'!C14</f>
        <v>Net Position-Governmental Activities</v>
      </c>
      <c r="C10" s="216" t="str">
        <f>'Unit Data from Audit Worksheet'!D14</f>
        <v xml:space="preserve">Total Current liabilities (as reported on Statement of Net Position)
Include:   Current liabilities including current portion of long-term debt.  Deferred inflows should not be included in Current Liabilities  </v>
      </c>
      <c r="D10" s="102"/>
      <c r="E10" s="670">
        <f>'Unit Data from Audit Worksheet'!F14</f>
        <v>0</v>
      </c>
      <c r="F10"/>
      <c r="G10"/>
      <c r="H10"/>
      <c r="I10" s="32"/>
      <c r="J10" s="647">
        <v>626</v>
      </c>
      <c r="K10" s="648" t="s">
        <v>372</v>
      </c>
      <c r="L10" s="649">
        <f>IF(D10="",E10,D10)+IF(D9="",E9,D9)</f>
        <v>0</v>
      </c>
      <c r="M10"/>
      <c r="N10" s="167" t="s">
        <v>299</v>
      </c>
      <c r="O10" s="292"/>
      <c r="P10" s="198"/>
      <c r="Q10" s="293"/>
      <c r="R10" s="3"/>
      <c r="X10" s="552">
        <v>626</v>
      </c>
      <c r="Y10" s="294">
        <v>626</v>
      </c>
      <c r="AA10" s="386">
        <f t="shared" si="0"/>
        <v>0</v>
      </c>
      <c r="AB10" s="286">
        <f t="shared" si="1"/>
        <v>0</v>
      </c>
    </row>
    <row r="11" spans="1:28" s="18" customFormat="1" ht="86.25" customHeight="1" x14ac:dyDescent="0.3">
      <c r="A11" s="212">
        <f>'Unit Data from Audit Worksheet'!A15</f>
        <v>627</v>
      </c>
      <c r="B11" s="217" t="str">
        <f>'Unit Data from Audit Worksheet'!C15</f>
        <v>Net Position-Governmental Activities</v>
      </c>
      <c r="C11" s="216" t="str">
        <f>'Unit Data from Audit Worksheet'!D15</f>
        <v>Please enter any bond anticipation notes that are classified as current liabilities and included in account 626 above (amounts entered should agree to the current amount included in the changes to long-term debt note)</v>
      </c>
      <c r="D11" s="102"/>
      <c r="E11" s="234">
        <f>'Unit Data from Audit Worksheet'!F15</f>
        <v>0</v>
      </c>
      <c r="F11" s="669"/>
      <c r="G11" s="668"/>
      <c r="H11" s="669"/>
      <c r="I11" s="32"/>
      <c r="J11" s="218">
        <v>627</v>
      </c>
      <c r="K11" s="193" t="s">
        <v>364</v>
      </c>
      <c r="L11" s="295">
        <f t="shared" ref="L11:L16" si="2">IF(D11="",E11,D11)</f>
        <v>0</v>
      </c>
      <c r="M11"/>
      <c r="N11" s="166"/>
      <c r="O11" s="292"/>
      <c r="P11" s="198"/>
      <c r="Q11" s="293"/>
      <c r="R11" s="3"/>
      <c r="X11" s="552">
        <v>627</v>
      </c>
      <c r="Y11" s="294">
        <v>627</v>
      </c>
      <c r="AA11" s="386">
        <f t="shared" si="0"/>
        <v>0</v>
      </c>
      <c r="AB11" s="286">
        <f t="shared" si="1"/>
        <v>0</v>
      </c>
    </row>
    <row r="12" spans="1:28" s="18" customFormat="1" ht="86.25" customHeight="1" x14ac:dyDescent="0.3">
      <c r="A12" s="212">
        <f>'Unit Data from Audit Worksheet'!A16</f>
        <v>628</v>
      </c>
      <c r="B12" s="217" t="str">
        <f>'Unit Data from Audit Worksheet'!C16</f>
        <v>Net Position-Governmental Activities</v>
      </c>
      <c r="C12" s="216" t="str">
        <f>'Unit Data from Audit Worksheet'!D16</f>
        <v>Please enter any compensated absences that are classified as current liabilities and included in account 626 above (amounts entered should agree to the current amount included in the changes to long-term debt note)</v>
      </c>
      <c r="D12" s="102"/>
      <c r="E12" s="234">
        <f>'Unit Data from Audit Worksheet'!F16</f>
        <v>0</v>
      </c>
      <c r="F12" s="219"/>
      <c r="G12" s="207"/>
      <c r="H12" s="219"/>
      <c r="I12" s="32"/>
      <c r="J12" s="218">
        <v>628</v>
      </c>
      <c r="K12" s="193" t="s">
        <v>369</v>
      </c>
      <c r="L12" s="295">
        <f t="shared" si="2"/>
        <v>0</v>
      </c>
      <c r="M12"/>
      <c r="N12" s="166"/>
      <c r="O12" s="292"/>
      <c r="P12" s="198"/>
      <c r="Q12" s="293"/>
      <c r="R12" s="3"/>
      <c r="X12" s="552">
        <v>628</v>
      </c>
      <c r="Y12" s="294">
        <v>628</v>
      </c>
      <c r="AA12" s="386">
        <f t="shared" si="0"/>
        <v>0</v>
      </c>
      <c r="AB12" s="286">
        <f t="shared" si="1"/>
        <v>0</v>
      </c>
    </row>
    <row r="13" spans="1:28" s="18" customFormat="1" ht="93" customHeight="1" x14ac:dyDescent="0.3">
      <c r="A13" s="212">
        <f>'Unit Data from Audit Worksheet'!A17</f>
        <v>629</v>
      </c>
      <c r="B13" s="217" t="str">
        <f>'Unit Data from Audit Worksheet'!C17</f>
        <v>Net Position-Governmental Activities</v>
      </c>
      <c r="C13" s="216" t="str">
        <f>'Unit Data from Audit Worksheet'!D17</f>
        <v>Please enter any pension liabilities that are classified as current liabilities and included in account 626 above (amounts entered should agree to the current amount included in the changes to long-term debt note)</v>
      </c>
      <c r="D13" s="102"/>
      <c r="E13" s="234">
        <f>'Unit Data from Audit Worksheet'!F17</f>
        <v>0</v>
      </c>
      <c r="F13" s="219"/>
      <c r="G13" s="207"/>
      <c r="H13" s="219"/>
      <c r="I13" s="32"/>
      <c r="J13" s="218">
        <v>629</v>
      </c>
      <c r="K13" s="193" t="s">
        <v>368</v>
      </c>
      <c r="L13" s="295">
        <f t="shared" si="2"/>
        <v>0</v>
      </c>
      <c r="M13"/>
      <c r="N13" s="166"/>
      <c r="O13" s="292"/>
      <c r="P13" s="198"/>
      <c r="Q13" s="293"/>
      <c r="R13" s="3"/>
      <c r="X13" s="552">
        <v>629</v>
      </c>
      <c r="Y13" s="294">
        <v>629</v>
      </c>
      <c r="AA13" s="386">
        <f t="shared" si="0"/>
        <v>0</v>
      </c>
      <c r="AB13" s="286">
        <f t="shared" si="1"/>
        <v>0</v>
      </c>
    </row>
    <row r="14" spans="1:28" s="18" customFormat="1" ht="67.5" customHeight="1" x14ac:dyDescent="0.3">
      <c r="A14" s="212">
        <f>'Unit Data from Audit Worksheet'!A18</f>
        <v>630</v>
      </c>
      <c r="B14" s="217" t="str">
        <f>'Unit Data from Audit Worksheet'!C18</f>
        <v>Net Position-Governmental Activities</v>
      </c>
      <c r="C14" s="216" t="str">
        <f>'Unit Data from Audit Worksheet'!D18</f>
        <v>Please enter any current liabilities that are payable from restricted assets and included in account 626 above</v>
      </c>
      <c r="D14" s="102"/>
      <c r="E14" s="234">
        <f>'Unit Data from Audit Worksheet'!F18</f>
        <v>0</v>
      </c>
      <c r="F14" s="219"/>
      <c r="G14" s="207"/>
      <c r="H14" s="219"/>
      <c r="I14" s="32"/>
      <c r="J14" s="218">
        <v>630</v>
      </c>
      <c r="K14" s="193" t="s">
        <v>367</v>
      </c>
      <c r="L14" s="295">
        <f t="shared" si="2"/>
        <v>0</v>
      </c>
      <c r="M14"/>
      <c r="N14" s="166"/>
      <c r="O14" s="292"/>
      <c r="P14" s="198"/>
      <c r="Q14" s="293"/>
      <c r="R14" s="3"/>
      <c r="X14" s="552">
        <v>630</v>
      </c>
      <c r="Y14" s="294">
        <v>630</v>
      </c>
      <c r="AA14" s="386">
        <f t="shared" si="0"/>
        <v>0</v>
      </c>
      <c r="AB14" s="286">
        <f t="shared" si="1"/>
        <v>0</v>
      </c>
    </row>
    <row r="15" spans="1:28" s="18" customFormat="1" ht="102.75" customHeight="1" x14ac:dyDescent="0.3">
      <c r="A15" s="212">
        <f>'Unit Data from Audit Worksheet'!A19</f>
        <v>631</v>
      </c>
      <c r="B15" s="225" t="str">
        <f>'Unit Data from Audit Worksheet'!C19</f>
        <v>Net Position-Governmental Activities</v>
      </c>
      <c r="C15" s="208" t="str">
        <f>'Unit Data from Audit Worksheet'!D19</f>
        <v>Please enter any OPEB liabilities that are classified as current liabilities and included in account 626 above (amounts entered should agree to the current amount included in the changes to long-term debt note)</v>
      </c>
      <c r="D15" s="102"/>
      <c r="E15" s="234">
        <f>'Unit Data from Audit Worksheet'!F19</f>
        <v>0</v>
      </c>
      <c r="F15" s="219"/>
      <c r="G15" s="207"/>
      <c r="H15" s="219"/>
      <c r="I15" s="32"/>
      <c r="J15" s="218">
        <v>631</v>
      </c>
      <c r="K15" s="193" t="s">
        <v>366</v>
      </c>
      <c r="L15" s="295">
        <f t="shared" si="2"/>
        <v>0</v>
      </c>
      <c r="M15"/>
      <c r="N15" s="166"/>
      <c r="O15" s="292"/>
      <c r="P15" s="198"/>
      <c r="Q15" s="293"/>
      <c r="R15" s="3"/>
      <c r="X15" s="552">
        <v>631</v>
      </c>
      <c r="Y15" s="294">
        <v>631</v>
      </c>
      <c r="AA15" s="386">
        <f t="shared" si="0"/>
        <v>0</v>
      </c>
      <c r="AB15" s="286">
        <f t="shared" si="1"/>
        <v>0</v>
      </c>
    </row>
    <row r="16" spans="1:28" s="18" customFormat="1" ht="119.25" customHeight="1" x14ac:dyDescent="0.3">
      <c r="A16" s="212">
        <f>'Unit Data from Audit Worksheet'!A20</f>
        <v>632</v>
      </c>
      <c r="B16" s="225" t="str">
        <f>'Unit Data from Audit Worksheet'!C20</f>
        <v>Net Position-Governmental Activities</v>
      </c>
      <c r="C16" s="208" t="str">
        <f>'Unit Data from Audit Worksheet'!D20</f>
        <v>Please enter any landfill closure/postclosure liabilities that are classified as current liabilities and included in account 626 above (amounts entered should agree to the current amount included in the changes to long-term debt note)</v>
      </c>
      <c r="D16" s="102"/>
      <c r="E16" s="234">
        <f>'Unit Data from Audit Worksheet'!F20</f>
        <v>0</v>
      </c>
      <c r="F16" s="219"/>
      <c r="G16" s="207"/>
      <c r="H16" s="219"/>
      <c r="I16" s="32"/>
      <c r="J16" s="218">
        <v>632</v>
      </c>
      <c r="K16" s="193" t="s">
        <v>365</v>
      </c>
      <c r="L16" s="295">
        <f t="shared" si="2"/>
        <v>0</v>
      </c>
      <c r="M16"/>
      <c r="N16" s="166"/>
      <c r="O16" s="292"/>
      <c r="P16" s="198"/>
      <c r="Q16" s="293"/>
      <c r="R16" s="3"/>
      <c r="X16" s="552">
        <v>632</v>
      </c>
      <c r="Y16" s="294">
        <v>632</v>
      </c>
      <c r="AA16" s="386">
        <f t="shared" si="0"/>
        <v>0</v>
      </c>
      <c r="AB16" s="286">
        <f t="shared" si="1"/>
        <v>0</v>
      </c>
    </row>
    <row r="17" spans="1:28" ht="30.6" x14ac:dyDescent="0.3">
      <c r="A17" s="551">
        <f>'Unit Data from Audit Worksheet'!A21</f>
        <v>338</v>
      </c>
      <c r="B17" s="225" t="str">
        <f>'Unit Data from Audit Worksheet'!C21</f>
        <v>Net Position-Governmental Activities</v>
      </c>
      <c r="C17" s="211" t="str">
        <f>'Unit Data from Audit Worksheet'!D21</f>
        <v>Total Liabilities and total deferred inflows</v>
      </c>
      <c r="D17" s="102"/>
      <c r="E17" s="142">
        <f>'Unit Data from Audit Worksheet'!F21</f>
        <v>0</v>
      </c>
      <c r="F17" s="126" t="str">
        <f>IF(L10&gt;L17,"Please review accounts 626 greater than 338","")</f>
        <v/>
      </c>
      <c r="G17" s="65"/>
      <c r="H17" s="223"/>
      <c r="I17" s="32"/>
      <c r="J17" s="106">
        <v>338</v>
      </c>
      <c r="K17" s="107" t="s">
        <v>108</v>
      </c>
      <c r="L17" s="290">
        <f>IF(D17="",E17,D17)+IF(D9="",E9,D9)</f>
        <v>0</v>
      </c>
      <c r="N17" s="71" t="s">
        <v>299</v>
      </c>
      <c r="P17" s="195"/>
      <c r="X17" s="552">
        <v>338</v>
      </c>
      <c r="Y17" s="286">
        <v>338</v>
      </c>
      <c r="AA17" s="386">
        <f t="shared" si="0"/>
        <v>0</v>
      </c>
      <c r="AB17" s="286">
        <f t="shared" si="1"/>
        <v>0</v>
      </c>
    </row>
    <row r="18" spans="1:28" ht="100.5" customHeight="1" x14ac:dyDescent="0.3">
      <c r="A18" s="212">
        <f>'Unit Data from Audit Worksheet'!A22</f>
        <v>335</v>
      </c>
      <c r="B18" s="225" t="str">
        <f>'Unit Data from Audit Worksheet'!C22</f>
        <v>Net Position-Governmental Activities</v>
      </c>
      <c r="C18" s="211" t="str">
        <f>'Unit Data from Audit Worksheet'!D22</f>
        <v>Unearned revenues that were included in current liabilities in your audit report or entered in acct # 626 above. 
Exclude - unearned revenues that are listed in deferred inflows.</v>
      </c>
      <c r="D18" s="102"/>
      <c r="E18" s="231">
        <f>'Unit Data from Audit Worksheet'!F22</f>
        <v>0</v>
      </c>
      <c r="F18" s="224">
        <f>IF(L18&lt;0,"Error: Enter as a positive.",)</f>
        <v>0</v>
      </c>
      <c r="G18" s="226"/>
      <c r="H18" s="223"/>
      <c r="I18" s="32"/>
      <c r="J18" s="222">
        <v>335</v>
      </c>
      <c r="K18" s="221" t="s">
        <v>109</v>
      </c>
      <c r="L18" s="289">
        <f>IF(D18="",E18,D18)</f>
        <v>0</v>
      </c>
      <c r="P18" s="196"/>
      <c r="X18" s="552">
        <v>335</v>
      </c>
      <c r="Y18" s="286">
        <v>335</v>
      </c>
      <c r="AA18" s="386">
        <f t="shared" si="0"/>
        <v>0</v>
      </c>
      <c r="AB18" s="286">
        <f t="shared" si="1"/>
        <v>0</v>
      </c>
    </row>
    <row r="19" spans="1:28" ht="20.399999999999999" x14ac:dyDescent="0.3">
      <c r="A19" s="212">
        <f>'Unit Data from Audit Worksheet'!A23</f>
        <v>252</v>
      </c>
      <c r="B19" s="225" t="str">
        <f>'Unit Data from Audit Worksheet'!C23</f>
        <v>Net Position-Governmental Activities</v>
      </c>
      <c r="C19" s="211" t="str">
        <f>'Unit Data from Audit Worksheet'!D23</f>
        <v xml:space="preserve"> Total Net investment in capital assets</v>
      </c>
      <c r="D19" s="102"/>
      <c r="E19" s="231">
        <f>'Unit Data from Audit Worksheet'!F23</f>
        <v>0</v>
      </c>
      <c r="F19" s="224"/>
      <c r="G19" s="226"/>
      <c r="H19" s="223"/>
      <c r="I19" s="32"/>
      <c r="J19" s="222">
        <v>252</v>
      </c>
      <c r="K19" s="221" t="s">
        <v>95</v>
      </c>
      <c r="L19" s="289">
        <f t="shared" ref="L19:L37" si="3">IF(D19="",E19,D19)</f>
        <v>0</v>
      </c>
      <c r="O19" s="296" t="e">
        <f>'Unit Data from Audit Worksheet'!E23</f>
        <v>#N/A</v>
      </c>
      <c r="P19" s="196"/>
      <c r="X19" s="552">
        <v>252</v>
      </c>
      <c r="Y19" s="286">
        <v>252</v>
      </c>
      <c r="AA19" s="386">
        <f t="shared" si="0"/>
        <v>0</v>
      </c>
      <c r="AB19" s="286">
        <f t="shared" si="1"/>
        <v>0</v>
      </c>
    </row>
    <row r="20" spans="1:28" ht="20.399999999999999" x14ac:dyDescent="0.3">
      <c r="A20" s="212">
        <f>'Unit Data from Audit Worksheet'!A24</f>
        <v>253</v>
      </c>
      <c r="B20" s="225" t="str">
        <f>'Unit Data from Audit Worksheet'!C24</f>
        <v>Net Position-Governmental Activities</v>
      </c>
      <c r="C20" s="211" t="str">
        <f>'Unit Data from Audit Worksheet'!D24</f>
        <v xml:space="preserve"> Total Net Position, Restricted</v>
      </c>
      <c r="D20" s="102"/>
      <c r="E20" s="231">
        <f>'Unit Data from Audit Worksheet'!F24</f>
        <v>0</v>
      </c>
      <c r="F20" s="224"/>
      <c r="G20" s="226"/>
      <c r="H20" s="223"/>
      <c r="I20" s="32"/>
      <c r="J20" s="222">
        <v>253</v>
      </c>
      <c r="K20" s="221" t="s">
        <v>96</v>
      </c>
      <c r="L20" s="289">
        <f t="shared" si="3"/>
        <v>0</v>
      </c>
      <c r="O20" s="296" t="e">
        <f>'Unit Data from Audit Worksheet'!E24</f>
        <v>#N/A</v>
      </c>
      <c r="P20" s="196"/>
      <c r="X20" s="552">
        <v>253</v>
      </c>
      <c r="Y20" s="286">
        <v>253</v>
      </c>
      <c r="AA20" s="386">
        <f t="shared" si="0"/>
        <v>0</v>
      </c>
      <c r="AB20" s="286">
        <f t="shared" si="1"/>
        <v>0</v>
      </c>
    </row>
    <row r="21" spans="1:28" ht="73.5" customHeight="1" x14ac:dyDescent="0.3">
      <c r="A21" s="212">
        <f>'Unit Data from Audit Worksheet'!A25</f>
        <v>254</v>
      </c>
      <c r="B21" s="225" t="str">
        <f>'Unit Data from Audit Worksheet'!C25</f>
        <v>Net Position-Governmental Activities</v>
      </c>
      <c r="C21" s="211" t="str">
        <f>'Unit Data from Audit Worksheet'!D25</f>
        <v>Total Net Position, Unrestricted - enter negative unrestricted net position as a negative)</v>
      </c>
      <c r="D21" s="102"/>
      <c r="E21" s="231">
        <f>'Unit Data from Audit Worksheet'!F25</f>
        <v>0</v>
      </c>
      <c r="F21" s="224">
        <f>IF((L7-L17-L19-L20-L21)=0,,"Error: Total assets and deferred outflows less total liabilities and deferred inflows do not equal total net position accts 385-338-252-253-254")</f>
        <v>0</v>
      </c>
      <c r="G21" s="83">
        <f>+L7-L17-L19-L20-L21</f>
        <v>0</v>
      </c>
      <c r="H21" s="223"/>
      <c r="I21" s="32"/>
      <c r="J21" s="222">
        <v>254</v>
      </c>
      <c r="K21" s="221" t="s">
        <v>97</v>
      </c>
      <c r="L21" s="289">
        <f t="shared" si="3"/>
        <v>0</v>
      </c>
      <c r="O21" s="296" t="e">
        <f>'Unit Data from Audit Worksheet'!E25</f>
        <v>#N/A</v>
      </c>
      <c r="P21" s="196"/>
      <c r="X21" s="552">
        <v>254</v>
      </c>
      <c r="Y21" s="286">
        <v>254</v>
      </c>
      <c r="AA21" s="386">
        <f t="shared" si="0"/>
        <v>0</v>
      </c>
      <c r="AB21" s="286">
        <f t="shared" si="1"/>
        <v>0</v>
      </c>
    </row>
    <row r="22" spans="1:28" ht="51.75" customHeight="1" x14ac:dyDescent="0.3">
      <c r="A22" s="212">
        <f>'Unit Data from Audit Worksheet'!A27</f>
        <v>502</v>
      </c>
      <c r="B22" s="225" t="str">
        <f>'Unit Data from Audit Worksheet'!C27</f>
        <v>Net Position-Business Activities</v>
      </c>
      <c r="C22" s="211" t="str">
        <f>'Unit Data from Audit Worksheet'!D27</f>
        <v xml:space="preserve">All unrestricted Cash and investments. 
Exclude restricted cash and cash held by a third party. </v>
      </c>
      <c r="D22" s="102"/>
      <c r="E22" s="231">
        <f>'Unit Data from Audit Worksheet'!F27</f>
        <v>0</v>
      </c>
      <c r="F22" s="224">
        <f>IF(L22&lt;0,"Error: Number is normally positive.",)</f>
        <v>0</v>
      </c>
      <c r="G22" s="226"/>
      <c r="H22" s="223"/>
      <c r="I22" s="32"/>
      <c r="J22" s="222">
        <v>502</v>
      </c>
      <c r="K22" s="221" t="s">
        <v>177</v>
      </c>
      <c r="L22" s="289">
        <f t="shared" si="3"/>
        <v>0</v>
      </c>
      <c r="P22" s="196"/>
      <c r="X22" s="552">
        <v>502</v>
      </c>
      <c r="Y22" s="286">
        <v>502</v>
      </c>
      <c r="AA22" s="386">
        <f t="shared" si="0"/>
        <v>0</v>
      </c>
      <c r="AB22" s="286">
        <f t="shared" si="1"/>
        <v>0</v>
      </c>
    </row>
    <row r="23" spans="1:28" ht="40.5" customHeight="1" x14ac:dyDescent="0.3">
      <c r="A23" s="212">
        <f>'Unit Data from Audit Worksheet'!A28</f>
        <v>503</v>
      </c>
      <c r="B23" s="225" t="str">
        <f>'Unit Data from Audit Worksheet'!C28</f>
        <v>Net Position-Business Activities</v>
      </c>
      <c r="C23" s="211" t="str">
        <f>'Unit Data from Audit Worksheet'!D28</f>
        <v>All restricted Cash and investments</v>
      </c>
      <c r="D23" s="102"/>
      <c r="E23" s="231">
        <f>'Unit Data from Audit Worksheet'!F28</f>
        <v>0</v>
      </c>
      <c r="F23" s="224">
        <f>IF(L23&lt;0,"Error: Number is normally positive.",)</f>
        <v>0</v>
      </c>
      <c r="G23" s="226"/>
      <c r="H23" s="223"/>
      <c r="I23" s="32"/>
      <c r="J23" s="222">
        <v>503</v>
      </c>
      <c r="K23" s="221" t="s">
        <v>178</v>
      </c>
      <c r="L23" s="289">
        <f t="shared" si="3"/>
        <v>0</v>
      </c>
      <c r="P23" s="196"/>
      <c r="X23" s="552">
        <v>503</v>
      </c>
      <c r="Y23" s="286">
        <v>503</v>
      </c>
      <c r="AA23" s="386">
        <f t="shared" si="0"/>
        <v>0</v>
      </c>
      <c r="AB23" s="286">
        <f t="shared" si="1"/>
        <v>0</v>
      </c>
    </row>
    <row r="24" spans="1:28" ht="39" customHeight="1" x14ac:dyDescent="0.3">
      <c r="A24" s="212">
        <f>'Unit Data from Audit Worksheet'!A30</f>
        <v>344</v>
      </c>
      <c r="B24" s="225" t="str">
        <f>'Unit Data from Audit Worksheet'!C30</f>
        <v>Statement of Activities - Governmental</v>
      </c>
      <c r="C24" s="211" t="str">
        <f>'Unit Data from Audit Worksheet'!D30</f>
        <v xml:space="preserve">Total Interest expense on Long-Term Debt </v>
      </c>
      <c r="D24" s="102"/>
      <c r="E24" s="231">
        <f>'Unit Data from Audit Worksheet'!F30</f>
        <v>0</v>
      </c>
      <c r="F24" s="224">
        <f>IF(L24&lt;0,"Error: Enter as a positive.",)</f>
        <v>0</v>
      </c>
      <c r="G24" s="226"/>
      <c r="H24" s="223"/>
      <c r="I24" s="32"/>
      <c r="J24" s="222">
        <v>344</v>
      </c>
      <c r="K24" s="221" t="s">
        <v>179</v>
      </c>
      <c r="L24" s="289">
        <f t="shared" si="3"/>
        <v>0</v>
      </c>
      <c r="P24" s="196"/>
      <c r="X24" s="552">
        <v>344</v>
      </c>
      <c r="Y24" s="286">
        <v>344</v>
      </c>
      <c r="AA24" s="386">
        <f t="shared" si="0"/>
        <v>0</v>
      </c>
      <c r="AB24" s="286">
        <f t="shared" si="1"/>
        <v>0</v>
      </c>
    </row>
    <row r="25" spans="1:28" ht="39" customHeight="1" x14ac:dyDescent="0.3">
      <c r="A25" s="212">
        <f>'Unit Data from Audit Worksheet'!A31</f>
        <v>388</v>
      </c>
      <c r="B25" s="225" t="str">
        <f>'Unit Data from Audit Worksheet'!C31</f>
        <v>Statement of Activities - Governmental</v>
      </c>
      <c r="C25" s="211" t="str">
        <f>'Unit Data from Audit Worksheet'!D31</f>
        <v>Total Expenses</v>
      </c>
      <c r="D25" s="102"/>
      <c r="E25" s="231">
        <f>'Unit Data from Audit Worksheet'!F31</f>
        <v>0</v>
      </c>
      <c r="F25" s="224">
        <f t="shared" ref="F25:F30" si="4">IF(L25&lt;0,"Error: Number is normally positive.",)</f>
        <v>0</v>
      </c>
      <c r="G25" s="226"/>
      <c r="H25" s="223"/>
      <c r="I25" s="32"/>
      <c r="J25" s="222">
        <v>388</v>
      </c>
      <c r="K25" s="221" t="s">
        <v>180</v>
      </c>
      <c r="L25" s="289">
        <f t="shared" si="3"/>
        <v>0</v>
      </c>
      <c r="P25" s="196"/>
      <c r="X25" s="552">
        <v>388</v>
      </c>
      <c r="Y25" s="286">
        <v>388</v>
      </c>
      <c r="AA25" s="386">
        <f t="shared" si="0"/>
        <v>0</v>
      </c>
      <c r="AB25" s="286">
        <f t="shared" si="1"/>
        <v>0</v>
      </c>
    </row>
    <row r="26" spans="1:28" ht="39" customHeight="1" x14ac:dyDescent="0.3">
      <c r="A26" s="212">
        <f>'Unit Data from Audit Worksheet'!A32</f>
        <v>339</v>
      </c>
      <c r="B26" s="225" t="str">
        <f>'Unit Data from Audit Worksheet'!C32</f>
        <v>Statement of Activities - Governmental</v>
      </c>
      <c r="C26" s="211" t="str">
        <f>'Unit Data from Audit Worksheet'!D32</f>
        <v xml:space="preserve">Charges for services </v>
      </c>
      <c r="D26" s="102"/>
      <c r="E26" s="231">
        <f>'Unit Data from Audit Worksheet'!F32</f>
        <v>0</v>
      </c>
      <c r="F26" s="224">
        <f t="shared" si="4"/>
        <v>0</v>
      </c>
      <c r="G26" s="226"/>
      <c r="H26" s="223"/>
      <c r="I26" s="32"/>
      <c r="J26" s="222">
        <v>339</v>
      </c>
      <c r="K26" s="221" t="s">
        <v>181</v>
      </c>
      <c r="L26" s="289">
        <f t="shared" si="3"/>
        <v>0</v>
      </c>
      <c r="P26" s="196"/>
      <c r="X26" s="552">
        <v>339</v>
      </c>
      <c r="Y26" s="286">
        <v>339</v>
      </c>
      <c r="AA26" s="386">
        <f t="shared" si="0"/>
        <v>0</v>
      </c>
      <c r="AB26" s="286">
        <f t="shared" si="1"/>
        <v>0</v>
      </c>
    </row>
    <row r="27" spans="1:28" ht="39" customHeight="1" x14ac:dyDescent="0.3">
      <c r="A27" s="212">
        <f>'Unit Data from Audit Worksheet'!A33</f>
        <v>504</v>
      </c>
      <c r="B27" s="225" t="str">
        <f>'Unit Data from Audit Worksheet'!C33</f>
        <v>Statement of Activities - Governmental</v>
      </c>
      <c r="C27" s="211" t="str">
        <f>'Unit Data from Audit Worksheet'!D33</f>
        <v>Operating grants and contributions</v>
      </c>
      <c r="D27" s="102"/>
      <c r="E27" s="231">
        <f>'Unit Data from Audit Worksheet'!F33</f>
        <v>0</v>
      </c>
      <c r="F27" s="224">
        <f t="shared" si="4"/>
        <v>0</v>
      </c>
      <c r="G27" s="226"/>
      <c r="H27" s="223"/>
      <c r="I27" s="32"/>
      <c r="J27" s="222">
        <v>504</v>
      </c>
      <c r="K27" s="221" t="s">
        <v>182</v>
      </c>
      <c r="L27" s="289">
        <f t="shared" si="3"/>
        <v>0</v>
      </c>
      <c r="P27" s="196"/>
      <c r="X27" s="552">
        <v>504</v>
      </c>
      <c r="Y27" s="286">
        <v>504</v>
      </c>
      <c r="AA27" s="386">
        <f t="shared" si="0"/>
        <v>0</v>
      </c>
      <c r="AB27" s="286">
        <f t="shared" si="1"/>
        <v>0</v>
      </c>
    </row>
    <row r="28" spans="1:28" ht="39" customHeight="1" x14ac:dyDescent="0.3">
      <c r="A28" s="212">
        <f>'Unit Data from Audit Worksheet'!A34</f>
        <v>505</v>
      </c>
      <c r="B28" s="225" t="str">
        <f>'Unit Data from Audit Worksheet'!C34</f>
        <v>Statement of Activities - Governmental</v>
      </c>
      <c r="C28" s="211" t="str">
        <f>'Unit Data from Audit Worksheet'!D34</f>
        <v>Capital grants and contributions</v>
      </c>
      <c r="D28" s="102"/>
      <c r="E28" s="231">
        <f>'Unit Data from Audit Worksheet'!F34</f>
        <v>0</v>
      </c>
      <c r="F28" s="224">
        <f t="shared" si="4"/>
        <v>0</v>
      </c>
      <c r="G28" s="226"/>
      <c r="H28" s="223"/>
      <c r="I28" s="32"/>
      <c r="J28" s="222">
        <v>505</v>
      </c>
      <c r="K28" s="221" t="s">
        <v>183</v>
      </c>
      <c r="L28" s="289">
        <f t="shared" si="3"/>
        <v>0</v>
      </c>
      <c r="P28" s="196"/>
      <c r="X28" s="552">
        <v>505</v>
      </c>
      <c r="Y28" s="286">
        <v>505</v>
      </c>
      <c r="AA28" s="386">
        <f t="shared" si="0"/>
        <v>0</v>
      </c>
      <c r="AB28" s="286">
        <f t="shared" si="1"/>
        <v>0</v>
      </c>
    </row>
    <row r="29" spans="1:28" ht="82.5" customHeight="1" x14ac:dyDescent="0.3">
      <c r="A29" s="212">
        <f>'Unit Data from Audit Worksheet'!A35</f>
        <v>341</v>
      </c>
      <c r="B29" s="225" t="str">
        <f>'Unit Data from Audit Worksheet'!C35</f>
        <v>Statement of Activities - Governmental</v>
      </c>
      <c r="C29" s="211" t="str">
        <f>'Unit Data from Audit Worksheet'!D35</f>
        <v>Total General revenues
Exclude: transfers-in or out,
                 special items,
                 extraordinary amounts</v>
      </c>
      <c r="D29" s="102"/>
      <c r="E29" s="231">
        <f>'Unit Data from Audit Worksheet'!F35</f>
        <v>0</v>
      </c>
      <c r="F29" s="224">
        <f t="shared" si="4"/>
        <v>0</v>
      </c>
      <c r="G29" s="226"/>
      <c r="H29" s="223"/>
      <c r="I29" s="32"/>
      <c r="J29" s="222">
        <v>341</v>
      </c>
      <c r="K29" s="221" t="s">
        <v>184</v>
      </c>
      <c r="L29" s="289">
        <f t="shared" si="3"/>
        <v>0</v>
      </c>
      <c r="P29" s="196"/>
      <c r="X29" s="552">
        <v>341</v>
      </c>
      <c r="Y29" s="286">
        <v>341</v>
      </c>
      <c r="AA29" s="386">
        <f t="shared" si="0"/>
        <v>0</v>
      </c>
      <c r="AB29" s="286">
        <f t="shared" si="1"/>
        <v>0</v>
      </c>
    </row>
    <row r="30" spans="1:28" ht="82.5" customHeight="1" x14ac:dyDescent="0.3">
      <c r="A30" s="212">
        <f>'Unit Data from Audit Worksheet'!A36</f>
        <v>386</v>
      </c>
      <c r="B30" s="225" t="str">
        <f>'Unit Data from Audit Worksheet'!C36</f>
        <v>Statement of Activities - Governmental</v>
      </c>
      <c r="C30" s="211" t="str">
        <f>'Unit Data from Audit Worksheet'!D36</f>
        <v>Total Transfers in    (Preference is that transfers-in  are not netted against transfers-out)</v>
      </c>
      <c r="D30" s="102"/>
      <c r="E30" s="231">
        <f>'Unit Data from Audit Worksheet'!F36</f>
        <v>0</v>
      </c>
      <c r="F30" s="224">
        <f t="shared" si="4"/>
        <v>0</v>
      </c>
      <c r="G30" s="226"/>
      <c r="H30" s="223"/>
      <c r="I30" s="32"/>
      <c r="J30" s="222">
        <v>386</v>
      </c>
      <c r="K30" s="221" t="s">
        <v>185</v>
      </c>
      <c r="L30" s="289">
        <f t="shared" si="3"/>
        <v>0</v>
      </c>
      <c r="P30" s="196"/>
      <c r="X30" s="552">
        <v>386</v>
      </c>
      <c r="Y30" s="286">
        <v>386</v>
      </c>
      <c r="AA30" s="386">
        <f t="shared" si="0"/>
        <v>0</v>
      </c>
      <c r="AB30" s="286">
        <f t="shared" si="1"/>
        <v>0</v>
      </c>
    </row>
    <row r="31" spans="1:28" ht="82.5" customHeight="1" x14ac:dyDescent="0.3">
      <c r="A31" s="212">
        <f>'Unit Data from Audit Worksheet'!A37</f>
        <v>387</v>
      </c>
      <c r="B31" s="225" t="str">
        <f>'Unit Data from Audit Worksheet'!C37</f>
        <v>Statement of Activities - Governmental</v>
      </c>
      <c r="C31" s="211" t="str">
        <f>'Unit Data from Audit Worksheet'!D37</f>
        <v>Total Transfers out    (Preference is that transfers-in  are not netted against transfers-out)</v>
      </c>
      <c r="D31" s="102"/>
      <c r="E31" s="231">
        <f>'Unit Data from Audit Worksheet'!F37</f>
        <v>0</v>
      </c>
      <c r="F31" s="224">
        <f>IF(L31&lt;0,"Error: Enter as a positive.",)</f>
        <v>0</v>
      </c>
      <c r="G31" s="226"/>
      <c r="H31" s="223"/>
      <c r="I31" s="32"/>
      <c r="J31" s="222">
        <v>387</v>
      </c>
      <c r="K31" s="221" t="s">
        <v>186</v>
      </c>
      <c r="L31" s="289">
        <f t="shared" si="3"/>
        <v>0</v>
      </c>
      <c r="P31" s="196"/>
      <c r="X31" s="552">
        <v>387</v>
      </c>
      <c r="Y31" s="286">
        <v>387</v>
      </c>
      <c r="AA31" s="386">
        <f t="shared" si="0"/>
        <v>0</v>
      </c>
      <c r="AB31" s="286">
        <f t="shared" si="1"/>
        <v>0</v>
      </c>
    </row>
    <row r="32" spans="1:28" ht="82.5" customHeight="1" x14ac:dyDescent="0.3">
      <c r="A32" s="212">
        <f>'Unit Data from Audit Worksheet'!A38</f>
        <v>389</v>
      </c>
      <c r="B32" s="225" t="str">
        <f>'Unit Data from Audit Worksheet'!C38</f>
        <v>Statement of Activities - Governmental</v>
      </c>
      <c r="C32" s="211" t="str">
        <f>'Unit Data from Audit Worksheet'!D38</f>
        <v>Total Special and Extraordinary items.    (Amounts that increase net position are recorded as positive and amounts that decrease net position are recorded as negative)</v>
      </c>
      <c r="D32" s="102"/>
      <c r="E32" s="231">
        <f>'Unit Data from Audit Worksheet'!F38</f>
        <v>0</v>
      </c>
      <c r="F32" s="224"/>
      <c r="G32" s="226"/>
      <c r="H32" s="223"/>
      <c r="I32" s="32"/>
      <c r="J32" s="222">
        <v>389</v>
      </c>
      <c r="K32" s="221" t="s">
        <v>187</v>
      </c>
      <c r="L32" s="289">
        <f t="shared" si="3"/>
        <v>0</v>
      </c>
      <c r="N32" s="297"/>
      <c r="P32" s="196"/>
      <c r="X32" s="552">
        <v>389</v>
      </c>
      <c r="Y32" s="286">
        <v>389</v>
      </c>
      <c r="AA32" s="386">
        <f t="shared" si="0"/>
        <v>0</v>
      </c>
      <c r="AB32" s="286">
        <f t="shared" si="1"/>
        <v>0</v>
      </c>
    </row>
    <row r="33" spans="1:28" ht="79.5" customHeight="1" x14ac:dyDescent="0.3">
      <c r="A33" s="212">
        <f>'Unit Data from Audit Worksheet'!A39</f>
        <v>255</v>
      </c>
      <c r="B33" s="225" t="str">
        <f>'Unit Data from Audit Worksheet'!C39</f>
        <v>Statement of Activities - Governmental</v>
      </c>
      <c r="C33" s="211" t="str">
        <f>'Unit Data from Audit Worksheet'!D39</f>
        <v>Total Change in net position - (Increase in net position is recorded as a positive and a decrease in net position is recorded as a negative)</v>
      </c>
      <c r="D33" s="102"/>
      <c r="E33" s="231">
        <f>'Unit Data from Audit Worksheet'!F39</f>
        <v>0</v>
      </c>
      <c r="F33" s="224">
        <f>IF((L26+L27+L28+L29+L30-L31+L32-L25-L33)=0,,"Total revenues less total expenses do not equal total change in net position. Acct 339+504+505+341+386-387+389-388-255=0")</f>
        <v>0</v>
      </c>
      <c r="G33" s="84">
        <f>L26+L27+L28+L29+L30-L31+L32-L25-L33</f>
        <v>0</v>
      </c>
      <c r="H33" s="223"/>
      <c r="I33" s="32"/>
      <c r="J33" s="222">
        <v>255</v>
      </c>
      <c r="K33" s="221" t="s">
        <v>188</v>
      </c>
      <c r="L33" s="289">
        <f t="shared" si="3"/>
        <v>0</v>
      </c>
      <c r="O33" s="296" t="e">
        <f>'Unit Data from Audit Worksheet'!E39</f>
        <v>#N/A</v>
      </c>
      <c r="P33" s="196"/>
      <c r="X33" s="552">
        <v>255</v>
      </c>
      <c r="Y33" s="286">
        <v>255</v>
      </c>
      <c r="AA33" s="386">
        <f t="shared" si="0"/>
        <v>0</v>
      </c>
      <c r="AB33" s="286">
        <f t="shared" si="1"/>
        <v>0</v>
      </c>
    </row>
    <row r="34" spans="1:28" ht="89.25" customHeight="1" x14ac:dyDescent="0.3">
      <c r="A34" s="212">
        <f>'Unit Data from Audit Worksheet'!A40</f>
        <v>376</v>
      </c>
      <c r="B34" s="225" t="str">
        <f>'Unit Data from Audit Worksheet'!C40</f>
        <v>Statement of Activities - Governmental</v>
      </c>
      <c r="C34" s="211" t="str">
        <f>'Unit Data from Audit Worksheet'!D40</f>
        <v>Any adjustment to beginning net position including rounding, prior period adjustments and restatements.   (Increases to net position are positive; decreases to net position are negative)</v>
      </c>
      <c r="D34" s="102"/>
      <c r="E34" s="231">
        <f>'Unit Data from Audit Worksheet'!F40</f>
        <v>0</v>
      </c>
      <c r="F34" s="80" t="e">
        <f>IF(L19+L20+L21-L33-L34=O19+O20+O21,,"Beginning Balance does not agree with our records acct (252+253+254-255-376=PY252+PY253+PY254)")</f>
        <v>#N/A</v>
      </c>
      <c r="G34" s="85" t="e">
        <f>L19+L20+L21-L33-L34-(O19+O20+O21)</f>
        <v>#N/A</v>
      </c>
      <c r="H34" s="223" t="e">
        <f>'Unit Data from Audit Worksheet'!I40</f>
        <v>#N/A</v>
      </c>
      <c r="I34" s="32"/>
      <c r="J34" s="222">
        <v>376</v>
      </c>
      <c r="K34" s="221" t="s">
        <v>100</v>
      </c>
      <c r="L34" s="289">
        <f t="shared" si="3"/>
        <v>0</v>
      </c>
      <c r="O34" s="296" t="e">
        <f>'Unit Data from Audit Worksheet'!E40</f>
        <v>#N/A</v>
      </c>
      <c r="P34" s="196"/>
      <c r="R34" s="384"/>
      <c r="S34" s="384"/>
      <c r="T34" s="384"/>
      <c r="U34" s="384"/>
      <c r="V34" s="384"/>
      <c r="W34" s="384"/>
      <c r="X34" s="552">
        <v>376</v>
      </c>
      <c r="Y34" s="286">
        <v>376</v>
      </c>
      <c r="Z34" s="384"/>
      <c r="AA34" s="386">
        <f t="shared" si="0"/>
        <v>0</v>
      </c>
      <c r="AB34" s="286">
        <f t="shared" si="1"/>
        <v>0</v>
      </c>
    </row>
    <row r="35" spans="1:28" ht="157.5" customHeight="1" x14ac:dyDescent="0.3">
      <c r="A35" s="212">
        <f>'Unit Data from Audit Worksheet'!A41</f>
        <v>597</v>
      </c>
      <c r="B35" s="225" t="str">
        <f>'Unit Data from Audit Worksheet'!C41</f>
        <v>Statement of Activities                               (all governmental and business funds)</v>
      </c>
      <c r="C35" s="211" t="str">
        <f>'Unit Data from Audit Worksheet'!D41</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102"/>
      <c r="E35" s="231">
        <f>'Unit Data from Audit Worksheet'!F41</f>
        <v>0</v>
      </c>
      <c r="F35" s="224">
        <f>IF(L35&lt;0,"Error: Number is normally positive.",)</f>
        <v>0</v>
      </c>
      <c r="G35" s="226"/>
      <c r="H35" s="223"/>
      <c r="I35" s="32"/>
      <c r="J35" s="222">
        <v>597</v>
      </c>
      <c r="K35" s="221" t="s">
        <v>338</v>
      </c>
      <c r="L35" s="289">
        <f t="shared" si="3"/>
        <v>0</v>
      </c>
      <c r="O35" s="296"/>
      <c r="P35" s="196"/>
      <c r="R35" s="384"/>
      <c r="S35" s="384"/>
      <c r="T35" s="384"/>
      <c r="U35" s="384"/>
      <c r="V35" s="384"/>
      <c r="W35" s="384"/>
      <c r="X35" s="552">
        <v>597</v>
      </c>
      <c r="Y35" s="286">
        <v>597</v>
      </c>
      <c r="Z35" s="384"/>
      <c r="AA35" s="386">
        <f t="shared" si="0"/>
        <v>0</v>
      </c>
      <c r="AB35" s="286">
        <f t="shared" si="1"/>
        <v>0</v>
      </c>
    </row>
    <row r="36" spans="1:28" ht="90" customHeight="1" x14ac:dyDescent="0.3">
      <c r="A36" s="212">
        <f>'Unit Data from Audit Worksheet'!A43</f>
        <v>592</v>
      </c>
      <c r="B36" s="225" t="str">
        <f>'Unit Data from Audit Worksheet'!C43</f>
        <v>Statement of Activities - Business Activities</v>
      </c>
      <c r="C36" s="211" t="str">
        <f>'Unit Data from Audit Worksheet'!D43</f>
        <v>Total Change in net position Business Type 
(Increase in net position is recorded as a positive and a decrease in net position is recorded as a negative)</v>
      </c>
      <c r="D36" s="102"/>
      <c r="E36" s="231">
        <f>'Unit Data from Audit Worksheet'!F43</f>
        <v>0</v>
      </c>
      <c r="F36" s="224"/>
      <c r="G36" s="226"/>
      <c r="H36" s="223"/>
      <c r="I36" s="32"/>
      <c r="J36" s="222">
        <v>592</v>
      </c>
      <c r="K36" s="221" t="s">
        <v>330</v>
      </c>
      <c r="L36" s="289">
        <f t="shared" si="3"/>
        <v>0</v>
      </c>
      <c r="O36" s="296"/>
      <c r="P36" s="196"/>
      <c r="R36" s="384"/>
      <c r="S36" s="384"/>
      <c r="T36" s="384"/>
      <c r="U36" s="384"/>
      <c r="V36" s="384"/>
      <c r="W36" s="384"/>
      <c r="X36" s="552">
        <v>592</v>
      </c>
      <c r="Y36" s="286">
        <v>592</v>
      </c>
      <c r="Z36" s="384"/>
      <c r="AA36" s="386">
        <f t="shared" si="0"/>
        <v>0</v>
      </c>
      <c r="AB36" s="286">
        <f t="shared" si="1"/>
        <v>0</v>
      </c>
    </row>
    <row r="37" spans="1:28" ht="66" customHeight="1" x14ac:dyDescent="0.3">
      <c r="A37" s="212">
        <f>'Unit Data from Audit Worksheet'!A44</f>
        <v>591</v>
      </c>
      <c r="B37" s="225" t="str">
        <f>'Unit Data from Audit Worksheet'!C44</f>
        <v>Statement of Activities - Business Activities</v>
      </c>
      <c r="C37" s="211" t="str">
        <f>'Unit Data from Audit Worksheet'!D44</f>
        <v>Total Expenses - Exclude Transfers</v>
      </c>
      <c r="D37" s="102"/>
      <c r="E37" s="231">
        <f>'Unit Data from Audit Worksheet'!F44</f>
        <v>0</v>
      </c>
      <c r="F37" s="224">
        <f>IF(L37&lt;0,"Error: Enter as a positive.",)</f>
        <v>0</v>
      </c>
      <c r="G37" s="226"/>
      <c r="H37" s="223"/>
      <c r="I37" s="32"/>
      <c r="J37" s="222">
        <v>591</v>
      </c>
      <c r="K37" s="221" t="s">
        <v>329</v>
      </c>
      <c r="L37" s="289">
        <f t="shared" si="3"/>
        <v>0</v>
      </c>
      <c r="O37" s="296"/>
      <c r="P37" s="196"/>
      <c r="R37" s="384"/>
      <c r="S37" s="384"/>
      <c r="T37" s="384"/>
      <c r="U37" s="384"/>
      <c r="V37" s="384"/>
      <c r="W37" s="384"/>
      <c r="X37" s="552">
        <v>591</v>
      </c>
      <c r="Y37" s="286">
        <v>591</v>
      </c>
      <c r="Z37" s="384"/>
      <c r="AA37" s="386">
        <f t="shared" si="0"/>
        <v>0</v>
      </c>
      <c r="AB37" s="286">
        <f t="shared" si="1"/>
        <v>0</v>
      </c>
    </row>
    <row r="38" spans="1:28" ht="54" customHeight="1" x14ac:dyDescent="0.3">
      <c r="A38" s="212">
        <f>'Unit Data from Audit Worksheet'!A46</f>
        <v>506</v>
      </c>
      <c r="B38" s="47" t="str">
        <f>'Unit Data from Audit Worksheet'!C46</f>
        <v>General Fund-Balance Sheet</v>
      </c>
      <c r="C38" s="298" t="str">
        <f>'Unit Data from Audit Worksheet'!D46</f>
        <v xml:space="preserve">All unrestricted cash and investments.  
Exclude restricted cash and cash held by a third party. </v>
      </c>
      <c r="D38" s="102"/>
      <c r="E38" s="144">
        <f>'Unit Data from Audit Worksheet'!F46</f>
        <v>0</v>
      </c>
      <c r="F38" s="31">
        <f>IF(L38&lt;0,"Error: Number is normally positive.",)</f>
        <v>0</v>
      </c>
      <c r="G38" s="66"/>
      <c r="H38" s="223"/>
      <c r="I38" s="32"/>
      <c r="J38" s="35">
        <v>506</v>
      </c>
      <c r="K38" s="221" t="s">
        <v>189</v>
      </c>
      <c r="L38" s="299">
        <f t="shared" ref="L38:L51" si="5">IF(D38="",E38,D38)</f>
        <v>0</v>
      </c>
      <c r="P38" s="197"/>
      <c r="X38" s="552">
        <v>506</v>
      </c>
      <c r="Y38" s="286">
        <v>506</v>
      </c>
      <c r="AA38" s="386">
        <f t="shared" si="0"/>
        <v>0</v>
      </c>
      <c r="AB38" s="286">
        <f t="shared" si="1"/>
        <v>0</v>
      </c>
    </row>
    <row r="39" spans="1:28" ht="45.75" customHeight="1" x14ac:dyDescent="0.3">
      <c r="A39" s="212">
        <f>'Unit Data from Audit Worksheet'!A47</f>
        <v>536</v>
      </c>
      <c r="B39" s="47" t="str">
        <f>'Unit Data from Audit Worksheet'!C47</f>
        <v>General Fund-Balance Sheet</v>
      </c>
      <c r="C39" s="298" t="str">
        <f>'Unit Data from Audit Worksheet'!D47</f>
        <v>All restricted cash and investments</v>
      </c>
      <c r="D39" s="102"/>
      <c r="E39" s="144">
        <f>'Unit Data from Audit Worksheet'!F47</f>
        <v>0</v>
      </c>
      <c r="F39" s="31">
        <f>IF(L39&lt;0,"Error: Number is normally positive.",)</f>
        <v>0</v>
      </c>
      <c r="G39" s="66"/>
      <c r="H39" s="223"/>
      <c r="I39" s="32"/>
      <c r="J39" s="35">
        <v>536</v>
      </c>
      <c r="K39" s="221" t="s">
        <v>190</v>
      </c>
      <c r="L39" s="299">
        <f t="shared" si="5"/>
        <v>0</v>
      </c>
      <c r="P39" s="198"/>
      <c r="Q39" s="293"/>
      <c r="S39" s="292"/>
      <c r="T39" s="292"/>
      <c r="U39" s="292"/>
      <c r="V39" s="292"/>
      <c r="W39" s="18"/>
      <c r="X39" s="552">
        <v>536</v>
      </c>
      <c r="Y39" s="286">
        <v>536</v>
      </c>
      <c r="Z39" s="18"/>
      <c r="AA39" s="386">
        <f t="shared" si="0"/>
        <v>0</v>
      </c>
      <c r="AB39" s="286">
        <f t="shared" si="1"/>
        <v>0</v>
      </c>
    </row>
    <row r="40" spans="1:28" ht="56.25" customHeight="1" x14ac:dyDescent="0.3">
      <c r="A40" s="212">
        <f>'Unit Data from Audit Worksheet'!A48</f>
        <v>586</v>
      </c>
      <c r="B40" s="225" t="str">
        <f>'Unit Data from Audit Worksheet'!C48</f>
        <v>General Fund-Balance Sheet</v>
      </c>
      <c r="C40" s="211" t="str">
        <f>'Unit Data from Audit Worksheet'!D48</f>
        <v>Advance To: Interfund loan receivable-portion of repayment plan longer than 12 months</v>
      </c>
      <c r="D40" s="134"/>
      <c r="E40" s="231">
        <f>'Unit Data from Audit Worksheet'!F48</f>
        <v>0</v>
      </c>
      <c r="F40" s="224"/>
      <c r="G40" s="226"/>
      <c r="H40" s="223"/>
      <c r="I40" s="32"/>
      <c r="J40" s="222">
        <v>586</v>
      </c>
      <c r="K40" s="211" t="s">
        <v>315</v>
      </c>
      <c r="L40" s="289">
        <f t="shared" si="5"/>
        <v>0</v>
      </c>
      <c r="P40" s="198"/>
      <c r="Q40" s="293"/>
      <c r="S40" s="292"/>
      <c r="T40" s="292"/>
      <c r="U40" s="292"/>
      <c r="V40" s="292"/>
      <c r="W40" s="18"/>
      <c r="X40" s="552">
        <v>586</v>
      </c>
      <c r="Y40" s="286">
        <v>586</v>
      </c>
      <c r="Z40" s="18"/>
      <c r="AA40" s="386">
        <f t="shared" si="0"/>
        <v>0</v>
      </c>
      <c r="AB40" s="286">
        <f t="shared" si="1"/>
        <v>0</v>
      </c>
    </row>
    <row r="41" spans="1:28" ht="28.8" x14ac:dyDescent="0.3">
      <c r="A41" s="212">
        <f>'Unit Data from Audit Worksheet'!A49</f>
        <v>379</v>
      </c>
      <c r="B41" s="225" t="str">
        <f>'Unit Data from Audit Worksheet'!C49</f>
        <v>General Fund-Balance Sheet</v>
      </c>
      <c r="C41" s="211" t="str">
        <f>'Unit Data from Audit Worksheet'!D49</f>
        <v>Total Assets and deferred outflows</v>
      </c>
      <c r="D41" s="134"/>
      <c r="E41" s="231">
        <f>'Unit Data from Audit Worksheet'!F49</f>
        <v>0</v>
      </c>
      <c r="F41" s="77">
        <f>IF((L38+L39)&gt;L41,"Error: Please review accts (506+536)&gt;379",)</f>
        <v>0</v>
      </c>
      <c r="G41" s="226"/>
      <c r="H41" s="223"/>
      <c r="I41" s="32"/>
      <c r="J41" s="222">
        <v>379</v>
      </c>
      <c r="K41" s="221" t="s">
        <v>110</v>
      </c>
      <c r="L41" s="289">
        <f t="shared" si="5"/>
        <v>0</v>
      </c>
      <c r="P41" s="195"/>
      <c r="X41" s="552">
        <v>379</v>
      </c>
      <c r="Y41" s="286">
        <v>379</v>
      </c>
      <c r="AA41" s="386">
        <f t="shared" si="0"/>
        <v>0</v>
      </c>
      <c r="AB41" s="286">
        <f t="shared" si="1"/>
        <v>0</v>
      </c>
    </row>
    <row r="42" spans="1:28" ht="106.5" customHeight="1" x14ac:dyDescent="0.3">
      <c r="A42" s="212">
        <f>'Unit Data from Audit Worksheet'!A50</f>
        <v>368</v>
      </c>
      <c r="B42" s="225" t="str">
        <f>'Unit Data from Audit Worksheet'!C50</f>
        <v>General Fund-Balance Sheet</v>
      </c>
      <c r="C42" s="211" t="str">
        <f>'Unit Data from Audit Worksheet'!D50</f>
        <v>Total Liabilities payable from restricted assets (only complete if this is listed in your financial statements for the general fund and the auditor has listed the cash to be used to pay the liabilities as restricted)</v>
      </c>
      <c r="D42" s="134"/>
      <c r="E42" s="231">
        <f>'Unit Data from Audit Worksheet'!F50</f>
        <v>0</v>
      </c>
      <c r="F42" s="224">
        <f>IF(L42&lt;0,"Error: Enter as a positive.",)</f>
        <v>0</v>
      </c>
      <c r="G42" s="226"/>
      <c r="H42" s="223"/>
      <c r="I42" s="32"/>
      <c r="J42" s="222">
        <v>368</v>
      </c>
      <c r="K42" s="221" t="s">
        <v>191</v>
      </c>
      <c r="L42" s="289">
        <f t="shared" si="5"/>
        <v>0</v>
      </c>
      <c r="P42" s="196"/>
      <c r="S42" s="18"/>
      <c r="T42" s="18"/>
      <c r="U42" s="18"/>
      <c r="V42" s="18"/>
      <c r="X42" s="552">
        <v>368</v>
      </c>
      <c r="Y42" s="286">
        <v>368</v>
      </c>
      <c r="Z42" s="18"/>
      <c r="AA42" s="386">
        <f t="shared" si="0"/>
        <v>0</v>
      </c>
      <c r="AB42" s="286">
        <f t="shared" si="1"/>
        <v>0</v>
      </c>
    </row>
    <row r="43" spans="1:28" ht="90.75" customHeight="1" x14ac:dyDescent="0.3">
      <c r="A43" s="212">
        <f>'Unit Data from Audit Worksheet'!A51</f>
        <v>4</v>
      </c>
      <c r="B43" s="47" t="str">
        <f>'Unit Data from Audit Worksheet'!C51</f>
        <v>General Fund-Balance Sheet</v>
      </c>
      <c r="C43" s="298" t="str">
        <f>'Unit Data from Audit Worksheet'!D51</f>
        <v>Current Liabilities (as reported on the Balance Sheet)
Exclude all deferred inflows. 
Include advance from(long-term portion of interfund loans)</v>
      </c>
      <c r="D43" s="134"/>
      <c r="E43" s="144">
        <f>'Unit Data from Audit Worksheet'!F51</f>
        <v>0</v>
      </c>
      <c r="F43" s="31">
        <f t="shared" ref="F43:F52" si="6">IF(L43&lt;0,"Error: Enter as a positive.",)</f>
        <v>0</v>
      </c>
      <c r="G43" s="66"/>
      <c r="H43" s="223"/>
      <c r="I43" s="32"/>
      <c r="J43" s="35">
        <v>4</v>
      </c>
      <c r="K43" s="221" t="s">
        <v>111</v>
      </c>
      <c r="L43" s="299">
        <f t="shared" si="5"/>
        <v>0</v>
      </c>
      <c r="P43" s="196"/>
      <c r="S43" s="18"/>
      <c r="T43" s="18"/>
      <c r="U43" s="18"/>
      <c r="V43" s="18"/>
      <c r="X43" s="552">
        <v>4</v>
      </c>
      <c r="Y43" s="286">
        <v>4</v>
      </c>
      <c r="Z43" s="18"/>
      <c r="AA43" s="386">
        <f t="shared" si="0"/>
        <v>0</v>
      </c>
      <c r="AB43" s="286">
        <f t="shared" si="1"/>
        <v>0</v>
      </c>
    </row>
    <row r="44" spans="1:28" ht="131.25" customHeight="1" x14ac:dyDescent="0.3">
      <c r="A44" s="212">
        <f>'Unit Data from Audit Worksheet'!A52</f>
        <v>5</v>
      </c>
      <c r="B44" s="47" t="str">
        <f>'Unit Data from Audit Worksheet'!C52</f>
        <v>General Fund-Balance Sheet</v>
      </c>
      <c r="C44" s="298" t="str">
        <f>'Unit Data from Audit Worksheet'!D52</f>
        <v>General fund deferred inflows derived from cash receipts. 
 Prepaid taxes is a common item listed.  Deferred inflows on the face of the statements can include cash and non-cash.  You may have to refer to the note disclosure where the cash and non-cash is broken out.</v>
      </c>
      <c r="D44" s="134"/>
      <c r="E44" s="144">
        <f>'Unit Data from Audit Worksheet'!F52</f>
        <v>0</v>
      </c>
      <c r="F44" s="31">
        <f t="shared" si="6"/>
        <v>0</v>
      </c>
      <c r="G44" s="66"/>
      <c r="H44" s="223"/>
      <c r="I44" s="32"/>
      <c r="J44" s="35">
        <v>5</v>
      </c>
      <c r="K44" s="221" t="s">
        <v>112</v>
      </c>
      <c r="L44" s="299">
        <f t="shared" si="5"/>
        <v>0</v>
      </c>
      <c r="P44" s="196"/>
      <c r="S44" s="18"/>
      <c r="T44" s="18"/>
      <c r="U44" s="18"/>
      <c r="V44" s="18"/>
      <c r="X44" s="552">
        <v>5</v>
      </c>
      <c r="Y44" s="286">
        <v>5</v>
      </c>
      <c r="Z44" s="18"/>
      <c r="AA44" s="386">
        <f t="shared" si="0"/>
        <v>0</v>
      </c>
      <c r="AB44" s="286">
        <f t="shared" si="1"/>
        <v>0</v>
      </c>
    </row>
    <row r="45" spans="1:28" ht="104.25" customHeight="1" x14ac:dyDescent="0.3">
      <c r="A45" s="212">
        <f>'Unit Data from Audit Worksheet'!A53</f>
        <v>380</v>
      </c>
      <c r="B45" s="225" t="str">
        <f>'Unit Data from Audit Worksheet'!C53</f>
        <v>General Fund-Balance Sheet</v>
      </c>
      <c r="C45" s="211" t="str">
        <f>'Unit Data from Audit Worksheet'!D53</f>
        <v>Total Deferred inflows not derived from cash receipts.  Deferred inflows on the face of the statements can include cash and non-cash.  You may have to refer to the note disclosure where the cash and non-cash is broken out.</v>
      </c>
      <c r="D45" s="134"/>
      <c r="E45" s="231">
        <f>'Unit Data from Audit Worksheet'!F53</f>
        <v>0</v>
      </c>
      <c r="F45" s="224">
        <f t="shared" si="6"/>
        <v>0</v>
      </c>
      <c r="G45" s="226"/>
      <c r="H45" s="223"/>
      <c r="I45" s="32"/>
      <c r="J45" s="222">
        <v>380</v>
      </c>
      <c r="K45" s="221" t="s">
        <v>113</v>
      </c>
      <c r="L45" s="289">
        <f t="shared" si="5"/>
        <v>0</v>
      </c>
      <c r="P45" s="196"/>
      <c r="X45" s="552">
        <v>380</v>
      </c>
      <c r="Y45" s="286">
        <v>380</v>
      </c>
      <c r="AA45" s="386">
        <f t="shared" si="0"/>
        <v>0</v>
      </c>
      <c r="AB45" s="286">
        <f t="shared" si="1"/>
        <v>0</v>
      </c>
    </row>
    <row r="46" spans="1:28" ht="41.25" customHeight="1" x14ac:dyDescent="0.3">
      <c r="A46" s="212">
        <f>'Unit Data from Audit Worksheet'!A54</f>
        <v>391</v>
      </c>
      <c r="B46" s="225" t="str">
        <f>'Unit Data from Audit Worksheet'!C54</f>
        <v>General Fund-Balance Sheet</v>
      </c>
      <c r="C46" s="211" t="str">
        <f>'Unit Data from Audit Worksheet'!D54</f>
        <v xml:space="preserve">Fund balance, Restricted for Stabilization by State Statute </v>
      </c>
      <c r="D46" s="134"/>
      <c r="E46" s="231">
        <f>'Unit Data from Audit Worksheet'!F54</f>
        <v>0</v>
      </c>
      <c r="F46" s="224">
        <f t="shared" si="6"/>
        <v>0</v>
      </c>
      <c r="G46" s="226"/>
      <c r="H46" s="223"/>
      <c r="I46" s="32"/>
      <c r="J46" s="222">
        <v>391</v>
      </c>
      <c r="K46" s="221" t="s">
        <v>192</v>
      </c>
      <c r="L46" s="289">
        <f t="shared" si="5"/>
        <v>0</v>
      </c>
      <c r="P46" s="196"/>
      <c r="X46" s="552">
        <v>391</v>
      </c>
      <c r="Y46" s="286">
        <v>391</v>
      </c>
      <c r="AA46" s="386">
        <f t="shared" si="0"/>
        <v>0</v>
      </c>
      <c r="AB46" s="286">
        <f t="shared" si="1"/>
        <v>0</v>
      </c>
    </row>
    <row r="47" spans="1:28" ht="28.8" x14ac:dyDescent="0.3">
      <c r="A47" s="212">
        <f>'Unit Data from Audit Worksheet'!A55</f>
        <v>7</v>
      </c>
      <c r="B47" s="47" t="str">
        <f>'Unit Data from Audit Worksheet'!C55</f>
        <v>General Fund-Balance Sheet</v>
      </c>
      <c r="C47" s="298" t="str">
        <f>'Unit Data from Audit Worksheet'!D55</f>
        <v>Fund balance, Nonspendable-  inventory/prepaids/etc.</v>
      </c>
      <c r="D47" s="134"/>
      <c r="E47" s="144">
        <f>'Unit Data from Audit Worksheet'!F55</f>
        <v>0</v>
      </c>
      <c r="F47" s="31">
        <f t="shared" si="6"/>
        <v>0</v>
      </c>
      <c r="G47" s="66"/>
      <c r="H47" s="223"/>
      <c r="I47" s="32"/>
      <c r="J47" s="35">
        <v>7</v>
      </c>
      <c r="K47" s="221" t="s">
        <v>193</v>
      </c>
      <c r="L47" s="299">
        <f t="shared" si="5"/>
        <v>0</v>
      </c>
      <c r="P47" s="196"/>
      <c r="X47" s="552">
        <v>7</v>
      </c>
      <c r="Y47" s="286">
        <v>7</v>
      </c>
      <c r="AA47" s="386">
        <f t="shared" si="0"/>
        <v>0</v>
      </c>
      <c r="AB47" s="286">
        <f t="shared" si="1"/>
        <v>0</v>
      </c>
    </row>
    <row r="48" spans="1:28" ht="89.25" customHeight="1" x14ac:dyDescent="0.3">
      <c r="A48" s="300">
        <f>'Unit Data from Audit Worksheet'!A56</f>
        <v>11</v>
      </c>
      <c r="B48" s="109" t="str">
        <f>'Unit Data from Audit Worksheet'!C56</f>
        <v>General Fund-Balance Sheet</v>
      </c>
      <c r="C48" s="291" t="str">
        <f>'Unit Data from Audit Worksheet'!D56</f>
        <v>Fund balance, Restricted for Streets (unspent Powell Bill balance).  You may have to refer to the note disclosure where restricted fund balance is described.</v>
      </c>
      <c r="D48" s="102"/>
      <c r="E48" s="145">
        <f>'Unit Data from Audit Worksheet'!F56</f>
        <v>0</v>
      </c>
      <c r="F48" s="103">
        <f t="shared" si="6"/>
        <v>0</v>
      </c>
      <c r="G48" s="104"/>
      <c r="H48" s="105"/>
      <c r="I48" s="32"/>
      <c r="J48" s="97">
        <v>11</v>
      </c>
      <c r="K48" s="38" t="s">
        <v>194</v>
      </c>
      <c r="L48" s="289">
        <f t="shared" si="5"/>
        <v>0</v>
      </c>
      <c r="P48" s="196"/>
      <c r="X48" s="552">
        <v>11</v>
      </c>
      <c r="Y48" s="286">
        <v>11</v>
      </c>
      <c r="AA48" s="386">
        <f t="shared" si="0"/>
        <v>0</v>
      </c>
      <c r="AB48" s="286">
        <f t="shared" si="1"/>
        <v>0</v>
      </c>
    </row>
    <row r="49" spans="1:28" s="18" customFormat="1" ht="48.75" customHeight="1" x14ac:dyDescent="0.3">
      <c r="A49" s="190">
        <f>'Unit Data from Audit Worksheet'!A57</f>
        <v>645</v>
      </c>
      <c r="B49" s="235" t="str">
        <f>'Unit Data from Audit Worksheet'!C57</f>
        <v>General Fund-Balance Sheet</v>
      </c>
      <c r="C49" s="190" t="str">
        <f>'Unit Data from Audit Worksheet'!D57</f>
        <v>Fund balance, Assigned (total of all assigned components)</v>
      </c>
      <c r="D49" s="108"/>
      <c r="E49" s="234">
        <f>'Unit Data from Audit Worksheet'!F57</f>
        <v>0</v>
      </c>
      <c r="F49" s="219">
        <f>IF(L49&lt;0,"Error: Enter as a positive.",)</f>
        <v>0</v>
      </c>
      <c r="G49" s="207"/>
      <c r="H49" s="219"/>
      <c r="I49" s="301"/>
      <c r="J49" s="218">
        <v>645</v>
      </c>
      <c r="K49" s="190" t="s">
        <v>383</v>
      </c>
      <c r="L49" s="302">
        <f t="shared" si="5"/>
        <v>0</v>
      </c>
      <c r="M49"/>
      <c r="N49" s="292"/>
      <c r="O49" s="292"/>
      <c r="P49" s="196"/>
      <c r="Q49" s="279"/>
      <c r="R49" s="3"/>
      <c r="S49" s="3"/>
      <c r="T49" s="3"/>
      <c r="U49" s="3"/>
      <c r="V49" s="3"/>
      <c r="W49" s="3"/>
      <c r="X49" s="552">
        <v>645</v>
      </c>
      <c r="Y49" s="286">
        <v>645</v>
      </c>
      <c r="Z49" s="3"/>
      <c r="AA49" s="386">
        <f t="shared" si="0"/>
        <v>0</v>
      </c>
      <c r="AB49" s="286">
        <f t="shared" si="1"/>
        <v>0</v>
      </c>
    </row>
    <row r="50" spans="1:28" s="18" customFormat="1" ht="45.75" customHeight="1" x14ac:dyDescent="0.3">
      <c r="A50" s="190">
        <f>'Unit Data from Audit Worksheet'!A58</f>
        <v>646</v>
      </c>
      <c r="B50" s="235" t="str">
        <f>'Unit Data from Audit Worksheet'!C58</f>
        <v>General Fund-Balance Sheet</v>
      </c>
      <c r="C50" s="190" t="str">
        <f>'Unit Data from Audit Worksheet'!D58</f>
        <v>Fund Balance, Unassigned</v>
      </c>
      <c r="D50" s="108"/>
      <c r="E50" s="234">
        <f>'Unit Data from Audit Worksheet'!F58</f>
        <v>0</v>
      </c>
      <c r="F50" s="219">
        <f>IF(L50&lt;0,"Error: Enter as a positive.",)</f>
        <v>0</v>
      </c>
      <c r="G50" s="207"/>
      <c r="H50" s="219"/>
      <c r="I50" s="301"/>
      <c r="J50" s="218">
        <v>646</v>
      </c>
      <c r="K50" s="190" t="s">
        <v>384</v>
      </c>
      <c r="L50" s="302">
        <f t="shared" si="5"/>
        <v>0</v>
      </c>
      <c r="M50"/>
      <c r="N50" s="292"/>
      <c r="O50" s="292"/>
      <c r="P50" s="196"/>
      <c r="Q50" s="279"/>
      <c r="R50" s="3"/>
      <c r="S50" s="3"/>
      <c r="T50" s="3"/>
      <c r="U50" s="3"/>
      <c r="V50" s="3"/>
      <c r="W50" s="3"/>
      <c r="X50" s="552">
        <v>646</v>
      </c>
      <c r="Y50" s="286">
        <v>646</v>
      </c>
      <c r="Z50" s="3"/>
      <c r="AA50" s="386">
        <f t="shared" si="0"/>
        <v>0</v>
      </c>
      <c r="AB50" s="286">
        <f t="shared" si="1"/>
        <v>0</v>
      </c>
    </row>
    <row r="51" spans="1:28" ht="55.5" customHeight="1" x14ac:dyDescent="0.3">
      <c r="A51" s="287">
        <f>'Unit Data from Audit Worksheet'!A59</f>
        <v>9</v>
      </c>
      <c r="B51" s="110" t="str">
        <f>'Unit Data from Audit Worksheet'!C59</f>
        <v>General Fund-Balance Sheet</v>
      </c>
      <c r="C51" s="303" t="str">
        <f>'Unit Data from Audit Worksheet'!D59</f>
        <v>Total Fund balance (enter fund deficits as negative)</v>
      </c>
      <c r="D51" s="134"/>
      <c r="E51" s="143">
        <f>'Unit Data from Audit Worksheet'!F59</f>
        <v>0</v>
      </c>
      <c r="F51" s="111">
        <f>IF(L41-L43-L44-L45-L51=0,,"Error: Total assets less total liabilities do not equal Acct +379-4-5-380-9=0")</f>
        <v>0</v>
      </c>
      <c r="G51" s="112">
        <f>L41-L43-L44-L45-L51</f>
        <v>0</v>
      </c>
      <c r="H51" s="223"/>
      <c r="I51" s="32"/>
      <c r="J51" s="113">
        <v>9</v>
      </c>
      <c r="K51" s="45" t="s">
        <v>195</v>
      </c>
      <c r="L51" s="299">
        <f t="shared" si="5"/>
        <v>0</v>
      </c>
      <c r="O51" s="296" t="e">
        <f>'Unit Data from Audit Worksheet'!E59</f>
        <v>#N/A</v>
      </c>
      <c r="P51" s="196"/>
      <c r="X51" s="552">
        <v>9</v>
      </c>
      <c r="Y51" s="286">
        <v>9</v>
      </c>
      <c r="AA51" s="386">
        <f t="shared" si="0"/>
        <v>0</v>
      </c>
      <c r="AB51" s="286">
        <f t="shared" si="1"/>
        <v>0</v>
      </c>
    </row>
    <row r="52" spans="1:28" s="18" customFormat="1" ht="73.5" customHeight="1" x14ac:dyDescent="0.3">
      <c r="A52" s="212">
        <f>'Unit Data from Audit Worksheet'!A60</f>
        <v>540</v>
      </c>
      <c r="B52" s="225" t="str">
        <f>'Unit Data from Audit Worksheet'!C60</f>
        <v>General Fund - Budget Actual Statement</v>
      </c>
      <c r="C52" s="211" t="str">
        <f>'Unit Data from Audit Worksheet'!D60</f>
        <v>Amount of the General Fund Balance appropriated in next year's budget. As reported on the General Fund Balance Sheet.</v>
      </c>
      <c r="D52" s="134"/>
      <c r="E52" s="231">
        <f>'Unit Data from Audit Worksheet'!F60</f>
        <v>0</v>
      </c>
      <c r="F52" s="224">
        <f t="shared" si="6"/>
        <v>0</v>
      </c>
      <c r="G52" s="226"/>
      <c r="H52" s="223"/>
      <c r="I52" s="32"/>
      <c r="J52" s="222">
        <v>540</v>
      </c>
      <c r="K52" s="221" t="s">
        <v>253</v>
      </c>
      <c r="L52" s="289">
        <f t="shared" ref="L52:L79" si="7">IF(D52="",E52,D52)</f>
        <v>0</v>
      </c>
      <c r="M52"/>
      <c r="P52" s="196"/>
      <c r="Q52" s="279"/>
      <c r="R52" s="3"/>
      <c r="S52" s="3"/>
      <c r="T52" s="3"/>
      <c r="U52" s="3"/>
      <c r="V52" s="3"/>
      <c r="W52" s="3"/>
      <c r="X52" s="552">
        <v>540</v>
      </c>
      <c r="Y52" s="286">
        <v>540</v>
      </c>
      <c r="Z52" s="3"/>
      <c r="AA52" s="386">
        <f t="shared" si="0"/>
        <v>0</v>
      </c>
      <c r="AB52" s="286">
        <f t="shared" si="1"/>
        <v>0</v>
      </c>
    </row>
    <row r="53" spans="1:28" s="18" customFormat="1" ht="73.5" customHeight="1" x14ac:dyDescent="0.3">
      <c r="A53" s="212">
        <f>'Unit Data from Audit Worksheet'!A61</f>
        <v>1052</v>
      </c>
      <c r="B53" s="225" t="str">
        <f>'Unit Data from Audit Worksheet'!C61</f>
        <v>General Fund-Rev, Exp. Change in Fund Balance</v>
      </c>
      <c r="C53" s="211" t="str">
        <f>'Unit Data from Audit Worksheet'!D61</f>
        <v>Mark to Market unrealized losses in the General Fund. (enter as a negative number)</v>
      </c>
      <c r="D53" s="134"/>
      <c r="E53" s="231">
        <f>'Unit Data from Audit Worksheet'!F61</f>
        <v>0</v>
      </c>
      <c r="F53" s="224"/>
      <c r="G53" s="226"/>
      <c r="H53" s="223"/>
      <c r="I53" s="32"/>
      <c r="J53" s="222">
        <v>1052</v>
      </c>
      <c r="K53" s="221" t="s">
        <v>1612</v>
      </c>
      <c r="L53" s="295">
        <f t="shared" si="7"/>
        <v>0</v>
      </c>
      <c r="M53"/>
      <c r="P53" s="196"/>
      <c r="Q53" s="279"/>
      <c r="R53" s="386"/>
      <c r="S53" s="386"/>
      <c r="T53" s="386"/>
      <c r="U53" s="386"/>
      <c r="V53" s="386"/>
      <c r="W53" s="386"/>
      <c r="X53" s="552"/>
      <c r="Y53" s="286"/>
      <c r="Z53" s="386"/>
      <c r="AA53" s="386">
        <f t="shared" si="0"/>
        <v>0</v>
      </c>
      <c r="AB53" s="286"/>
    </row>
    <row r="54" spans="1:28" s="18" customFormat="1" ht="73.5" customHeight="1" x14ac:dyDescent="0.3">
      <c r="A54" s="212">
        <f>'Unit Data from Audit Worksheet'!A63</f>
        <v>984</v>
      </c>
      <c r="B54" s="225" t="str">
        <f>'Unit Data from Audit Worksheet'!C63</f>
        <v>General Fund - Budget Actual Statement</v>
      </c>
      <c r="C54" s="211" t="str">
        <f>'Unit Data from Audit Worksheet'!D63</f>
        <v>Amount of Ad valorem tax collected (including motor vehicle and prior years) reported on budget actual statement</v>
      </c>
      <c r="D54" s="134"/>
      <c r="E54" s="231">
        <f>'Unit Data from Audit Worksheet'!F63</f>
        <v>0</v>
      </c>
      <c r="F54" s="224"/>
      <c r="G54" s="226"/>
      <c r="H54" s="223"/>
      <c r="I54" s="32"/>
      <c r="J54" s="222">
        <v>984</v>
      </c>
      <c r="K54" s="221" t="s">
        <v>601</v>
      </c>
      <c r="L54" s="295">
        <f t="shared" si="7"/>
        <v>0</v>
      </c>
      <c r="M54"/>
      <c r="P54" s="196"/>
      <c r="Q54" s="279"/>
      <c r="R54" s="3"/>
      <c r="S54" s="3"/>
      <c r="T54" s="3"/>
      <c r="U54" s="3"/>
      <c r="V54" s="3"/>
      <c r="W54" s="3"/>
      <c r="X54" s="552">
        <v>984</v>
      </c>
      <c r="Y54" s="286">
        <v>984</v>
      </c>
      <c r="Z54" s="3"/>
      <c r="AA54" s="386">
        <f t="shared" si="0"/>
        <v>0</v>
      </c>
      <c r="AB54" s="286">
        <f t="shared" si="1"/>
        <v>0</v>
      </c>
    </row>
    <row r="55" spans="1:28" s="18" customFormat="1" ht="73.5" customHeight="1" x14ac:dyDescent="0.3">
      <c r="A55" s="212">
        <f>'Unit Data from Audit Worksheet'!A64</f>
        <v>985</v>
      </c>
      <c r="B55" s="225" t="str">
        <f>'Unit Data from Audit Worksheet'!C64</f>
        <v>General Fund - Budget Actual Statement</v>
      </c>
      <c r="C55" s="211" t="str">
        <f>'Unit Data from Audit Worksheet'!D64</f>
        <v>Amount of Ad valorem tax budgeted (including motor vehicle and prior years) reported on budget actual statement</v>
      </c>
      <c r="D55" s="134"/>
      <c r="E55" s="231">
        <f>'Unit Data from Audit Worksheet'!F64</f>
        <v>0</v>
      </c>
      <c r="F55" s="224"/>
      <c r="G55" s="226"/>
      <c r="H55" s="223"/>
      <c r="I55" s="32"/>
      <c r="J55" s="222">
        <v>985</v>
      </c>
      <c r="K55" s="221" t="s">
        <v>602</v>
      </c>
      <c r="L55" s="295">
        <f t="shared" si="7"/>
        <v>0</v>
      </c>
      <c r="M55"/>
      <c r="P55" s="197"/>
      <c r="Q55" s="279"/>
      <c r="R55" s="3"/>
      <c r="S55" s="3"/>
      <c r="T55" s="3"/>
      <c r="U55" s="3"/>
      <c r="V55" s="3"/>
      <c r="W55" s="3"/>
      <c r="X55" s="552">
        <v>985</v>
      </c>
      <c r="Y55" s="286">
        <v>985</v>
      </c>
      <c r="Z55" s="3"/>
      <c r="AA55" s="386">
        <f t="shared" si="0"/>
        <v>0</v>
      </c>
      <c r="AB55" s="286">
        <f t="shared" si="1"/>
        <v>0</v>
      </c>
    </row>
    <row r="56" spans="1:28" ht="73.5" customHeight="1" x14ac:dyDescent="0.3">
      <c r="A56" s="212">
        <f>'Unit Data from Audit Worksheet'!A65</f>
        <v>369</v>
      </c>
      <c r="B56" s="225" t="str">
        <f>'Unit Data from Audit Worksheet'!C65</f>
        <v>General Fund-Rev, Exp. Change in Fund Balance</v>
      </c>
      <c r="C56" s="211" t="str">
        <f>'Unit Data from Audit Worksheet'!D65</f>
        <v>Total Intergovernmental revenue 
Include restricted and unrestricted revenues</v>
      </c>
      <c r="D56" s="134"/>
      <c r="E56" s="231">
        <f>'Unit Data from Audit Worksheet'!F65</f>
        <v>0</v>
      </c>
      <c r="F56" s="224"/>
      <c r="G56" s="226"/>
      <c r="H56" s="223"/>
      <c r="I56" s="32"/>
      <c r="J56" s="222">
        <v>369</v>
      </c>
      <c r="K56" s="221" t="s">
        <v>196</v>
      </c>
      <c r="L56" s="289">
        <f t="shared" si="7"/>
        <v>0</v>
      </c>
      <c r="P56" s="205"/>
      <c r="X56" s="552">
        <v>369</v>
      </c>
      <c r="Y56" s="294">
        <v>369</v>
      </c>
      <c r="AA56" s="386">
        <f t="shared" si="0"/>
        <v>0</v>
      </c>
      <c r="AB56" s="286">
        <f t="shared" si="1"/>
        <v>0</v>
      </c>
    </row>
    <row r="57" spans="1:28" ht="73.5" customHeight="1" x14ac:dyDescent="0.3">
      <c r="A57" s="212">
        <f>'Unit Data from Audit Worksheet'!A66</f>
        <v>16</v>
      </c>
      <c r="B57" s="225" t="str">
        <f>'Unit Data from Audit Worksheet'!C66</f>
        <v>General Fund-Rev, Exp. Change in Fund Balance</v>
      </c>
      <c r="C57" s="211" t="str">
        <f>'Unit Data from Audit Worksheet'!D66</f>
        <v>Total revenues</v>
      </c>
      <c r="D57" s="134"/>
      <c r="E57" s="231">
        <f>'Unit Data from Audit Worksheet'!F66</f>
        <v>0</v>
      </c>
      <c r="F57" s="224"/>
      <c r="G57" s="226"/>
      <c r="H57" s="223"/>
      <c r="I57" s="32"/>
      <c r="J57" s="222">
        <v>16</v>
      </c>
      <c r="K57" s="221" t="s">
        <v>197</v>
      </c>
      <c r="L57" s="289">
        <f t="shared" si="7"/>
        <v>0</v>
      </c>
      <c r="P57" s="205"/>
      <c r="X57" s="552">
        <v>16</v>
      </c>
      <c r="Y57" s="294">
        <v>16</v>
      </c>
      <c r="AA57" s="386">
        <f t="shared" si="0"/>
        <v>0</v>
      </c>
      <c r="AB57" s="286">
        <f t="shared" si="1"/>
        <v>0</v>
      </c>
    </row>
    <row r="58" spans="1:28" ht="73.5" customHeight="1" x14ac:dyDescent="0.3">
      <c r="A58" s="212">
        <f>'Unit Data from Audit Worksheet'!A67</f>
        <v>370</v>
      </c>
      <c r="B58" s="225" t="str">
        <f>'Unit Data from Audit Worksheet'!C67</f>
        <v>General Fund-Rev, Exp. Change in Fund Balance</v>
      </c>
      <c r="C58" s="211" t="str">
        <f>'Unit Data from Audit Worksheet'!D67</f>
        <v>Debt service expenditures. 
Include principal, interest paid, and bond/debt issuance costs on long-term debt</v>
      </c>
      <c r="D58" s="134"/>
      <c r="E58" s="231">
        <f>'Unit Data from Audit Worksheet'!F67</f>
        <v>0</v>
      </c>
      <c r="F58" s="224">
        <f t="shared" ref="F58:F65" si="8">IF(L58&lt;0,"Error: Enter as a positive.",)</f>
        <v>0</v>
      </c>
      <c r="G58" s="226"/>
      <c r="H58" s="223"/>
      <c r="I58" s="32"/>
      <c r="J58" s="222">
        <v>370</v>
      </c>
      <c r="K58" s="221" t="s">
        <v>198</v>
      </c>
      <c r="L58" s="289">
        <f t="shared" si="7"/>
        <v>0</v>
      </c>
      <c r="P58" s="205"/>
      <c r="X58" s="552">
        <v>370</v>
      </c>
      <c r="Y58" s="286">
        <v>370</v>
      </c>
      <c r="AA58" s="386">
        <f t="shared" si="0"/>
        <v>0</v>
      </c>
      <c r="AB58" s="286">
        <f t="shared" si="1"/>
        <v>0</v>
      </c>
    </row>
    <row r="59" spans="1:28" ht="73.5" customHeight="1" x14ac:dyDescent="0.3">
      <c r="A59" s="212">
        <f>'Unit Data from Audit Worksheet'!A68</f>
        <v>532</v>
      </c>
      <c r="B59" s="225" t="str">
        <f>'Unit Data from Audit Worksheet'!C68</f>
        <v>General Fund-Rev, Exp. Change in Fund Balance</v>
      </c>
      <c r="C59" s="211" t="str">
        <f>'Unit Data from Audit Worksheet'!D68</f>
        <v xml:space="preserve">Total expenditures  
Exclude expenditures in the "other financing sources (uses)" section.
</v>
      </c>
      <c r="D59" s="134"/>
      <c r="E59" s="231">
        <f>'Unit Data from Audit Worksheet'!F68</f>
        <v>0</v>
      </c>
      <c r="F59" s="224">
        <f t="shared" si="8"/>
        <v>0</v>
      </c>
      <c r="G59" s="226"/>
      <c r="H59" s="223"/>
      <c r="I59" s="32"/>
      <c r="J59" s="222">
        <v>532</v>
      </c>
      <c r="K59" s="307" t="s">
        <v>199</v>
      </c>
      <c r="L59" s="289">
        <f t="shared" si="7"/>
        <v>0</v>
      </c>
      <c r="P59" s="205"/>
      <c r="X59" s="552">
        <v>532</v>
      </c>
      <c r="Y59" s="286">
        <v>532</v>
      </c>
      <c r="AA59" s="386">
        <f t="shared" si="0"/>
        <v>0</v>
      </c>
      <c r="AB59" s="286">
        <f t="shared" si="1"/>
        <v>0</v>
      </c>
    </row>
    <row r="60" spans="1:28" s="386" customFormat="1" ht="73.5" customHeight="1" x14ac:dyDescent="0.3">
      <c r="A60" s="212">
        <f>'Unit Data from Audit Worksheet'!A69</f>
        <v>1050</v>
      </c>
      <c r="B60" s="225" t="str">
        <f>'Unit Data from Audit Worksheet'!C69</f>
        <v>General Fund-Rev, Exp. Change in Fund Balance</v>
      </c>
      <c r="C60" s="211" t="str">
        <f>'Unit Data from Audit Worksheet'!D69</f>
        <v>Amount expended for Powell Bill expenditures in the General Fund</v>
      </c>
      <c r="D60" s="134"/>
      <c r="E60" s="231">
        <f>'Unit Data from Audit Worksheet'!F69</f>
        <v>0</v>
      </c>
      <c r="F60" s="224"/>
      <c r="G60" s="226"/>
      <c r="H60" s="223"/>
      <c r="I60" s="32"/>
      <c r="J60" s="222">
        <v>1050</v>
      </c>
      <c r="K60" s="211" t="s">
        <v>1512</v>
      </c>
      <c r="L60" s="295">
        <f t="shared" si="7"/>
        <v>0</v>
      </c>
      <c r="M60"/>
      <c r="P60" s="205"/>
      <c r="Q60" s="279"/>
      <c r="X60" s="552"/>
      <c r="Y60" s="286"/>
      <c r="AA60" s="386">
        <f t="shared" si="0"/>
        <v>0</v>
      </c>
      <c r="AB60" s="286"/>
    </row>
    <row r="61" spans="1:28" ht="73.5" customHeight="1" x14ac:dyDescent="0.3">
      <c r="A61" s="212">
        <f>'Unit Data from Audit Worksheet'!A70</f>
        <v>17</v>
      </c>
      <c r="B61" s="225" t="str">
        <f>'Unit Data from Audit Worksheet'!C70</f>
        <v>General Fund-Rev, Exp. Change in Fund Balance</v>
      </c>
      <c r="C61" s="211" t="str">
        <f>'Unit Data from Audit Worksheet'!D70</f>
        <v>Total Transfers in    (Preference is that transfers-in  are not netted against transfers-out)</v>
      </c>
      <c r="D61" s="134"/>
      <c r="E61" s="231">
        <f>'Unit Data from Audit Worksheet'!F70</f>
        <v>0</v>
      </c>
      <c r="F61" s="224">
        <f t="shared" si="8"/>
        <v>0</v>
      </c>
      <c r="G61" s="226"/>
      <c r="H61" s="223"/>
      <c r="I61" s="32"/>
      <c r="J61" s="222">
        <v>17</v>
      </c>
      <c r="K61" s="221" t="s">
        <v>200</v>
      </c>
      <c r="L61" s="289">
        <f t="shared" si="7"/>
        <v>0</v>
      </c>
      <c r="P61" s="205"/>
      <c r="X61" s="552">
        <v>17</v>
      </c>
      <c r="Y61" s="286">
        <v>17</v>
      </c>
      <c r="AA61" s="386">
        <f t="shared" si="0"/>
        <v>0</v>
      </c>
      <c r="AB61" s="286">
        <f t="shared" si="1"/>
        <v>0</v>
      </c>
    </row>
    <row r="62" spans="1:28" ht="54.75" customHeight="1" x14ac:dyDescent="0.3">
      <c r="A62" s="212">
        <f>'Unit Data from Audit Worksheet'!A71</f>
        <v>20</v>
      </c>
      <c r="B62" s="225" t="str">
        <f>'Unit Data from Audit Worksheet'!C71</f>
        <v>General Fund-Rev, Exp. Change in Fund Balance</v>
      </c>
      <c r="C62" s="211" t="str">
        <f>'Unit Data from Audit Worksheet'!D71</f>
        <v>Total Transfers out    (Preference is that transfers-in  are not netted against transfers-out)</v>
      </c>
      <c r="D62" s="134"/>
      <c r="E62" s="231">
        <f>'Unit Data from Audit Worksheet'!F71</f>
        <v>0</v>
      </c>
      <c r="F62" s="224">
        <f t="shared" si="8"/>
        <v>0</v>
      </c>
      <c r="G62" s="226"/>
      <c r="H62" s="223"/>
      <c r="I62" s="32"/>
      <c r="J62" s="222">
        <v>20</v>
      </c>
      <c r="K62" s="221" t="s">
        <v>201</v>
      </c>
      <c r="L62" s="289">
        <f t="shared" si="7"/>
        <v>0</v>
      </c>
      <c r="P62" s="205"/>
      <c r="X62" s="552">
        <v>20</v>
      </c>
      <c r="Y62" s="286">
        <v>20</v>
      </c>
      <c r="AA62" s="386">
        <f t="shared" si="0"/>
        <v>0</v>
      </c>
      <c r="AB62" s="286">
        <f t="shared" si="1"/>
        <v>0</v>
      </c>
    </row>
    <row r="63" spans="1:28" ht="54.75" customHeight="1" x14ac:dyDescent="0.3">
      <c r="A63" s="212">
        <f>'Unit Data from Audit Worksheet'!A72</f>
        <v>533</v>
      </c>
      <c r="B63" s="225" t="str">
        <f>'Unit Data from Audit Worksheet'!C72</f>
        <v>General Fund-Rev, Exp. Change in Fund Balance</v>
      </c>
      <c r="C63" s="211" t="str">
        <f>'Unit Data from Audit Worksheet'!D72</f>
        <v>Total Proceeds from all long-term debt issuances 
Exclude proceeds from refundings</v>
      </c>
      <c r="D63" s="134"/>
      <c r="E63" s="231">
        <f>'Unit Data from Audit Worksheet'!F72</f>
        <v>0</v>
      </c>
      <c r="F63" s="224">
        <f t="shared" si="8"/>
        <v>0</v>
      </c>
      <c r="G63" s="226"/>
      <c r="H63" s="223"/>
      <c r="I63" s="32"/>
      <c r="J63" s="222">
        <v>533</v>
      </c>
      <c r="K63" s="307" t="s">
        <v>202</v>
      </c>
      <c r="L63" s="289">
        <f t="shared" si="7"/>
        <v>0</v>
      </c>
      <c r="P63" s="205"/>
      <c r="X63" s="552">
        <v>533</v>
      </c>
      <c r="Y63" s="286">
        <v>533</v>
      </c>
      <c r="AA63" s="386">
        <f t="shared" si="0"/>
        <v>0</v>
      </c>
      <c r="AB63" s="286">
        <f t="shared" si="1"/>
        <v>0</v>
      </c>
    </row>
    <row r="64" spans="1:28" ht="54.75" customHeight="1" x14ac:dyDescent="0.3">
      <c r="A64" s="212">
        <f>'Unit Data from Audit Worksheet'!A73</f>
        <v>508</v>
      </c>
      <c r="B64" s="225" t="str">
        <f>'Unit Data from Audit Worksheet'!C73</f>
        <v>General Fund-Rev, Exp. Change in Fund Balance</v>
      </c>
      <c r="C64" s="211" t="str">
        <f>'Unit Data from Audit Worksheet'!D73</f>
        <v>Debt Refunding - Net refunding proceeds against debt payoff and if positive place results on this line.</v>
      </c>
      <c r="D64" s="134"/>
      <c r="E64" s="231">
        <f>'Unit Data from Audit Worksheet'!F73</f>
        <v>0</v>
      </c>
      <c r="F64" s="224">
        <f t="shared" si="8"/>
        <v>0</v>
      </c>
      <c r="G64" s="226"/>
      <c r="H64" s="223"/>
      <c r="I64" s="32"/>
      <c r="J64" s="222">
        <v>508</v>
      </c>
      <c r="K64" s="221" t="s">
        <v>204</v>
      </c>
      <c r="L64" s="289">
        <f t="shared" si="7"/>
        <v>0</v>
      </c>
      <c r="N64" s="575"/>
      <c r="P64" s="198"/>
      <c r="X64" s="552">
        <v>508</v>
      </c>
      <c r="Y64" s="286">
        <v>508</v>
      </c>
      <c r="AA64" s="386">
        <f t="shared" si="0"/>
        <v>0</v>
      </c>
      <c r="AB64" s="286">
        <f t="shared" si="1"/>
        <v>0</v>
      </c>
    </row>
    <row r="65" spans="1:28" ht="54.75" customHeight="1" x14ac:dyDescent="0.3">
      <c r="A65" s="212">
        <f>'Unit Data from Audit Worksheet'!A74</f>
        <v>509</v>
      </c>
      <c r="B65" s="225" t="str">
        <f>'Unit Data from Audit Worksheet'!C74</f>
        <v>General Fund-Rev, Exp. Change in Fund Balance</v>
      </c>
      <c r="C65" s="211" t="str">
        <f>'Unit Data from Audit Worksheet'!D74</f>
        <v>Debt Refunding - Net refunding proceeds against debt payoff and if negative place results on this line.</v>
      </c>
      <c r="D65" s="134"/>
      <c r="E65" s="231">
        <f>'Unit Data from Audit Worksheet'!F74</f>
        <v>0</v>
      </c>
      <c r="F65" s="224">
        <f t="shared" si="8"/>
        <v>0</v>
      </c>
      <c r="G65" s="226"/>
      <c r="H65" s="223"/>
      <c r="I65" s="32"/>
      <c r="J65" s="222">
        <v>509</v>
      </c>
      <c r="K65" s="221" t="s">
        <v>205</v>
      </c>
      <c r="L65" s="289">
        <f>IF(D65="",E65,D65)</f>
        <v>0</v>
      </c>
      <c r="N65" s="576"/>
      <c r="P65" s="205"/>
      <c r="Q65" s="293"/>
      <c r="S65" s="292"/>
      <c r="T65" s="292"/>
      <c r="U65" s="292"/>
      <c r="V65" s="292"/>
      <c r="W65" s="18"/>
      <c r="X65" s="552">
        <v>509</v>
      </c>
      <c r="Y65" s="286">
        <v>509</v>
      </c>
      <c r="Z65" s="18"/>
      <c r="AA65" s="386">
        <f t="shared" si="0"/>
        <v>0</v>
      </c>
      <c r="AB65" s="286">
        <f t="shared" si="1"/>
        <v>0</v>
      </c>
    </row>
    <row r="66" spans="1:28" ht="84.75" customHeight="1" x14ac:dyDescent="0.3">
      <c r="A66" s="212">
        <f>'Unit Data from Audit Worksheet'!A75</f>
        <v>22</v>
      </c>
      <c r="B66" s="225" t="str">
        <f>'Unit Data from Audit Worksheet'!C75</f>
        <v>General Fund-Rev, Exp. Change in Fund Balance</v>
      </c>
      <c r="C66" s="211" t="str">
        <f>'Unit Data from Audit Worksheet'!D75</f>
        <v xml:space="preserve">All other items on this statement that were not included in total revenues, total expenditures, transfers in or out, or proceeds from long-term debt above.  </v>
      </c>
      <c r="D66" s="134"/>
      <c r="E66" s="231">
        <f>'Unit Data from Audit Worksheet'!F75</f>
        <v>0</v>
      </c>
      <c r="F66" s="224"/>
      <c r="G66" s="226"/>
      <c r="H66" s="223"/>
      <c r="I66" s="32"/>
      <c r="J66" s="222">
        <v>22</v>
      </c>
      <c r="K66" s="221" t="s">
        <v>203</v>
      </c>
      <c r="L66" s="289">
        <f t="shared" si="7"/>
        <v>0</v>
      </c>
      <c r="N66" s="576"/>
      <c r="P66" s="195"/>
      <c r="Q66" s="310"/>
      <c r="S66" s="309"/>
      <c r="T66" s="309"/>
      <c r="U66" s="309"/>
      <c r="V66" s="309"/>
      <c r="W66" s="309"/>
      <c r="X66" s="552">
        <v>22</v>
      </c>
      <c r="Y66" s="286">
        <v>22</v>
      </c>
      <c r="Z66" s="18"/>
      <c r="AA66" s="386">
        <f t="shared" si="0"/>
        <v>0</v>
      </c>
      <c r="AB66" s="286">
        <f t="shared" si="1"/>
        <v>0</v>
      </c>
    </row>
    <row r="67" spans="1:28" ht="74.25" customHeight="1" x14ac:dyDescent="0.3">
      <c r="A67" s="212">
        <f>'Unit Data from Audit Worksheet'!A76</f>
        <v>23</v>
      </c>
      <c r="B67" s="225" t="str">
        <f>'Unit Data from Audit Worksheet'!C76</f>
        <v>General Fund-Rev, Exp. Change in Fund Balance</v>
      </c>
      <c r="C67" s="211" t="str">
        <f>'Unit Data from Audit Worksheet'!D76</f>
        <v>Change in fund balance - (Increase in Fund balance is recorded as a positive and a decrease in fund balance is recorded as a negative)</v>
      </c>
      <c r="D67" s="134"/>
      <c r="E67" s="231">
        <f>'Unit Data from Audit Worksheet'!F76</f>
        <v>0</v>
      </c>
      <c r="F67" s="224">
        <f>IF(+L57-L59+L61-L62+L63+L64-L65+L66-L67=0,,"Error:Total revenues less toal Expenditures do not equal change in fund balance")</f>
        <v>0</v>
      </c>
      <c r="G67" s="84">
        <f>+L57-L59+L61-L62+L63+L66+L64-L65-L67</f>
        <v>0</v>
      </c>
      <c r="H67" s="223"/>
      <c r="I67" s="32"/>
      <c r="J67" s="222">
        <v>23</v>
      </c>
      <c r="K67" s="221" t="s">
        <v>206</v>
      </c>
      <c r="L67" s="289">
        <f t="shared" si="7"/>
        <v>0</v>
      </c>
      <c r="P67" s="195"/>
      <c r="X67" s="552">
        <v>23</v>
      </c>
      <c r="Y67" s="286">
        <v>23</v>
      </c>
      <c r="AA67" s="386">
        <f t="shared" si="0"/>
        <v>0</v>
      </c>
      <c r="AB67" s="286">
        <f t="shared" si="1"/>
        <v>0</v>
      </c>
    </row>
    <row r="68" spans="1:28" ht="123" customHeight="1" x14ac:dyDescent="0.3">
      <c r="A68" s="300">
        <f>'Unit Data from Audit Worksheet'!A78</f>
        <v>507</v>
      </c>
      <c r="B68" s="109" t="str">
        <f>'Unit Data from Audit Worksheet'!C78</f>
        <v>General Fund-Rev, Exp. Change in Fund Balance</v>
      </c>
      <c r="C68" s="206" t="str">
        <f>'Unit Data from Audit Worksheet'!D78</f>
        <v>Any adjustment to beginning fund balance including rounding, prior period adjustments and restatements.   (Amounts that increase fund balance are recorded as positive and amounts that decrease fund balance are recorded as negative)</v>
      </c>
      <c r="D68" s="102"/>
      <c r="E68" s="145">
        <f>'Unit Data from Audit Worksheet'!F78</f>
        <v>0</v>
      </c>
      <c r="F68" s="103" t="e">
        <f>IF(+L51-L67-L68=O51,,"Error: Beginning Fund Bal does not equal our records Accts 9-23-507= PY9")</f>
        <v>#N/A</v>
      </c>
      <c r="G68" s="114" t="e">
        <f>L51-L67-L68-O51</f>
        <v>#N/A</v>
      </c>
      <c r="H68" s="105" t="e">
        <f>'Unit Data from Audit Worksheet'!I78</f>
        <v>#N/A</v>
      </c>
      <c r="I68" s="32"/>
      <c r="J68" s="97">
        <v>507</v>
      </c>
      <c r="K68" s="38" t="s">
        <v>207</v>
      </c>
      <c r="L68" s="289">
        <f t="shared" si="7"/>
        <v>0</v>
      </c>
      <c r="N68" s="297"/>
      <c r="O68" s="296"/>
      <c r="P68" s="195"/>
      <c r="R68" s="386"/>
      <c r="S68" s="386"/>
      <c r="T68" s="386"/>
      <c r="U68" s="386"/>
      <c r="V68" s="386"/>
      <c r="W68" s="309"/>
      <c r="X68" s="552">
        <v>507</v>
      </c>
      <c r="Y68" s="286">
        <v>507</v>
      </c>
      <c r="Z68" s="386"/>
      <c r="AA68" s="386">
        <f t="shared" si="0"/>
        <v>0</v>
      </c>
      <c r="AB68" s="286">
        <f t="shared" si="1"/>
        <v>0</v>
      </c>
    </row>
    <row r="69" spans="1:28" s="18" customFormat="1" ht="40.5" customHeight="1" x14ac:dyDescent="0.3">
      <c r="A69" s="190">
        <f>'Unit Data from Audit Worksheet'!A79</f>
        <v>647</v>
      </c>
      <c r="B69" s="235" t="str">
        <f>'Unit Data from Audit Worksheet'!C79</f>
        <v>Debt Service Fund</v>
      </c>
      <c r="C69" s="190" t="str">
        <f>'Unit Data from Audit Worksheet'!D79</f>
        <v>Please enter the Total Fund Balance for any Debt Service Funds from the Budgeted to Actual statement</v>
      </c>
      <c r="D69" s="108"/>
      <c r="E69" s="234">
        <f>'Unit Data from Audit Worksheet'!F79</f>
        <v>0</v>
      </c>
      <c r="F69" s="219"/>
      <c r="G69" s="215"/>
      <c r="H69" s="219"/>
      <c r="I69" s="301"/>
      <c r="J69" s="218">
        <v>647</v>
      </c>
      <c r="K69" s="193" t="s">
        <v>808</v>
      </c>
      <c r="L69" s="302">
        <f>IF(D69="",E69,D69)</f>
        <v>0</v>
      </c>
      <c r="M69"/>
      <c r="N69" s="292"/>
      <c r="O69" s="308"/>
      <c r="P69" s="195"/>
      <c r="Q69" s="279"/>
      <c r="R69" s="3"/>
      <c r="S69" s="3"/>
      <c r="T69" s="3"/>
      <c r="U69" s="3"/>
      <c r="V69" s="3"/>
      <c r="W69" s="3"/>
      <c r="X69" s="552">
        <v>647</v>
      </c>
      <c r="Y69" s="286">
        <v>647</v>
      </c>
      <c r="Z69" s="3"/>
      <c r="AA69" s="386">
        <f t="shared" si="0"/>
        <v>0</v>
      </c>
      <c r="AB69" s="286">
        <f t="shared" si="1"/>
        <v>0</v>
      </c>
    </row>
    <row r="70" spans="1:28" ht="60" customHeight="1" x14ac:dyDescent="0.3">
      <c r="A70" s="287">
        <f>'Unit Data from Audit Worksheet'!A81</f>
        <v>171</v>
      </c>
      <c r="B70" s="48" t="str">
        <f>'Unit Data from Audit Worksheet'!C81</f>
        <v>Fund Statements - all Governmental Funds</v>
      </c>
      <c r="C70" s="288" t="str">
        <f>'Unit Data from Audit Worksheet'!D81</f>
        <v>Debt service expenditures from all governmental funds.  Include principal, interest paid, and debt issuance costs on long-term debt.</v>
      </c>
      <c r="D70" s="230"/>
      <c r="E70" s="142">
        <f>'Unit Data from Audit Worksheet'!F81</f>
        <v>0</v>
      </c>
      <c r="F70" s="41">
        <f>IF(L70&lt;0,"Error: Enter as a positive.",)</f>
        <v>0</v>
      </c>
      <c r="G70" s="65"/>
      <c r="H70" s="223"/>
      <c r="I70" s="32"/>
      <c r="J70" s="36">
        <v>171</v>
      </c>
      <c r="K70" s="45" t="s">
        <v>208</v>
      </c>
      <c r="L70" s="289">
        <f t="shared" si="7"/>
        <v>0</v>
      </c>
      <c r="P70" s="195"/>
      <c r="X70" s="552">
        <v>171</v>
      </c>
      <c r="Y70" s="286">
        <v>171</v>
      </c>
      <c r="AA70" s="386">
        <f t="shared" si="0"/>
        <v>0</v>
      </c>
      <c r="AB70" s="286">
        <f t="shared" si="1"/>
        <v>0</v>
      </c>
    </row>
    <row r="71" spans="1:28" ht="69" customHeight="1" x14ac:dyDescent="0.3">
      <c r="A71" s="212">
        <f>'Unit Data from Audit Worksheet'!A85</f>
        <v>596</v>
      </c>
      <c r="B71" s="225"/>
      <c r="C71" s="211" t="str">
        <f>'Unit Data from Audit Worksheet'!D85</f>
        <v>Indicate if your water/sewer system:
50 - Became Operational
51 - Ceased Operations
52 - No Change
Select from drop down.</v>
      </c>
      <c r="D71" s="134"/>
      <c r="E71" s="231">
        <f>'Unit Data from Audit Worksheet'!F85</f>
        <v>0</v>
      </c>
      <c r="F71" s="224"/>
      <c r="G71" s="224" t="str">
        <f>'Unit Data from Audit Worksheet'!G85</f>
        <v>Please do not answer this question unless the unit has a  water and/or sewer fund</v>
      </c>
      <c r="H71" s="223"/>
      <c r="I71" s="32"/>
      <c r="J71" s="222">
        <v>596</v>
      </c>
      <c r="K71" s="221" t="s">
        <v>335</v>
      </c>
      <c r="L71" s="289">
        <f t="shared" si="7"/>
        <v>0</v>
      </c>
      <c r="P71" s="196"/>
      <c r="X71" s="552">
        <v>596</v>
      </c>
      <c r="Y71" s="286">
        <v>596</v>
      </c>
      <c r="AA71" s="386">
        <f t="shared" si="0"/>
        <v>0</v>
      </c>
      <c r="AB71" s="286">
        <f t="shared" si="1"/>
        <v>0</v>
      </c>
    </row>
    <row r="72" spans="1:28" ht="82.2" customHeight="1" x14ac:dyDescent="0.3">
      <c r="A72" s="212">
        <f>'Unit Data from Audit Worksheet'!A86</f>
        <v>80</v>
      </c>
      <c r="B72" s="225" t="str">
        <f>'Unit Data from Audit Worksheet'!C86</f>
        <v>Water Sewer Net Position Statement</v>
      </c>
      <c r="C72" s="211" t="str">
        <f>'Unit Data from Audit Worksheet'!D86</f>
        <v>Unrestricted Cash and investments 
Exclude restricted cash and/or restricted investments.</v>
      </c>
      <c r="D72" s="134"/>
      <c r="E72" s="231">
        <f>'Unit Data from Audit Worksheet'!F86</f>
        <v>0</v>
      </c>
      <c r="F72" s="224">
        <f>IF(L72&lt;0,"Error: Number is normally positive.",)</f>
        <v>0</v>
      </c>
      <c r="G72" s="224" t="e">
        <f>'Unit Data from Audit Worksheet'!G86</f>
        <v>#N/A</v>
      </c>
      <c r="H72" s="223"/>
      <c r="I72" s="32"/>
      <c r="J72" s="222">
        <v>80</v>
      </c>
      <c r="K72" s="221" t="s">
        <v>209</v>
      </c>
      <c r="L72" s="289">
        <f t="shared" si="7"/>
        <v>0</v>
      </c>
      <c r="P72" s="196"/>
      <c r="X72" s="552">
        <v>80</v>
      </c>
      <c r="Y72" s="286">
        <v>80</v>
      </c>
      <c r="AA72" s="386">
        <f t="shared" ref="AA72:AA137" si="9">A72-J72</f>
        <v>0</v>
      </c>
      <c r="AB72" s="286">
        <f t="shared" ref="AB72:AB137" si="10">E72-L72</f>
        <v>0</v>
      </c>
    </row>
    <row r="73" spans="1:28" ht="43.2" x14ac:dyDescent="0.3">
      <c r="A73" s="212">
        <f>'Unit Data from Audit Worksheet'!A87</f>
        <v>81</v>
      </c>
      <c r="B73" s="225" t="str">
        <f>'Unit Data from Audit Worksheet'!C87</f>
        <v>Water Sewer Net Position Statement</v>
      </c>
      <c r="C73" s="211" t="str">
        <f>'Unit Data from Audit Worksheet'!D87</f>
        <v>Customer accounts receivable (net of allowance accounts). 
Include both billed and unbilled amounts.</v>
      </c>
      <c r="D73" s="134"/>
      <c r="E73" s="231">
        <f>'Unit Data from Audit Worksheet'!F87</f>
        <v>0</v>
      </c>
      <c r="F73" s="224">
        <f>IF(L73&lt;0,"Error: Number is normally positive.",)</f>
        <v>0</v>
      </c>
      <c r="G73" s="226"/>
      <c r="H73" s="223"/>
      <c r="I73" s="32"/>
      <c r="J73" s="222">
        <v>81</v>
      </c>
      <c r="K73" s="221" t="s">
        <v>210</v>
      </c>
      <c r="L73" s="289">
        <f t="shared" si="7"/>
        <v>0</v>
      </c>
      <c r="P73" s="196"/>
      <c r="X73" s="552">
        <v>81</v>
      </c>
      <c r="Y73" s="286">
        <v>81</v>
      </c>
      <c r="AA73" s="386">
        <f t="shared" si="9"/>
        <v>0</v>
      </c>
      <c r="AB73" s="286">
        <f t="shared" si="10"/>
        <v>0</v>
      </c>
    </row>
    <row r="74" spans="1:28" ht="68.25" customHeight="1" x14ac:dyDescent="0.3">
      <c r="A74" s="212">
        <f>'Unit Data from Audit Worksheet'!A88</f>
        <v>579</v>
      </c>
      <c r="B74" s="225" t="str">
        <f>'Unit Data from Audit Worksheet'!C88</f>
        <v>Water Sewer Net Position Statement</v>
      </c>
      <c r="C74" s="211" t="str">
        <f>'Unit Data from Audit Worksheet'!D88</f>
        <v>Water Sewer - Advance To:
Interfund loan receivable-portion of repayment plan longer than 12 months</v>
      </c>
      <c r="D74" s="134"/>
      <c r="E74" s="231">
        <f>'Unit Data from Audit Worksheet'!F88</f>
        <v>0</v>
      </c>
      <c r="F74" s="224"/>
      <c r="G74" s="226"/>
      <c r="H74" s="223"/>
      <c r="I74" s="32"/>
      <c r="J74" s="222">
        <v>579</v>
      </c>
      <c r="K74" s="221" t="s">
        <v>316</v>
      </c>
      <c r="L74" s="289">
        <f t="shared" si="7"/>
        <v>0</v>
      </c>
      <c r="N74" s="311"/>
      <c r="P74" s="196"/>
      <c r="X74" s="552">
        <v>579</v>
      </c>
      <c r="Y74" s="286">
        <v>579</v>
      </c>
      <c r="AA74" s="386">
        <f t="shared" si="9"/>
        <v>0</v>
      </c>
      <c r="AB74" s="286">
        <f t="shared" si="10"/>
        <v>0</v>
      </c>
    </row>
    <row r="75" spans="1:28" ht="47.25" customHeight="1" x14ac:dyDescent="0.3">
      <c r="A75" s="212">
        <f>'Unit Data from Audit Worksheet'!A89</f>
        <v>510</v>
      </c>
      <c r="B75" s="225" t="str">
        <f>'Unit Data from Audit Worksheet'!C89</f>
        <v>Water Sewer Net Position Statement</v>
      </c>
      <c r="C75" s="211" t="str">
        <f>'Unit Data from Audit Worksheet'!D89</f>
        <v>Amount of Inventories and Prepaid expenses in current assets</v>
      </c>
      <c r="D75" s="134"/>
      <c r="E75" s="231">
        <f>'Unit Data from Audit Worksheet'!F89</f>
        <v>0</v>
      </c>
      <c r="F75" s="224"/>
      <c r="G75" s="226"/>
      <c r="H75" s="223"/>
      <c r="I75" s="32"/>
      <c r="J75" s="222">
        <v>510</v>
      </c>
      <c r="K75" s="221" t="s">
        <v>211</v>
      </c>
      <c r="L75" s="289">
        <f t="shared" si="7"/>
        <v>0</v>
      </c>
      <c r="P75" s="196"/>
      <c r="X75" s="552">
        <v>510</v>
      </c>
      <c r="Y75" s="286">
        <v>510</v>
      </c>
      <c r="AA75" s="386">
        <f t="shared" si="9"/>
        <v>0</v>
      </c>
      <c r="AB75" s="286">
        <f t="shared" si="10"/>
        <v>0</v>
      </c>
    </row>
    <row r="76" spans="1:28" ht="43.2" x14ac:dyDescent="0.3">
      <c r="A76" s="212">
        <f>'Unit Data from Audit Worksheet'!A90</f>
        <v>654</v>
      </c>
      <c r="B76" s="225" t="str">
        <f>'Unit Data from Audit Worksheet'!C90</f>
        <v>Water Sewer Net Position Statement</v>
      </c>
      <c r="C76" s="211" t="str">
        <f>'Unit Data from Audit Worksheet'!D90</f>
        <v xml:space="preserve">Total Current assets as listed on the WS Net Position Statement.  
</v>
      </c>
      <c r="D76" s="134"/>
      <c r="E76" s="231">
        <f>'Unit Data from Audit Worksheet'!F90</f>
        <v>0</v>
      </c>
      <c r="F76" s="224">
        <f>IF((+L72+L73+L75)&gt;L76,"Please review components of current assets above Acct. (80+81+510&gt;654",)</f>
        <v>0</v>
      </c>
      <c r="G76" s="226"/>
      <c r="H76" s="223"/>
      <c r="I76" s="32"/>
      <c r="J76" s="222">
        <v>654</v>
      </c>
      <c r="K76" s="228" t="s">
        <v>416</v>
      </c>
      <c r="L76" s="289">
        <f t="shared" si="7"/>
        <v>0</v>
      </c>
      <c r="P76" s="196"/>
      <c r="X76" s="552">
        <v>654</v>
      </c>
      <c r="Y76" s="286">
        <v>654</v>
      </c>
      <c r="AA76" s="386">
        <f t="shared" si="9"/>
        <v>0</v>
      </c>
      <c r="AB76" s="286">
        <f t="shared" si="10"/>
        <v>0</v>
      </c>
    </row>
    <row r="77" spans="1:28" ht="43.2" x14ac:dyDescent="0.3">
      <c r="A77" s="212">
        <f>'Unit Data from Audit Worksheet'!A91</f>
        <v>655</v>
      </c>
      <c r="B77" s="225" t="str">
        <f>'Unit Data from Audit Worksheet'!C91</f>
        <v>Water Sewer Net Position Statement</v>
      </c>
      <c r="C77" s="211" t="str">
        <f>'Unit Data from Audit Worksheet'!D91</f>
        <v>WS-Any current assets that are restricted (Cash, Accounts Rec., etc..) and included in account 654 above</v>
      </c>
      <c r="D77" s="134"/>
      <c r="E77" s="231">
        <f>'Unit Data from Audit Worksheet'!F91</f>
        <v>0</v>
      </c>
      <c r="F77" s="224"/>
      <c r="G77" s="226"/>
      <c r="H77" s="223"/>
      <c r="I77" s="32"/>
      <c r="J77" s="222">
        <v>655</v>
      </c>
      <c r="K77" s="228" t="s">
        <v>448</v>
      </c>
      <c r="L77" s="289">
        <f t="shared" si="7"/>
        <v>0</v>
      </c>
      <c r="P77" s="196"/>
      <c r="X77" s="552">
        <v>655</v>
      </c>
      <c r="Y77" s="286">
        <v>655</v>
      </c>
      <c r="AA77" s="386">
        <f t="shared" si="9"/>
        <v>0</v>
      </c>
      <c r="AB77" s="286">
        <f t="shared" si="10"/>
        <v>0</v>
      </c>
    </row>
    <row r="78" spans="1:28" ht="42.75" customHeight="1" x14ac:dyDescent="0.3">
      <c r="A78" s="212">
        <f>'Unit Data from Audit Worksheet'!A92</f>
        <v>381</v>
      </c>
      <c r="B78" s="225" t="str">
        <f>'Unit Data from Audit Worksheet'!C92</f>
        <v>Water Sewer Net Position Statement</v>
      </c>
      <c r="C78" s="211" t="str">
        <f>'Unit Data from Audit Worksheet'!D92</f>
        <v>Total Assets and deferred outflows</v>
      </c>
      <c r="D78" s="134"/>
      <c r="E78" s="231">
        <f>'Unit Data from Audit Worksheet'!F92</f>
        <v>0</v>
      </c>
      <c r="F78" s="224" t="str">
        <f>IF(L78&lt;L76,"Please review components of current assets above acct. 381&lt;654"," ")</f>
        <v xml:space="preserve"> </v>
      </c>
      <c r="G78" s="226"/>
      <c r="H78" s="223"/>
      <c r="I78" s="32"/>
      <c r="J78" s="222">
        <v>381</v>
      </c>
      <c r="K78" s="221" t="s">
        <v>105</v>
      </c>
      <c r="L78" s="289">
        <f t="shared" si="7"/>
        <v>0</v>
      </c>
      <c r="P78" s="196"/>
      <c r="X78" s="552">
        <v>381</v>
      </c>
      <c r="Y78" s="286">
        <v>381</v>
      </c>
      <c r="AA78" s="386">
        <f t="shared" si="9"/>
        <v>0</v>
      </c>
      <c r="AB78" s="286">
        <f t="shared" si="10"/>
        <v>0</v>
      </c>
    </row>
    <row r="79" spans="1:28" ht="60.75" customHeight="1" x14ac:dyDescent="0.3">
      <c r="A79" s="300">
        <f>'Unit Data from Audit Worksheet'!A93</f>
        <v>578</v>
      </c>
      <c r="B79" s="109" t="str">
        <f>'Unit Data from Audit Worksheet'!C93</f>
        <v>Water Sewer Net Position Statement</v>
      </c>
      <c r="C79" s="291" t="str">
        <f>'Unit Data from Audit Worksheet'!D93</f>
        <v>Water Sewer - Advance From: 
Interfund loan Payable-portion of repayment plan longer than 12 months</v>
      </c>
      <c r="D79" s="102"/>
      <c r="E79" s="145">
        <f>'Unit Data from Audit Worksheet'!F93</f>
        <v>0</v>
      </c>
      <c r="F79" s="103"/>
      <c r="G79" s="104"/>
      <c r="H79" s="105"/>
      <c r="I79" s="32"/>
      <c r="J79" s="97">
        <v>578</v>
      </c>
      <c r="K79" s="38" t="s">
        <v>317</v>
      </c>
      <c r="L79" s="289">
        <f t="shared" si="7"/>
        <v>0</v>
      </c>
      <c r="P79" s="196"/>
      <c r="X79" s="552">
        <v>578</v>
      </c>
      <c r="Y79" s="286">
        <v>578</v>
      </c>
      <c r="AA79" s="386">
        <f t="shared" si="9"/>
        <v>0</v>
      </c>
      <c r="AB79" s="286">
        <f t="shared" si="10"/>
        <v>0</v>
      </c>
    </row>
    <row r="80" spans="1:28" s="18" customFormat="1" ht="169.95" customHeight="1" x14ac:dyDescent="0.3">
      <c r="A80" s="190">
        <v>633</v>
      </c>
      <c r="B80" s="235" t="str">
        <f>'Unit Data from Audit Worksheet'!C94</f>
        <v>Water Sewer Net Position Statement</v>
      </c>
      <c r="C80" s="190" t="str">
        <f>'Unit Data from Audit Worksheet'!D94</f>
        <v>Current liabilities (as reported on the Statement of Fund Net Position)
Include:   Current liabilities including current portion of long-term debt.  Deferred inflows should not be included in Current Liabilities  
Enter as positive</v>
      </c>
      <c r="D80" s="102"/>
      <c r="E80" s="670">
        <f>'Unit Data from Audit Worksheet'!F94</f>
        <v>0</v>
      </c>
      <c r="F80"/>
      <c r="G80"/>
      <c r="H80"/>
      <c r="I80" s="667"/>
      <c r="J80" s="218">
        <v>633</v>
      </c>
      <c r="K80" s="193" t="s">
        <v>373</v>
      </c>
      <c r="L80" s="302">
        <f>IF(D80="",E80,D80)</f>
        <v>0</v>
      </c>
      <c r="M80"/>
      <c r="N80" s="292"/>
      <c r="O80" s="292"/>
      <c r="P80" s="196"/>
      <c r="Q80" s="279"/>
      <c r="R80" s="3"/>
      <c r="X80" s="552">
        <v>633</v>
      </c>
      <c r="Y80" s="286">
        <v>633</v>
      </c>
      <c r="AA80" s="386">
        <f t="shared" si="9"/>
        <v>0</v>
      </c>
      <c r="AB80" s="286">
        <f t="shared" si="10"/>
        <v>0</v>
      </c>
    </row>
    <row r="81" spans="1:28" s="18" customFormat="1" ht="130.5" customHeight="1" x14ac:dyDescent="0.3">
      <c r="A81" s="190">
        <v>634</v>
      </c>
      <c r="B81" s="235" t="str">
        <f>'Unit Data from Audit Worksheet'!C95</f>
        <v>Water Sewer Net Position Statement</v>
      </c>
      <c r="C81" s="190" t="str">
        <f>'Unit Data from Audit Worksheet'!D95</f>
        <v>Please enter any bond anticipation notes that are classified as current liabilities and included in account 633 above (amounts entered should agree to the current amount included in the changes to long-term debt note)
Enter as positive</v>
      </c>
      <c r="D81" s="102"/>
      <c r="E81" s="234">
        <f>'Unit Data from Audit Worksheet'!F95</f>
        <v>0</v>
      </c>
      <c r="F81" s="669"/>
      <c r="G81" s="668"/>
      <c r="H81" s="669"/>
      <c r="I81" s="301"/>
      <c r="J81" s="218">
        <v>634</v>
      </c>
      <c r="K81" s="193" t="s">
        <v>374</v>
      </c>
      <c r="L81" s="302">
        <f>IF(D81="",E81,D81)</f>
        <v>0</v>
      </c>
      <c r="M81"/>
      <c r="N81" s="292"/>
      <c r="O81" s="292"/>
      <c r="P81" s="196"/>
      <c r="Q81" s="279"/>
      <c r="R81" s="3"/>
      <c r="X81" s="552">
        <v>634</v>
      </c>
      <c r="Y81" s="286">
        <v>634</v>
      </c>
      <c r="AA81" s="386">
        <f t="shared" si="9"/>
        <v>0</v>
      </c>
      <c r="AB81" s="286">
        <f t="shared" si="10"/>
        <v>0</v>
      </c>
    </row>
    <row r="82" spans="1:28" s="18" customFormat="1" ht="105.75" customHeight="1" x14ac:dyDescent="0.3">
      <c r="A82" s="190">
        <v>635</v>
      </c>
      <c r="B82" s="235" t="str">
        <f>'Unit Data from Audit Worksheet'!C96</f>
        <v>Water Sewer Net Position Statement</v>
      </c>
      <c r="C82" s="190" t="str">
        <f>'Unit Data from Audit Worksheet'!D96</f>
        <v>Please enter any compensated absences that are classified as current liabilities and included in account 633 above (amounts entered should agree to the current amount included in the changes to long-term debt note)
Enter as positive</v>
      </c>
      <c r="D82" s="102"/>
      <c r="E82" s="234">
        <f>'Unit Data from Audit Worksheet'!F96</f>
        <v>0</v>
      </c>
      <c r="F82" s="219"/>
      <c r="G82" s="207"/>
      <c r="H82" s="219"/>
      <c r="I82" s="301"/>
      <c r="J82" s="218">
        <v>635</v>
      </c>
      <c r="K82" s="193" t="s">
        <v>375</v>
      </c>
      <c r="L82" s="302">
        <f>IF(D82="",E82,D82)</f>
        <v>0</v>
      </c>
      <c r="M82"/>
      <c r="N82" s="292"/>
      <c r="O82" s="292"/>
      <c r="P82" s="196"/>
      <c r="Q82" s="279"/>
      <c r="R82" s="3"/>
      <c r="X82" s="552">
        <v>635</v>
      </c>
      <c r="Y82" s="286">
        <v>635</v>
      </c>
      <c r="AA82" s="386">
        <f t="shared" si="9"/>
        <v>0</v>
      </c>
      <c r="AB82" s="286">
        <f t="shared" si="10"/>
        <v>0</v>
      </c>
    </row>
    <row r="83" spans="1:28" s="18" customFormat="1" ht="105.75" customHeight="1" x14ac:dyDescent="0.3">
      <c r="A83" s="190">
        <v>636</v>
      </c>
      <c r="B83" s="235" t="str">
        <f>'Unit Data from Audit Worksheet'!C97</f>
        <v>Water Sewer Net Position Statement</v>
      </c>
      <c r="C83" s="190" t="str">
        <f>'Unit Data from Audit Worksheet'!D97</f>
        <v>Please enter any pension liabilities that are classified as current liabilities and included in account 633 above (amounts entered should agree to the current amount included in the changes to long-term debt note)
Enter as positive</v>
      </c>
      <c r="D83" s="102"/>
      <c r="E83" s="234">
        <f>'Unit Data from Audit Worksheet'!F97</f>
        <v>0</v>
      </c>
      <c r="F83" s="219"/>
      <c r="G83" s="207"/>
      <c r="H83" s="219"/>
      <c r="I83" s="301"/>
      <c r="J83" s="218">
        <v>636</v>
      </c>
      <c r="K83" s="193" t="s">
        <v>370</v>
      </c>
      <c r="L83" s="302">
        <f t="shared" ref="L83:L93" si="11">IF(D83="",E83,D83)</f>
        <v>0</v>
      </c>
      <c r="M83"/>
      <c r="N83" s="292"/>
      <c r="O83" s="292"/>
      <c r="P83" s="196"/>
      <c r="Q83" s="279"/>
      <c r="R83" s="3"/>
      <c r="X83" s="552">
        <v>636</v>
      </c>
      <c r="Y83" s="286">
        <v>636</v>
      </c>
      <c r="AA83" s="386">
        <f t="shared" si="9"/>
        <v>0</v>
      </c>
      <c r="AB83" s="286">
        <f t="shared" si="10"/>
        <v>0</v>
      </c>
    </row>
    <row r="84" spans="1:28" s="18" customFormat="1" ht="79.8" customHeight="1" x14ac:dyDescent="0.3">
      <c r="A84" s="190">
        <v>637</v>
      </c>
      <c r="B84" s="235" t="str">
        <f>'Unit Data from Audit Worksheet'!C98</f>
        <v>Water Sewer Net Position Statement</v>
      </c>
      <c r="C84" s="190" t="str">
        <f>'Unit Data from Audit Worksheet'!D98</f>
        <v>Please enter any current liabilities that are payable from restricted assets and included in account 633 above.
Enter as positive</v>
      </c>
      <c r="D84" s="102"/>
      <c r="E84" s="234">
        <f>'Unit Data from Audit Worksheet'!F98</f>
        <v>0</v>
      </c>
      <c r="F84" s="219"/>
      <c r="G84" s="207"/>
      <c r="H84" s="219"/>
      <c r="I84" s="301"/>
      <c r="J84" s="218">
        <v>637</v>
      </c>
      <c r="K84" s="193" t="s">
        <v>371</v>
      </c>
      <c r="L84" s="302">
        <f t="shared" si="11"/>
        <v>0</v>
      </c>
      <c r="M84"/>
      <c r="N84" s="292"/>
      <c r="O84" s="292"/>
      <c r="P84" s="199"/>
      <c r="Q84" s="279"/>
      <c r="R84" s="3"/>
      <c r="X84" s="552">
        <v>637</v>
      </c>
      <c r="Y84" s="286">
        <v>637</v>
      </c>
      <c r="AA84" s="386">
        <f t="shared" si="9"/>
        <v>0</v>
      </c>
      <c r="AB84" s="286">
        <f t="shared" si="10"/>
        <v>0</v>
      </c>
    </row>
    <row r="85" spans="1:28" s="18" customFormat="1" ht="115.95" customHeight="1" x14ac:dyDescent="0.3">
      <c r="A85" s="190">
        <v>638</v>
      </c>
      <c r="B85" s="235" t="str">
        <f>'Unit Data from Audit Worksheet'!C99</f>
        <v>Water Sewer Net Position Statement</v>
      </c>
      <c r="C85" s="190" t="str">
        <f>'Unit Data from Audit Worksheet'!D99</f>
        <v>Please enter any OPEB liabilities that are classified as current liabilities and included in account 633 above (amounts entered should agree to the current amount included in the changes to long-term debt note)
Enter as positive</v>
      </c>
      <c r="D85" s="102"/>
      <c r="E85" s="234">
        <f>'Unit Data from Audit Worksheet'!F99</f>
        <v>0</v>
      </c>
      <c r="F85" s="219"/>
      <c r="G85" s="207"/>
      <c r="H85" s="219"/>
      <c r="I85" s="301"/>
      <c r="J85" s="218">
        <v>638</v>
      </c>
      <c r="K85" s="193" t="s">
        <v>376</v>
      </c>
      <c r="L85" s="302">
        <f t="shared" si="11"/>
        <v>0</v>
      </c>
      <c r="M85"/>
      <c r="N85" s="292"/>
      <c r="O85" s="292"/>
      <c r="P85" s="196"/>
      <c r="Q85" s="279"/>
      <c r="R85" s="3"/>
      <c r="X85" s="552">
        <v>638</v>
      </c>
      <c r="Y85" s="286">
        <v>638</v>
      </c>
      <c r="AA85" s="386">
        <f t="shared" si="9"/>
        <v>0</v>
      </c>
      <c r="AB85" s="286">
        <f t="shared" si="10"/>
        <v>0</v>
      </c>
    </row>
    <row r="86" spans="1:28" ht="76.5" customHeight="1" x14ac:dyDescent="0.3">
      <c r="A86" s="287">
        <f>'Unit Data from Audit Worksheet'!A100</f>
        <v>383</v>
      </c>
      <c r="B86" s="48" t="str">
        <f>'Unit Data from Audit Worksheet'!C100</f>
        <v>Water Sewer Net Position Statement</v>
      </c>
      <c r="C86" s="288" t="str">
        <f>'Unit Data from Audit Worksheet'!D100</f>
        <v>Unearned revenue (arising from cash receipts) that were included in Current Liabilities in the question in account 633 above.
Enter as positive</v>
      </c>
      <c r="D86" s="134"/>
      <c r="E86" s="142">
        <f>'Unit Data from Audit Worksheet'!F100</f>
        <v>0</v>
      </c>
      <c r="F86" s="41">
        <f>IF(L86&lt;0,"Error: Enter as a positive.",)</f>
        <v>0</v>
      </c>
      <c r="G86" s="65"/>
      <c r="H86" s="223"/>
      <c r="I86" s="32"/>
      <c r="J86" s="36">
        <v>383</v>
      </c>
      <c r="K86" s="45" t="s">
        <v>212</v>
      </c>
      <c r="L86" s="289">
        <f t="shared" si="11"/>
        <v>0</v>
      </c>
      <c r="P86" s="196"/>
      <c r="X86" s="552">
        <v>383</v>
      </c>
      <c r="Y86" s="286">
        <v>383</v>
      </c>
      <c r="AA86" s="386">
        <f t="shared" si="9"/>
        <v>0</v>
      </c>
      <c r="AB86" s="286">
        <f t="shared" si="10"/>
        <v>0</v>
      </c>
    </row>
    <row r="87" spans="1:28" ht="54" customHeight="1" x14ac:dyDescent="0.3">
      <c r="A87" s="212">
        <f>'Unit Data from Audit Worksheet'!A101</f>
        <v>349</v>
      </c>
      <c r="B87" s="225" t="str">
        <f>'Unit Data from Audit Worksheet'!C101</f>
        <v>Water Sewer Net Position Statement</v>
      </c>
      <c r="C87" s="211" t="str">
        <f>'Unit Data from Audit Worksheet'!D101</f>
        <v>Total Liabilities and deferred inflows</v>
      </c>
      <c r="D87" s="134"/>
      <c r="E87" s="231">
        <f>'Unit Data from Audit Worksheet'!F101</f>
        <v>0</v>
      </c>
      <c r="F87" s="224">
        <f>IF(L80&gt;L87,"Error: Please review accts 633&gt;349",)</f>
        <v>0</v>
      </c>
      <c r="G87" s="226"/>
      <c r="H87" s="223"/>
      <c r="I87" s="32"/>
      <c r="J87" s="222">
        <v>349</v>
      </c>
      <c r="K87" s="221" t="s">
        <v>114</v>
      </c>
      <c r="L87" s="289">
        <f t="shared" si="11"/>
        <v>0</v>
      </c>
      <c r="P87" s="196"/>
      <c r="X87" s="552">
        <v>349</v>
      </c>
      <c r="Y87" s="286">
        <v>349</v>
      </c>
      <c r="AA87" s="386">
        <f t="shared" si="9"/>
        <v>0</v>
      </c>
      <c r="AB87" s="286">
        <f t="shared" si="10"/>
        <v>0</v>
      </c>
    </row>
    <row r="88" spans="1:28" ht="56.25" customHeight="1" x14ac:dyDescent="0.3">
      <c r="A88" s="212">
        <f>'Unit Data from Audit Worksheet'!A102</f>
        <v>375</v>
      </c>
      <c r="B88" s="225" t="str">
        <f>'Unit Data from Audit Worksheet'!C102</f>
        <v>Water Sewer Net Position Statement</v>
      </c>
      <c r="C88" s="211" t="str">
        <f>'Unit Data from Audit Worksheet'!D102</f>
        <v>Total Net position, Unrestricted - enter negative unrestricted net position as a negative</v>
      </c>
      <c r="D88" s="134"/>
      <c r="E88" s="231">
        <f>'Unit Data from Audit Worksheet'!F102</f>
        <v>0</v>
      </c>
      <c r="F88" s="224"/>
      <c r="G88" s="226"/>
      <c r="H88" s="223"/>
      <c r="I88" s="32"/>
      <c r="J88" s="222">
        <v>375</v>
      </c>
      <c r="K88" s="221" t="s">
        <v>213</v>
      </c>
      <c r="L88" s="289">
        <f t="shared" si="11"/>
        <v>0</v>
      </c>
      <c r="P88" s="196"/>
      <c r="X88" s="552">
        <v>375</v>
      </c>
      <c r="Y88" s="286">
        <v>375</v>
      </c>
      <c r="AA88" s="386">
        <f t="shared" si="9"/>
        <v>0</v>
      </c>
      <c r="AB88" s="286">
        <f t="shared" si="10"/>
        <v>0</v>
      </c>
    </row>
    <row r="89" spans="1:28" ht="56.25" customHeight="1" x14ac:dyDescent="0.3">
      <c r="A89" s="212">
        <f>'Unit Data from Audit Worksheet'!A103</f>
        <v>83</v>
      </c>
      <c r="B89" s="225" t="str">
        <f>'Unit Data from Audit Worksheet'!C103</f>
        <v>Water Sewer Net Position Statement</v>
      </c>
      <c r="C89" s="211" t="str">
        <f>'Unit Data from Audit Worksheet'!D103</f>
        <v>Total Net position</v>
      </c>
      <c r="D89" s="134"/>
      <c r="E89" s="231">
        <f>'Unit Data from Audit Worksheet'!F103</f>
        <v>0</v>
      </c>
      <c r="F89" s="224">
        <f>IF(+L78-L87-L89=0,,"Error: Total assets less total liabilities do not equal net position acct 381-349-83=0")</f>
        <v>0</v>
      </c>
      <c r="G89" s="84">
        <f>L78-L87-L89</f>
        <v>0</v>
      </c>
      <c r="H89" s="223"/>
      <c r="I89" s="32"/>
      <c r="J89" s="222">
        <v>83</v>
      </c>
      <c r="K89" s="221" t="s">
        <v>94</v>
      </c>
      <c r="L89" s="289">
        <f t="shared" si="11"/>
        <v>0</v>
      </c>
      <c r="O89" s="296" t="e">
        <f>'Unit Data from Audit Worksheet'!E103</f>
        <v>#N/A</v>
      </c>
      <c r="P89" s="196"/>
      <c r="Q89" s="227"/>
      <c r="X89" s="552">
        <v>83</v>
      </c>
      <c r="Y89" s="286">
        <v>83</v>
      </c>
      <c r="AA89" s="386">
        <f t="shared" si="9"/>
        <v>0</v>
      </c>
      <c r="AB89" s="286">
        <f t="shared" si="10"/>
        <v>0</v>
      </c>
    </row>
    <row r="90" spans="1:28" ht="56.25" customHeight="1" x14ac:dyDescent="0.3">
      <c r="A90" s="212">
        <f>'Unit Data from Audit Worksheet'!A105</f>
        <v>90</v>
      </c>
      <c r="B90" s="225" t="str">
        <f>'Unit Data from Audit Worksheet'!C105</f>
        <v>Electric Fund Net Position Statement</v>
      </c>
      <c r="C90" s="211" t="str">
        <f>'Unit Data from Audit Worksheet'!D105</f>
        <v>All Unrestricted Cash and Investments.  
Exclude any restricted cash and investments.</v>
      </c>
      <c r="D90" s="134"/>
      <c r="E90" s="231">
        <f>'Unit Data from Audit Worksheet'!F105</f>
        <v>0</v>
      </c>
      <c r="F90" s="224">
        <f>IF(L90&lt;0,"Error: Number is normally positive.",)</f>
        <v>0</v>
      </c>
      <c r="G90" s="226"/>
      <c r="H90" s="223"/>
      <c r="I90" s="32"/>
      <c r="J90" s="222">
        <v>90</v>
      </c>
      <c r="K90" s="221" t="s">
        <v>214</v>
      </c>
      <c r="L90" s="289">
        <f t="shared" si="11"/>
        <v>0</v>
      </c>
      <c r="P90" s="196"/>
      <c r="X90" s="552">
        <v>90</v>
      </c>
      <c r="Y90" s="286">
        <v>90</v>
      </c>
      <c r="AA90" s="386">
        <f t="shared" si="9"/>
        <v>0</v>
      </c>
      <c r="AB90" s="286">
        <f t="shared" si="10"/>
        <v>0</v>
      </c>
    </row>
    <row r="91" spans="1:28" ht="56.25" customHeight="1" x14ac:dyDescent="0.3">
      <c r="A91" s="212">
        <f>'Unit Data from Audit Worksheet'!A106</f>
        <v>91</v>
      </c>
      <c r="B91" s="225" t="str">
        <f>'Unit Data from Audit Worksheet'!C106</f>
        <v>Electric Fund Net Position Statement</v>
      </c>
      <c r="C91" s="211" t="str">
        <f>'Unit Data from Audit Worksheet'!D106</f>
        <v xml:space="preserve">Customer accounts receivable (net of allowance accounts)
Include billed and unbilled amounts </v>
      </c>
      <c r="D91" s="134"/>
      <c r="E91" s="231">
        <f>'Unit Data from Audit Worksheet'!F106</f>
        <v>0</v>
      </c>
      <c r="F91" s="224">
        <f>IF(L91&lt;0,"Error: Number is normally positive.",)</f>
        <v>0</v>
      </c>
      <c r="G91" s="226"/>
      <c r="H91" s="223"/>
      <c r="I91" s="32"/>
      <c r="J91" s="222">
        <v>91</v>
      </c>
      <c r="K91" s="221" t="s">
        <v>215</v>
      </c>
      <c r="L91" s="289">
        <f t="shared" si="11"/>
        <v>0</v>
      </c>
      <c r="P91" s="196"/>
      <c r="X91" s="552">
        <v>91</v>
      </c>
      <c r="Y91" s="286">
        <v>91</v>
      </c>
      <c r="AA91" s="386">
        <f t="shared" si="9"/>
        <v>0</v>
      </c>
      <c r="AB91" s="286">
        <f t="shared" si="10"/>
        <v>0</v>
      </c>
    </row>
    <row r="92" spans="1:28" ht="56.25" customHeight="1" x14ac:dyDescent="0.3">
      <c r="A92" s="212">
        <f>'Unit Data from Audit Worksheet'!A107</f>
        <v>581</v>
      </c>
      <c r="B92" s="225" t="str">
        <f>'Unit Data from Audit Worksheet'!C107</f>
        <v>Electric Fund Net Position Statement</v>
      </c>
      <c r="C92" s="211" t="str">
        <f>'Unit Data from Audit Worksheet'!D107</f>
        <v>Electric Fund - Advance To:
Interfund loan receivable-portion of repayment plan longer than 12 months</v>
      </c>
      <c r="D92" s="134"/>
      <c r="E92" s="231">
        <f>'Unit Data from Audit Worksheet'!F107</f>
        <v>0</v>
      </c>
      <c r="F92" s="224"/>
      <c r="G92" s="226"/>
      <c r="H92" s="223"/>
      <c r="I92" s="32"/>
      <c r="J92" s="222">
        <v>581</v>
      </c>
      <c r="K92" s="221" t="s">
        <v>318</v>
      </c>
      <c r="L92" s="289">
        <f t="shared" si="11"/>
        <v>0</v>
      </c>
      <c r="P92" s="196"/>
      <c r="X92" s="552">
        <v>581</v>
      </c>
      <c r="Y92" s="286">
        <v>581</v>
      </c>
      <c r="AA92" s="386">
        <f t="shared" si="9"/>
        <v>0</v>
      </c>
      <c r="AB92" s="286">
        <f t="shared" si="10"/>
        <v>0</v>
      </c>
    </row>
    <row r="93" spans="1:28" ht="56.25" customHeight="1" x14ac:dyDescent="0.3">
      <c r="A93" s="212">
        <f>'Unit Data from Audit Worksheet'!A108</f>
        <v>511</v>
      </c>
      <c r="B93" s="225" t="str">
        <f>'Unit Data from Audit Worksheet'!C108</f>
        <v>Electric Fund Net Position Statement</v>
      </c>
      <c r="C93" s="211" t="str">
        <f>'Unit Data from Audit Worksheet'!D108</f>
        <v>Amount of inventories and prepaids</v>
      </c>
      <c r="D93" s="134"/>
      <c r="E93" s="231">
        <f>'Unit Data from Audit Worksheet'!F108</f>
        <v>0</v>
      </c>
      <c r="F93" s="224">
        <f t="shared" ref="F93:F98" si="12">IF(L93&lt;0,"Error: Number is normally positive.",)</f>
        <v>0</v>
      </c>
      <c r="G93" s="226"/>
      <c r="H93" s="223"/>
      <c r="I93" s="32"/>
      <c r="J93" s="222">
        <v>511</v>
      </c>
      <c r="K93" s="221" t="s">
        <v>216</v>
      </c>
      <c r="L93" s="289">
        <f t="shared" si="11"/>
        <v>0</v>
      </c>
      <c r="P93" s="196"/>
      <c r="X93" s="552">
        <v>511</v>
      </c>
      <c r="Y93" s="286">
        <v>511</v>
      </c>
      <c r="AA93" s="386">
        <f t="shared" si="9"/>
        <v>0</v>
      </c>
      <c r="AB93" s="286">
        <f t="shared" si="10"/>
        <v>0</v>
      </c>
    </row>
    <row r="94" spans="1:28" ht="62.25" customHeight="1" x14ac:dyDescent="0.3">
      <c r="A94" s="212">
        <f>'Unit Data from Audit Worksheet'!A109</f>
        <v>657</v>
      </c>
      <c r="B94" s="225" t="str">
        <f>'Unit Data from Audit Worksheet'!C109</f>
        <v>Electric Fund Net Position Statement</v>
      </c>
      <c r="C94" s="211" t="str">
        <f>'Unit Data from Audit Worksheet'!D109</f>
        <v xml:space="preserve">Total Current assets as listed on the Electric Net Position Statement.  
</v>
      </c>
      <c r="D94" s="134"/>
      <c r="E94" s="231">
        <f>'Unit Data from Audit Worksheet'!F109</f>
        <v>0</v>
      </c>
      <c r="F94" s="224">
        <f t="shared" si="12"/>
        <v>0</v>
      </c>
      <c r="G94" s="226"/>
      <c r="H94" s="223"/>
      <c r="I94" s="32"/>
      <c r="J94" s="222">
        <v>657</v>
      </c>
      <c r="K94" s="221" t="s">
        <v>420</v>
      </c>
      <c r="L94" s="302">
        <f>IF(D94="",E94,D94)</f>
        <v>0</v>
      </c>
      <c r="P94" s="196"/>
      <c r="X94" s="552">
        <v>657</v>
      </c>
      <c r="Y94" s="286">
        <v>657</v>
      </c>
      <c r="AA94" s="386">
        <f t="shared" si="9"/>
        <v>0</v>
      </c>
      <c r="AB94" s="286">
        <f t="shared" si="10"/>
        <v>0</v>
      </c>
    </row>
    <row r="95" spans="1:28" ht="62.25" customHeight="1" x14ac:dyDescent="0.3">
      <c r="A95" s="212">
        <f>'Unit Data from Audit Worksheet'!A110</f>
        <v>658</v>
      </c>
      <c r="B95" s="225" t="str">
        <f>'Unit Data from Audit Worksheet'!C110</f>
        <v>Electric Fund Net Position Statement</v>
      </c>
      <c r="C95" s="211" t="str">
        <f>'Unit Data from Audit Worksheet'!D110</f>
        <v>Electric-Any current assets that are restricted (Cash, Accounts Rec., etc..) and included in account 657 above</v>
      </c>
      <c r="D95" s="134"/>
      <c r="E95" s="231">
        <f>'Unit Data from Audit Worksheet'!F110</f>
        <v>0</v>
      </c>
      <c r="F95" s="224">
        <f t="shared" si="12"/>
        <v>0</v>
      </c>
      <c r="G95" s="226"/>
      <c r="H95" s="223"/>
      <c r="I95" s="32"/>
      <c r="J95" s="222">
        <v>658</v>
      </c>
      <c r="K95" s="221" t="s">
        <v>447</v>
      </c>
      <c r="L95" s="302">
        <f>IF(D95="",E95,D95)</f>
        <v>0</v>
      </c>
      <c r="P95" s="196"/>
      <c r="X95" s="552">
        <v>658</v>
      </c>
      <c r="Y95" s="286">
        <v>658</v>
      </c>
      <c r="AA95" s="386">
        <f t="shared" si="9"/>
        <v>0</v>
      </c>
      <c r="AB95" s="286">
        <f t="shared" si="10"/>
        <v>0</v>
      </c>
    </row>
    <row r="96" spans="1:28" ht="39.75" customHeight="1" x14ac:dyDescent="0.3">
      <c r="A96" s="212">
        <f>'Unit Data from Audit Worksheet'!A111</f>
        <v>382</v>
      </c>
      <c r="B96" s="225" t="str">
        <f>'Unit Data from Audit Worksheet'!C111</f>
        <v>Electric Fund Net Position Statement</v>
      </c>
      <c r="C96" s="211" t="str">
        <f>'Unit Data from Audit Worksheet'!D111</f>
        <v>Total Assets and deferred outflows</v>
      </c>
      <c r="D96" s="134"/>
      <c r="E96" s="231">
        <f>'Unit Data from Audit Worksheet'!F111</f>
        <v>0</v>
      </c>
      <c r="F96" s="224">
        <f t="shared" si="12"/>
        <v>0</v>
      </c>
      <c r="G96" s="226"/>
      <c r="H96" s="223"/>
      <c r="I96" s="32"/>
      <c r="J96" s="222">
        <v>382</v>
      </c>
      <c r="K96" s="221" t="s">
        <v>106</v>
      </c>
      <c r="L96" s="289">
        <f>IF(D96="",E96,D96)</f>
        <v>0</v>
      </c>
      <c r="P96" s="196"/>
      <c r="X96" s="552">
        <v>382</v>
      </c>
      <c r="Y96" s="286">
        <v>382</v>
      </c>
      <c r="AA96" s="386">
        <f t="shared" si="9"/>
        <v>0</v>
      </c>
      <c r="AB96" s="286">
        <f t="shared" si="10"/>
        <v>0</v>
      </c>
    </row>
    <row r="97" spans="1:28" ht="39.75" customHeight="1" x14ac:dyDescent="0.3">
      <c r="A97" s="212">
        <f>'Unit Data from Audit Worksheet'!A112</f>
        <v>360</v>
      </c>
      <c r="B97" s="225" t="str">
        <f>'Unit Data from Audit Worksheet'!C112</f>
        <v>Electric Fund Net Position Statement</v>
      </c>
      <c r="C97" s="211" t="str">
        <f>'Unit Data from Audit Worksheet'!D112</f>
        <v>Total liabilities and total deferred inflows</v>
      </c>
      <c r="D97" s="134"/>
      <c r="E97" s="231">
        <f>'Unit Data from Audit Worksheet'!F112</f>
        <v>0</v>
      </c>
      <c r="F97" s="224">
        <f t="shared" si="12"/>
        <v>0</v>
      </c>
      <c r="G97" s="226"/>
      <c r="H97" s="223"/>
      <c r="I97" s="32"/>
      <c r="J97" s="222">
        <v>360</v>
      </c>
      <c r="K97" s="101" t="s">
        <v>117</v>
      </c>
      <c r="L97" s="289">
        <f>IF(D97="",E97,D97)</f>
        <v>0</v>
      </c>
      <c r="P97" s="196"/>
      <c r="X97" s="552">
        <v>360</v>
      </c>
      <c r="Y97" s="286">
        <v>360</v>
      </c>
      <c r="AA97" s="386">
        <f t="shared" si="9"/>
        <v>0</v>
      </c>
      <c r="AB97" s="286">
        <f t="shared" si="10"/>
        <v>0</v>
      </c>
    </row>
    <row r="98" spans="1:28" ht="58.5" customHeight="1" x14ac:dyDescent="0.3">
      <c r="A98" s="212">
        <f>'Unit Data from Audit Worksheet'!A113</f>
        <v>580</v>
      </c>
      <c r="B98" s="225" t="str">
        <f>'Unit Data from Audit Worksheet'!C113</f>
        <v>Electric Fund Net Position Statement</v>
      </c>
      <c r="C98" s="211" t="str">
        <f>'Unit Data from Audit Worksheet'!D113</f>
        <v>Electric Fund - Advance From:
Interfund loans payable-portion of repayment plan longer than 12 months</v>
      </c>
      <c r="D98" s="134"/>
      <c r="E98" s="231">
        <f>'Unit Data from Audit Worksheet'!F113</f>
        <v>0</v>
      </c>
      <c r="F98" s="103">
        <f t="shared" si="12"/>
        <v>0</v>
      </c>
      <c r="G98" s="104"/>
      <c r="H98" s="105"/>
      <c r="I98" s="32"/>
      <c r="J98" s="222">
        <v>580</v>
      </c>
      <c r="K98" s="101" t="s">
        <v>319</v>
      </c>
      <c r="L98" s="289">
        <f>IF(D98="",E98,D98)</f>
        <v>0</v>
      </c>
      <c r="N98" s="297"/>
      <c r="P98" s="200"/>
      <c r="X98" s="552">
        <v>580</v>
      </c>
      <c r="Y98" s="286">
        <v>580</v>
      </c>
      <c r="AA98" s="386">
        <f t="shared" si="9"/>
        <v>0</v>
      </c>
      <c r="AB98" s="286">
        <f t="shared" si="10"/>
        <v>0</v>
      </c>
    </row>
    <row r="99" spans="1:28" s="18" customFormat="1" ht="128.4" customHeight="1" x14ac:dyDescent="0.3">
      <c r="A99" s="212">
        <f>'Unit Data from Audit Worksheet'!A114</f>
        <v>639</v>
      </c>
      <c r="B99" s="225" t="str">
        <f>'Unit Data from Audit Worksheet'!C114</f>
        <v>Electric Fund Net Position Statement</v>
      </c>
      <c r="C99" s="211" t="str">
        <f>'Unit Data from Audit Worksheet'!D114</f>
        <v>Current liabilities (as reported on the Statement of Fund Net Position)
Include:   Current liabilities including current portion of long-term debt.  Deferred inflows should not be included in Current Liabilities   
Enter as a positive</v>
      </c>
      <c r="D99" s="134"/>
      <c r="E99" s="671">
        <f>'Unit Data from Audit Worksheet'!F114</f>
        <v>0</v>
      </c>
      <c r="F99"/>
      <c r="G99"/>
      <c r="H99"/>
      <c r="I99" s="32"/>
      <c r="J99" s="222">
        <v>639</v>
      </c>
      <c r="K99" s="221" t="s">
        <v>377</v>
      </c>
      <c r="L99" s="302">
        <f t="shared" ref="L99:L123" si="13">IF(D99="",E99,D99)</f>
        <v>0</v>
      </c>
      <c r="M99"/>
      <c r="P99" s="196"/>
      <c r="Q99" s="279"/>
      <c r="R99" s="3"/>
      <c r="S99" s="3"/>
      <c r="T99" s="3"/>
      <c r="U99" s="3"/>
      <c r="V99" s="3"/>
      <c r="W99" s="3"/>
      <c r="X99" s="552">
        <v>639</v>
      </c>
      <c r="Y99" s="286">
        <v>639</v>
      </c>
      <c r="Z99" s="3"/>
      <c r="AA99" s="386">
        <f t="shared" si="9"/>
        <v>0</v>
      </c>
      <c r="AB99" s="286">
        <f t="shared" si="10"/>
        <v>0</v>
      </c>
    </row>
    <row r="100" spans="1:28" s="18" customFormat="1" ht="132" customHeight="1" x14ac:dyDescent="0.3">
      <c r="A100" s="212">
        <f>'Unit Data from Audit Worksheet'!A115</f>
        <v>640</v>
      </c>
      <c r="B100" s="225" t="str">
        <f>'Unit Data from Audit Worksheet'!C115</f>
        <v>Electric Fund Net Position Statement</v>
      </c>
      <c r="C100" s="211" t="str">
        <f>'Unit Data from Audit Worksheet'!D115</f>
        <v>Please enter any bond anticipation notes that are classified as current liabilities and included in account 639 above (amounts entered should agree to the current amount included in the changes to long-term debt note)
Enter as a positive</v>
      </c>
      <c r="D100" s="134"/>
      <c r="E100" s="231">
        <f>'Unit Data from Audit Worksheet'!F115</f>
        <v>0</v>
      </c>
      <c r="F100" s="41">
        <f t="shared" ref="F100:F105" si="14">IF(L100&lt;0,"Error: Number is normally positive.",)</f>
        <v>0</v>
      </c>
      <c r="G100" s="65"/>
      <c r="H100" s="223"/>
      <c r="I100" s="32"/>
      <c r="J100" s="222">
        <v>640</v>
      </c>
      <c r="K100" s="221" t="s">
        <v>378</v>
      </c>
      <c r="L100" s="302">
        <f t="shared" si="13"/>
        <v>0</v>
      </c>
      <c r="M100"/>
      <c r="P100" s="196"/>
      <c r="Q100" s="279"/>
      <c r="R100" s="3"/>
      <c r="S100" s="3"/>
      <c r="T100" s="3"/>
      <c r="U100" s="3"/>
      <c r="V100" s="3"/>
      <c r="W100" s="3"/>
      <c r="X100" s="552">
        <v>640</v>
      </c>
      <c r="Y100" s="286">
        <v>640</v>
      </c>
      <c r="Z100" s="3"/>
      <c r="AA100" s="386">
        <f t="shared" si="9"/>
        <v>0</v>
      </c>
      <c r="AB100" s="286">
        <f t="shared" si="10"/>
        <v>0</v>
      </c>
    </row>
    <row r="101" spans="1:28" s="18" customFormat="1" ht="128.4" customHeight="1" x14ac:dyDescent="0.3">
      <c r="A101" s="212">
        <f>'Unit Data from Audit Worksheet'!A116</f>
        <v>641</v>
      </c>
      <c r="B101" s="225" t="str">
        <f>'Unit Data from Audit Worksheet'!C116</f>
        <v>Electric Fund Net Position Statement</v>
      </c>
      <c r="C101" s="211" t="str">
        <f>'Unit Data from Audit Worksheet'!D116</f>
        <v>Please enter any compensated absences that are classified as current liabilities and included in account 639 above (amounts entered should agree to the current amount included in the changes to long-term debt note)
Enter as a positive</v>
      </c>
      <c r="D101" s="134"/>
      <c r="E101" s="231">
        <f>'Unit Data from Audit Worksheet'!F116</f>
        <v>0</v>
      </c>
      <c r="F101" s="224">
        <f t="shared" si="14"/>
        <v>0</v>
      </c>
      <c r="G101" s="226"/>
      <c r="H101" s="223"/>
      <c r="I101" s="32"/>
      <c r="J101" s="222">
        <v>641</v>
      </c>
      <c r="K101" s="221" t="s">
        <v>379</v>
      </c>
      <c r="L101" s="302">
        <f t="shared" si="13"/>
        <v>0</v>
      </c>
      <c r="M101"/>
      <c r="P101" s="201"/>
      <c r="Q101" s="279"/>
      <c r="R101" s="3"/>
      <c r="S101" s="3"/>
      <c r="T101" s="3"/>
      <c r="U101" s="3"/>
      <c r="V101" s="3"/>
      <c r="W101" s="3"/>
      <c r="X101" s="552">
        <v>641</v>
      </c>
      <c r="Y101" s="286">
        <v>641</v>
      </c>
      <c r="Z101" s="3"/>
      <c r="AA101" s="386">
        <f t="shared" si="9"/>
        <v>0</v>
      </c>
      <c r="AB101" s="286">
        <f t="shared" si="10"/>
        <v>0</v>
      </c>
    </row>
    <row r="102" spans="1:28" s="18" customFormat="1" ht="104.25" customHeight="1" x14ac:dyDescent="0.3">
      <c r="A102" s="212">
        <f>'Unit Data from Audit Worksheet'!A117</f>
        <v>642</v>
      </c>
      <c r="B102" s="225" t="str">
        <f>'Unit Data from Audit Worksheet'!C117</f>
        <v>Electric Fund Net Position Statement</v>
      </c>
      <c r="C102" s="211" t="str">
        <f>'Unit Data from Audit Worksheet'!D117</f>
        <v>Please enter any pension liabilities that are classified as current liabilities and included account in 639 above (amounts entered should agree to the current amount included in the changes to long-term debt note)
Enter as a positive</v>
      </c>
      <c r="D102" s="134"/>
      <c r="E102" s="231">
        <f>'Unit Data from Audit Worksheet'!F117</f>
        <v>0</v>
      </c>
      <c r="F102" s="224">
        <f t="shared" si="14"/>
        <v>0</v>
      </c>
      <c r="G102" s="226"/>
      <c r="H102" s="223"/>
      <c r="I102" s="32"/>
      <c r="J102" s="222">
        <v>642</v>
      </c>
      <c r="K102" s="221" t="s">
        <v>380</v>
      </c>
      <c r="L102" s="302">
        <f t="shared" si="13"/>
        <v>0</v>
      </c>
      <c r="M102"/>
      <c r="P102" s="201"/>
      <c r="Q102" s="279"/>
      <c r="R102" s="3"/>
      <c r="S102" s="3"/>
      <c r="T102" s="3"/>
      <c r="U102" s="3"/>
      <c r="V102" s="3"/>
      <c r="W102" s="3"/>
      <c r="X102" s="552">
        <v>642</v>
      </c>
      <c r="Y102" s="286">
        <v>642</v>
      </c>
      <c r="Z102" s="3"/>
      <c r="AA102" s="386">
        <f t="shared" si="9"/>
        <v>0</v>
      </c>
      <c r="AB102" s="286">
        <f t="shared" si="10"/>
        <v>0</v>
      </c>
    </row>
    <row r="103" spans="1:28" s="18" customFormat="1" ht="97.95" customHeight="1" x14ac:dyDescent="0.3">
      <c r="A103" s="212">
        <f>'Unit Data from Audit Worksheet'!A118</f>
        <v>643</v>
      </c>
      <c r="B103" s="225" t="str">
        <f>'Unit Data from Audit Worksheet'!C118</f>
        <v>Electric Fund Net Position Statement</v>
      </c>
      <c r="C103" s="211" t="str">
        <f>'Unit Data from Audit Worksheet'!D118</f>
        <v>Please enter any current liabilities that are payable from restricted assets and included in account 639 above. 
Enter as a positive</v>
      </c>
      <c r="D103" s="134"/>
      <c r="E103" s="231">
        <f>'Unit Data from Audit Worksheet'!F118</f>
        <v>0</v>
      </c>
      <c r="F103" s="224">
        <f t="shared" si="14"/>
        <v>0</v>
      </c>
      <c r="G103" s="226"/>
      <c r="H103" s="223"/>
      <c r="I103" s="32"/>
      <c r="J103" s="222">
        <v>643</v>
      </c>
      <c r="K103" s="221" t="s">
        <v>381</v>
      </c>
      <c r="L103" s="302">
        <f t="shared" si="13"/>
        <v>0</v>
      </c>
      <c r="M103"/>
      <c r="P103" s="196"/>
      <c r="Q103" s="279"/>
      <c r="R103" s="3"/>
      <c r="S103" s="3"/>
      <c r="T103" s="3"/>
      <c r="U103" s="3"/>
      <c r="V103" s="3"/>
      <c r="W103" s="3"/>
      <c r="X103" s="552">
        <v>643</v>
      </c>
      <c r="Y103" s="286">
        <v>643</v>
      </c>
      <c r="Z103" s="3"/>
      <c r="AA103" s="386">
        <f t="shared" si="9"/>
        <v>0</v>
      </c>
      <c r="AB103" s="286">
        <f t="shared" si="10"/>
        <v>0</v>
      </c>
    </row>
    <row r="104" spans="1:28" s="18" customFormat="1" ht="102" customHeight="1" x14ac:dyDescent="0.3">
      <c r="A104" s="212">
        <f>'Unit Data from Audit Worksheet'!A119</f>
        <v>644</v>
      </c>
      <c r="B104" s="225" t="str">
        <f>'Unit Data from Audit Worksheet'!C119</f>
        <v>Electric Fund Net Position Statement</v>
      </c>
      <c r="C104" s="211" t="str">
        <f>'Unit Data from Audit Worksheet'!D119</f>
        <v>Please enter any OPEB liabilities that are classified as current liabilities and included in account 639 above (amounts entered should agree to the current amount included in the changes to long-term debt note)
Enter as a positive</v>
      </c>
      <c r="D104" s="134"/>
      <c r="E104" s="231">
        <f>'Unit Data from Audit Worksheet'!F119</f>
        <v>0</v>
      </c>
      <c r="F104" s="224">
        <f t="shared" si="14"/>
        <v>0</v>
      </c>
      <c r="G104" s="226"/>
      <c r="H104" s="223"/>
      <c r="I104" s="32"/>
      <c r="J104" s="182">
        <v>644</v>
      </c>
      <c r="K104" s="221" t="s">
        <v>382</v>
      </c>
      <c r="L104" s="302">
        <f t="shared" si="13"/>
        <v>0</v>
      </c>
      <c r="M104"/>
      <c r="P104" s="196"/>
      <c r="Q104" s="279"/>
      <c r="R104" s="3"/>
      <c r="S104" s="3"/>
      <c r="T104" s="3"/>
      <c r="U104" s="3"/>
      <c r="V104" s="3"/>
      <c r="W104" s="3"/>
      <c r="X104" s="552">
        <v>644</v>
      </c>
      <c r="Y104" s="286">
        <v>644</v>
      </c>
      <c r="Z104" s="3"/>
      <c r="AA104" s="386">
        <f t="shared" si="9"/>
        <v>0</v>
      </c>
      <c r="AB104" s="286">
        <f t="shared" si="10"/>
        <v>0</v>
      </c>
    </row>
    <row r="105" spans="1:28" ht="96" customHeight="1" x14ac:dyDescent="0.3">
      <c r="A105" s="212">
        <f>+'Unit Data from Audit Worksheet'!A120</f>
        <v>384</v>
      </c>
      <c r="B105" s="212" t="str">
        <f>+'Unit Data from Audit Worksheet'!C120</f>
        <v>Electric Fund Net Position Statement</v>
      </c>
      <c r="C105" s="212" t="str">
        <f>+'Unit Data from Audit Worksheet'!D120</f>
        <v>Unearned revenue (arising from cash receipts) that were included in Current Liabilities in account 639 above.
Enter as a positive</v>
      </c>
      <c r="D105" s="134"/>
      <c r="E105" s="231">
        <f>+'Unit Data from Audit Worksheet'!F120</f>
        <v>0</v>
      </c>
      <c r="F105" s="224">
        <f t="shared" si="14"/>
        <v>0</v>
      </c>
      <c r="G105" s="226"/>
      <c r="H105" s="223"/>
      <c r="I105" s="32"/>
      <c r="J105" s="222">
        <v>384</v>
      </c>
      <c r="K105" s="52" t="s">
        <v>116</v>
      </c>
      <c r="L105" s="289">
        <f t="shared" si="13"/>
        <v>0</v>
      </c>
      <c r="P105" s="196"/>
      <c r="X105" s="552">
        <v>384</v>
      </c>
      <c r="Y105" s="286">
        <v>384</v>
      </c>
      <c r="AA105" s="386">
        <f t="shared" si="9"/>
        <v>0</v>
      </c>
      <c r="AB105" s="286">
        <f t="shared" si="10"/>
        <v>0</v>
      </c>
    </row>
    <row r="106" spans="1:28" ht="87" customHeight="1" x14ac:dyDescent="0.3">
      <c r="A106" s="212">
        <f>+'Unit Data from Audit Worksheet'!A121</f>
        <v>361</v>
      </c>
      <c r="B106" s="212" t="str">
        <f>+'Unit Data from Audit Worksheet'!C121</f>
        <v>Electric Fund Net Position Statement</v>
      </c>
      <c r="C106" s="212" t="str">
        <f>+'Unit Data from Audit Worksheet'!D121</f>
        <v>Total net position, unrestricted - Amount of negative unrestricted net position should be entered as a negative amount and the amount of positive unrestricted net position should be entered as a positive amount.</v>
      </c>
      <c r="D106" s="134"/>
      <c r="E106" s="231">
        <f>+'Unit Data from Audit Worksheet'!F121</f>
        <v>0</v>
      </c>
      <c r="F106" s="224"/>
      <c r="G106" s="226"/>
      <c r="H106" s="223"/>
      <c r="I106" s="32"/>
      <c r="J106" s="222">
        <v>361</v>
      </c>
      <c r="K106" s="221" t="s">
        <v>98</v>
      </c>
      <c r="L106" s="289">
        <f t="shared" si="13"/>
        <v>0</v>
      </c>
      <c r="P106" s="196"/>
      <c r="X106" s="552">
        <v>361</v>
      </c>
      <c r="Y106" s="286">
        <v>361</v>
      </c>
      <c r="AA106" s="386">
        <f t="shared" si="9"/>
        <v>0</v>
      </c>
      <c r="AB106" s="286">
        <f t="shared" si="10"/>
        <v>0</v>
      </c>
    </row>
    <row r="107" spans="1:28" ht="46.5" customHeight="1" x14ac:dyDescent="0.3">
      <c r="A107" s="212">
        <f>'Unit Data from Audit Worksheet'!A122</f>
        <v>362</v>
      </c>
      <c r="B107" s="225" t="str">
        <f>'Unit Data from Audit Worksheet'!C122</f>
        <v>Electric Fund Net Position Statement</v>
      </c>
      <c r="C107" s="211" t="str">
        <f>'Unit Data from Audit Worksheet'!D122</f>
        <v>Total net position</v>
      </c>
      <c r="D107" s="134"/>
      <c r="E107" s="231">
        <f>'Unit Data from Audit Worksheet'!F122</f>
        <v>0</v>
      </c>
      <c r="F107" s="224">
        <f>IF(L96-L97-L107=0,,"Error: Total assets less total liabilities do not equal net position acct 382-360-362=0")</f>
        <v>0</v>
      </c>
      <c r="G107" s="84">
        <f>+L96-L97-L107</f>
        <v>0</v>
      </c>
      <c r="H107" s="223"/>
      <c r="I107" s="32"/>
      <c r="J107" s="222">
        <v>362</v>
      </c>
      <c r="K107" s="221" t="s">
        <v>99</v>
      </c>
      <c r="L107" s="289">
        <f t="shared" si="13"/>
        <v>0</v>
      </c>
      <c r="O107" s="296" t="e">
        <f>'Unit Data from Audit Worksheet'!E122</f>
        <v>#N/A</v>
      </c>
      <c r="P107" s="196"/>
      <c r="X107" s="552">
        <v>362</v>
      </c>
      <c r="Y107" s="286">
        <v>362</v>
      </c>
      <c r="AA107" s="386">
        <f t="shared" si="9"/>
        <v>0</v>
      </c>
      <c r="AB107" s="286">
        <f t="shared" si="10"/>
        <v>0</v>
      </c>
    </row>
    <row r="108" spans="1:28" ht="61.5" customHeight="1" x14ac:dyDescent="0.3">
      <c r="A108" s="212">
        <f>'Unit Data from Audit Worksheet'!A125</f>
        <v>88</v>
      </c>
      <c r="B108" s="225" t="str">
        <f>'Unit Data from Audit Worksheet'!C125</f>
        <v>Water Sewer Revenue, Expenses &amp; Changes in Fund Net Position</v>
      </c>
      <c r="C108" s="211" t="str">
        <f>'Unit Data from Audit Worksheet'!D125</f>
        <v>Charges for services. 
Exclude tap, capacity fees and other misc. income .</v>
      </c>
      <c r="D108" s="134"/>
      <c r="E108" s="231">
        <f>'Unit Data from Audit Worksheet'!F125</f>
        <v>0</v>
      </c>
      <c r="F108" s="224"/>
      <c r="G108" s="226"/>
      <c r="H108" s="223"/>
      <c r="I108" s="32"/>
      <c r="J108" s="222">
        <v>88</v>
      </c>
      <c r="K108" s="221" t="s">
        <v>217</v>
      </c>
      <c r="L108" s="289">
        <f t="shared" si="13"/>
        <v>0</v>
      </c>
      <c r="P108" s="196"/>
      <c r="X108" s="552">
        <v>88</v>
      </c>
      <c r="Y108" s="286">
        <v>88</v>
      </c>
      <c r="AA108" s="386">
        <f t="shared" si="9"/>
        <v>0</v>
      </c>
      <c r="AB108" s="286">
        <f t="shared" si="10"/>
        <v>0</v>
      </c>
    </row>
    <row r="109" spans="1:28" ht="72" customHeight="1" x14ac:dyDescent="0.3">
      <c r="A109" s="212">
        <f>'Unit Data from Audit Worksheet'!A126</f>
        <v>84</v>
      </c>
      <c r="B109" s="225" t="str">
        <f>'Unit Data from Audit Worksheet'!C126</f>
        <v>Water Sewer Revenue, Expenses &amp; Changes in Fund Net Position</v>
      </c>
      <c r="C109" s="211" t="str">
        <f>'Unit Data from Audit Worksheet'!D126</f>
        <v>Total Operating revenues</v>
      </c>
      <c r="D109" s="134"/>
      <c r="E109" s="231">
        <f>'Unit Data from Audit Worksheet'!F126</f>
        <v>0</v>
      </c>
      <c r="F109" s="224" t="str">
        <f>IF(L108&gt;L109,"Error: Charges for services exceed total operating revenues. Acct # 88&gt;84"," ")</f>
        <v xml:space="preserve"> </v>
      </c>
      <c r="G109" s="226" t="str">
        <f>IF(Q90=1," Included in error count"," ")</f>
        <v xml:space="preserve"> </v>
      </c>
      <c r="H109" s="223"/>
      <c r="I109" s="32"/>
      <c r="J109" s="222">
        <v>84</v>
      </c>
      <c r="K109" s="221" t="s">
        <v>218</v>
      </c>
      <c r="L109" s="289">
        <f t="shared" si="13"/>
        <v>0</v>
      </c>
      <c r="P109" s="196"/>
      <c r="X109" s="552">
        <v>84</v>
      </c>
      <c r="Y109" s="286">
        <v>84</v>
      </c>
      <c r="AA109" s="386">
        <f t="shared" si="9"/>
        <v>0</v>
      </c>
      <c r="AB109" s="286">
        <f t="shared" si="10"/>
        <v>0</v>
      </c>
    </row>
    <row r="110" spans="1:28" ht="72" customHeight="1" x14ac:dyDescent="0.3">
      <c r="A110" s="212">
        <f>'Unit Data from Audit Worksheet'!A127</f>
        <v>49</v>
      </c>
      <c r="B110" s="225" t="str">
        <f>'Unit Data from Audit Worksheet'!C127</f>
        <v>Water Sewer Revenue, Expenses &amp; Changes in Fund Net Position</v>
      </c>
      <c r="C110" s="211" t="str">
        <f>'Unit Data from Audit Worksheet'!D127</f>
        <v>Depreciation and amortization expense</v>
      </c>
      <c r="D110" s="134"/>
      <c r="E110" s="231">
        <f>'Unit Data from Audit Worksheet'!F127</f>
        <v>0</v>
      </c>
      <c r="F110" s="224">
        <f>IF(L110&lt;0,"Error: Number is normally positive.",)</f>
        <v>0</v>
      </c>
      <c r="G110" s="226"/>
      <c r="H110" s="223"/>
      <c r="I110" s="32"/>
      <c r="J110" s="222">
        <v>49</v>
      </c>
      <c r="K110" s="221" t="s">
        <v>219</v>
      </c>
      <c r="L110" s="289">
        <f t="shared" si="13"/>
        <v>0</v>
      </c>
      <c r="O110" s="296"/>
      <c r="P110" s="196"/>
      <c r="X110" s="552">
        <v>49</v>
      </c>
      <c r="Y110" s="286">
        <v>49</v>
      </c>
      <c r="AA110" s="386">
        <f t="shared" si="9"/>
        <v>0</v>
      </c>
      <c r="AB110" s="286">
        <f t="shared" si="10"/>
        <v>0</v>
      </c>
    </row>
    <row r="111" spans="1:28" ht="48" customHeight="1" x14ac:dyDescent="0.3">
      <c r="A111" s="212">
        <f>'Unit Data from Audit Worksheet'!A128</f>
        <v>85</v>
      </c>
      <c r="B111" s="225" t="str">
        <f>'Unit Data from Audit Worksheet'!C128</f>
        <v>Water Sewer Revenue, Expenses &amp; Changes in Fund Net Position</v>
      </c>
      <c r="C111" s="211" t="str">
        <f>'Unit Data from Audit Worksheet'!D128</f>
        <v>Total Operating expenses</v>
      </c>
      <c r="D111" s="134"/>
      <c r="E111" s="231">
        <f>'Unit Data from Audit Worksheet'!F128</f>
        <v>0</v>
      </c>
      <c r="F111" s="224"/>
      <c r="G111" s="226"/>
      <c r="H111" s="223"/>
      <c r="I111" s="32"/>
      <c r="J111" s="222">
        <v>85</v>
      </c>
      <c r="K111" s="221" t="s">
        <v>220</v>
      </c>
      <c r="L111" s="289">
        <f t="shared" si="13"/>
        <v>0</v>
      </c>
      <c r="P111" s="196"/>
      <c r="X111" s="552">
        <v>85</v>
      </c>
      <c r="Y111" s="286">
        <v>85</v>
      </c>
      <c r="AA111" s="386">
        <f t="shared" si="9"/>
        <v>0</v>
      </c>
      <c r="AB111" s="286">
        <f t="shared" si="10"/>
        <v>0</v>
      </c>
    </row>
    <row r="112" spans="1:28" ht="48" customHeight="1" x14ac:dyDescent="0.3">
      <c r="A112" s="212">
        <f>'Unit Data from Audit Worksheet'!A129</f>
        <v>89</v>
      </c>
      <c r="B112" s="225" t="str">
        <f>'Unit Data from Audit Worksheet'!C129</f>
        <v>Water Sewer Revenue, Expenses &amp; Changes in Fund Net Position</v>
      </c>
      <c r="C112" s="211" t="str">
        <f>'Unit Data from Audit Worksheet'!D129</f>
        <v>Interest expense</v>
      </c>
      <c r="D112" s="134"/>
      <c r="E112" s="231">
        <f>'Unit Data from Audit Worksheet'!F129</f>
        <v>0</v>
      </c>
      <c r="F112" s="224"/>
      <c r="G112" s="226"/>
      <c r="H112" s="223"/>
      <c r="I112" s="32"/>
      <c r="J112" s="222">
        <v>89</v>
      </c>
      <c r="K112" s="221" t="s">
        <v>221</v>
      </c>
      <c r="L112" s="289">
        <f t="shared" si="13"/>
        <v>0</v>
      </c>
      <c r="P112" s="196"/>
      <c r="X112" s="552">
        <v>89</v>
      </c>
      <c r="Y112" s="286">
        <v>89</v>
      </c>
      <c r="AA112" s="386">
        <f t="shared" si="9"/>
        <v>0</v>
      </c>
      <c r="AB112" s="286">
        <f t="shared" si="10"/>
        <v>0</v>
      </c>
    </row>
    <row r="113" spans="1:28" ht="48" customHeight="1" x14ac:dyDescent="0.3">
      <c r="A113" s="212">
        <f>'Unit Data from Audit Worksheet'!A130</f>
        <v>350</v>
      </c>
      <c r="B113" s="225" t="str">
        <f>'Unit Data from Audit Worksheet'!C130</f>
        <v>Water Sewer Revenue, Expenses &amp; Changes in Fund Net Position</v>
      </c>
      <c r="C113" s="211" t="str">
        <f>'Unit Data from Audit Worksheet'!D130</f>
        <v>Total all non-operating revenues  
Exclude Capital contributions.</v>
      </c>
      <c r="D113" s="134"/>
      <c r="E113" s="231">
        <f>'Unit Data from Audit Worksheet'!F130</f>
        <v>0</v>
      </c>
      <c r="F113" s="224"/>
      <c r="G113" s="226"/>
      <c r="H113" s="223"/>
      <c r="I113" s="32"/>
      <c r="J113" s="222">
        <v>350</v>
      </c>
      <c r="K113" s="221" t="s">
        <v>222</v>
      </c>
      <c r="L113" s="289">
        <f t="shared" si="13"/>
        <v>0</v>
      </c>
      <c r="P113" s="196"/>
      <c r="X113" s="552">
        <v>350</v>
      </c>
      <c r="Y113" s="286">
        <v>350</v>
      </c>
      <c r="AA113" s="386">
        <f t="shared" si="9"/>
        <v>0</v>
      </c>
      <c r="AB113" s="286">
        <f t="shared" si="10"/>
        <v>0</v>
      </c>
    </row>
    <row r="114" spans="1:28" ht="48" customHeight="1" x14ac:dyDescent="0.3">
      <c r="A114" s="212">
        <f>'Unit Data from Audit Worksheet'!A131</f>
        <v>351</v>
      </c>
      <c r="B114" s="225" t="str">
        <f>'Unit Data from Audit Worksheet'!C131</f>
        <v>Water Sewer Revenue, Expenses &amp; Changes in Fund Net Position</v>
      </c>
      <c r="C114" s="211" t="str">
        <f>'Unit Data from Audit Worksheet'!D131</f>
        <v>Total all non-operating expenses.  
Include any negative special, extraordinary, or capital contribution.</v>
      </c>
      <c r="D114" s="134"/>
      <c r="E114" s="231">
        <f>'Unit Data from Audit Worksheet'!F131</f>
        <v>0</v>
      </c>
      <c r="F114" s="224"/>
      <c r="G114" s="226"/>
      <c r="H114" s="223"/>
      <c r="I114" s="32"/>
      <c r="J114" s="222">
        <v>351</v>
      </c>
      <c r="K114" s="221" t="s">
        <v>223</v>
      </c>
      <c r="L114" s="289">
        <f t="shared" si="13"/>
        <v>0</v>
      </c>
      <c r="P114" s="196"/>
      <c r="X114" s="552">
        <v>351</v>
      </c>
      <c r="Y114" s="286">
        <v>351</v>
      </c>
      <c r="AA114" s="386">
        <f t="shared" si="9"/>
        <v>0</v>
      </c>
      <c r="AB114" s="286">
        <f t="shared" si="10"/>
        <v>0</v>
      </c>
    </row>
    <row r="115" spans="1:28" ht="66" customHeight="1" x14ac:dyDescent="0.3">
      <c r="A115" s="212">
        <f>'Unit Data from Audit Worksheet'!A132</f>
        <v>191</v>
      </c>
      <c r="B115" s="225" t="str">
        <f>'Unit Data from Audit Worksheet'!C132</f>
        <v>Water Sewer Revenue, Expenses &amp; Changes in Fund Net Position</v>
      </c>
      <c r="C115" s="211" t="str">
        <f>'Unit Data from Audit Worksheet'!D132</f>
        <v>Capital contributions. Only include positive capital contributions.  Negative capital contributions should be included with 'Total all non-operating expenses.'</v>
      </c>
      <c r="D115" s="134"/>
      <c r="E115" s="231">
        <f>'Unit Data from Audit Worksheet'!F132</f>
        <v>0</v>
      </c>
      <c r="F115" s="224">
        <f>IF(L115&lt;0,"Error: Enter as a positive.",)</f>
        <v>0</v>
      </c>
      <c r="G115" s="226"/>
      <c r="H115" s="223"/>
      <c r="I115" s="32"/>
      <c r="J115" s="222">
        <v>191</v>
      </c>
      <c r="K115" s="221" t="s">
        <v>224</v>
      </c>
      <c r="L115" s="289">
        <f t="shared" si="13"/>
        <v>0</v>
      </c>
      <c r="P115" s="196"/>
      <c r="S115" s="18"/>
      <c r="T115" s="18"/>
      <c r="U115" s="18"/>
      <c r="V115" s="18"/>
      <c r="X115" s="552">
        <v>191</v>
      </c>
      <c r="Y115" s="286">
        <v>191</v>
      </c>
      <c r="Z115" s="18"/>
      <c r="AA115" s="386">
        <f t="shared" si="9"/>
        <v>0</v>
      </c>
      <c r="AB115" s="286">
        <f t="shared" si="10"/>
        <v>0</v>
      </c>
    </row>
    <row r="116" spans="1:28" s="386" customFormat="1" ht="66.599999999999994" customHeight="1" x14ac:dyDescent="0.3">
      <c r="A116" s="212">
        <f>'Unit Data from Audit Worksheet'!A133</f>
        <v>1053</v>
      </c>
      <c r="B116" s="225" t="str">
        <f>'Unit Data from Audit Worksheet'!C133</f>
        <v>Water &amp; Sewer Revenue, Expenses &amp; Changes in Fund Net Position</v>
      </c>
      <c r="C116" s="211" t="str">
        <f>'Unit Data from Audit Worksheet'!D133</f>
        <v>Mark to Market unrealized losses in the Water and Sewer Fund. (enter as a negative number)</v>
      </c>
      <c r="D116" s="134"/>
      <c r="E116" s="231">
        <f>'Unit Data from Audit Worksheet'!F133</f>
        <v>0</v>
      </c>
      <c r="F116" s="224"/>
      <c r="G116" s="226"/>
      <c r="H116" s="223"/>
      <c r="I116" s="32"/>
      <c r="J116" s="222">
        <v>1053</v>
      </c>
      <c r="K116" s="211" t="s">
        <v>1613</v>
      </c>
      <c r="L116" s="295">
        <f t="shared" si="13"/>
        <v>0</v>
      </c>
      <c r="M116"/>
      <c r="P116" s="196"/>
      <c r="Q116" s="279"/>
      <c r="S116" s="18"/>
      <c r="T116" s="18"/>
      <c r="U116" s="18"/>
      <c r="V116" s="18"/>
      <c r="X116" s="552"/>
      <c r="Y116" s="286"/>
      <c r="Z116" s="18"/>
      <c r="AA116" s="386">
        <f t="shared" si="9"/>
        <v>0</v>
      </c>
      <c r="AB116" s="286"/>
    </row>
    <row r="117" spans="1:28" ht="47.25" customHeight="1" x14ac:dyDescent="0.3">
      <c r="A117" s="212">
        <f>'Unit Data from Audit Worksheet'!A134</f>
        <v>352</v>
      </c>
      <c r="B117" s="225" t="str">
        <f>'Unit Data from Audit Worksheet'!C134</f>
        <v>Water Sewer Revenue, Expenses &amp; Changes in Fund Net Position</v>
      </c>
      <c r="C117" s="211" t="str">
        <f>'Unit Data from Audit Worksheet'!D134</f>
        <v>Total Transfers in - all funds (operating and capital)</v>
      </c>
      <c r="D117" s="134"/>
      <c r="E117" s="231">
        <f>'Unit Data from Audit Worksheet'!F134</f>
        <v>0</v>
      </c>
      <c r="F117" s="224"/>
      <c r="G117" s="226"/>
      <c r="H117" s="223"/>
      <c r="I117" s="32"/>
      <c r="J117" s="222">
        <v>352</v>
      </c>
      <c r="K117" s="221" t="s">
        <v>225</v>
      </c>
      <c r="L117" s="289">
        <f t="shared" si="13"/>
        <v>0</v>
      </c>
      <c r="P117" s="196"/>
      <c r="X117" s="552">
        <v>352</v>
      </c>
      <c r="Y117" s="286">
        <v>352</v>
      </c>
      <c r="AA117" s="386">
        <f t="shared" si="9"/>
        <v>0</v>
      </c>
      <c r="AB117" s="286">
        <f t="shared" si="10"/>
        <v>0</v>
      </c>
    </row>
    <row r="118" spans="1:28" ht="70.5" customHeight="1" x14ac:dyDescent="0.3">
      <c r="A118" s="212">
        <f>'Unit Data from Audit Worksheet'!A135</f>
        <v>986</v>
      </c>
      <c r="B118" s="225" t="str">
        <f>'Unit Data from Audit Worksheet'!C135</f>
        <v>Water Sewer Revenue, Expenses &amp; Changes in Fund Net Position</v>
      </c>
      <c r="C118" s="211" t="str">
        <f>'Unit Data from Audit Worksheet'!D135</f>
        <v>Of the transfers-in above in acct # 352, list amount of transfers-in that were used to support Water Sewer operations  (exclude capital transfers)</v>
      </c>
      <c r="D118" s="134"/>
      <c r="E118" s="231">
        <f>'Unit Data from Audit Worksheet'!F135</f>
        <v>0</v>
      </c>
      <c r="F118" s="224"/>
      <c r="G118" s="226"/>
      <c r="H118" s="223"/>
      <c r="I118" s="32"/>
      <c r="J118" s="222">
        <v>986</v>
      </c>
      <c r="K118" s="211" t="s">
        <v>594</v>
      </c>
      <c r="L118" s="295">
        <f t="shared" si="13"/>
        <v>0</v>
      </c>
      <c r="P118" s="196"/>
      <c r="X118" s="552">
        <v>986</v>
      </c>
      <c r="Y118" s="286">
        <v>986</v>
      </c>
      <c r="AA118" s="386">
        <f t="shared" si="9"/>
        <v>0</v>
      </c>
      <c r="AB118" s="286">
        <f t="shared" si="10"/>
        <v>0</v>
      </c>
    </row>
    <row r="119" spans="1:28" ht="47.25" customHeight="1" x14ac:dyDescent="0.3">
      <c r="A119" s="212">
        <f>'Unit Data from Audit Worksheet'!A136</f>
        <v>353</v>
      </c>
      <c r="B119" s="225" t="str">
        <f>'Unit Data from Audit Worksheet'!C136</f>
        <v>Water Sewer Revenue, Expenses &amp; Changes in Fund Net Position</v>
      </c>
      <c r="C119" s="211" t="str">
        <f>'Unit Data from Audit Worksheet'!D136</f>
        <v>Total Transfers out</v>
      </c>
      <c r="D119" s="134"/>
      <c r="E119" s="231">
        <f>'Unit Data from Audit Worksheet'!F136</f>
        <v>0</v>
      </c>
      <c r="F119" s="224">
        <f>IF(L119&lt;0,"Error: Enter as a positive.",)</f>
        <v>0</v>
      </c>
      <c r="G119" s="226"/>
      <c r="H119" s="223"/>
      <c r="I119" s="32"/>
      <c r="J119" s="34">
        <v>353</v>
      </c>
      <c r="K119" s="221" t="s">
        <v>226</v>
      </c>
      <c r="L119" s="289">
        <f t="shared" si="13"/>
        <v>0</v>
      </c>
      <c r="P119" s="196"/>
      <c r="X119" s="552">
        <v>353</v>
      </c>
      <c r="Y119" s="286">
        <v>353</v>
      </c>
      <c r="AA119" s="386">
        <f t="shared" si="9"/>
        <v>0</v>
      </c>
      <c r="AB119" s="286">
        <f t="shared" si="10"/>
        <v>0</v>
      </c>
    </row>
    <row r="120" spans="1:28" ht="72.75" customHeight="1" x14ac:dyDescent="0.3">
      <c r="A120" s="212">
        <f>'Unit Data from Audit Worksheet'!A137</f>
        <v>50</v>
      </c>
      <c r="B120" s="225" t="str">
        <f>'Unit Data from Audit Worksheet'!C137</f>
        <v>Water Sewer Revenue, Expenses &amp; Changes in Fund Net Position</v>
      </c>
      <c r="C120" s="211" t="str">
        <f>'Unit Data from Audit Worksheet'!D137</f>
        <v>Change in net position - Increase in net position is recorded as a positive and a (Decrease) in net position is recorded as a negative.</v>
      </c>
      <c r="D120" s="134"/>
      <c r="E120" s="139">
        <f>'Unit Data from Audit Worksheet'!F137</f>
        <v>0</v>
      </c>
      <c r="F120" s="224">
        <f>IF(L109-L111+L113-L114+L117+L115-L119-L120=0,,"Error:Total revenues less total expenses do not equal total change in net position. Acct # 84-85+350-351+191+352-353-50")</f>
        <v>0</v>
      </c>
      <c r="G120" s="84">
        <f>+L109-L111+L113-L114+L117+L115-L119-L120</f>
        <v>0</v>
      </c>
      <c r="H120" s="223"/>
      <c r="I120" s="32"/>
      <c r="J120" s="222">
        <v>50</v>
      </c>
      <c r="K120" s="221" t="s">
        <v>92</v>
      </c>
      <c r="L120" s="289">
        <f t="shared" si="13"/>
        <v>0</v>
      </c>
      <c r="P120" s="196"/>
      <c r="X120" s="552">
        <v>50</v>
      </c>
      <c r="Y120" s="286">
        <v>50</v>
      </c>
      <c r="AA120" s="386">
        <f t="shared" si="9"/>
        <v>0</v>
      </c>
      <c r="AB120" s="286">
        <f t="shared" si="10"/>
        <v>0</v>
      </c>
    </row>
    <row r="121" spans="1:28" ht="144" customHeight="1" x14ac:dyDescent="0.3">
      <c r="A121" s="212">
        <f>'Unit Data from Audit Worksheet'!A138</f>
        <v>377</v>
      </c>
      <c r="B121" s="225" t="str">
        <f>'Unit Data from Audit Worksheet'!C138</f>
        <v>Water Sewer Revenue, Expenses &amp; Changes in Fund Net Position</v>
      </c>
      <c r="C121" s="211" t="str">
        <f>'Unit Data from Audit Worksheet'!D138</f>
        <v>Increases or (decreases) to beginning water sewer net position due to rounding, prior period adjustments and restatements.  Increase amounts to beginning net position should be entered as a positive amount and (decreases) should be entered as a negative amount.</v>
      </c>
      <c r="D121" s="134"/>
      <c r="E121" s="139">
        <f>'Unit Data from Audit Worksheet'!F138</f>
        <v>0</v>
      </c>
      <c r="F121" s="80" t="e">
        <f>IF(L89-L120-L121=O89,,"Error:Beginning Balance does not agree with out records.Acct # 83-50-377 = PY83")</f>
        <v>#N/A</v>
      </c>
      <c r="G121" s="84" t="e">
        <f>+L89-L120-L121-O89</f>
        <v>#N/A</v>
      </c>
      <c r="H121" s="223" t="e">
        <f>'Unit Data from Audit Worksheet'!I138</f>
        <v>#N/A</v>
      </c>
      <c r="I121" s="32"/>
      <c r="J121" s="222">
        <v>377</v>
      </c>
      <c r="K121" s="221" t="s">
        <v>101</v>
      </c>
      <c r="L121" s="289">
        <f t="shared" si="13"/>
        <v>0</v>
      </c>
      <c r="P121" s="196"/>
      <c r="X121" s="552">
        <v>377</v>
      </c>
      <c r="Y121" s="286">
        <v>377</v>
      </c>
      <c r="AA121" s="386">
        <f t="shared" si="9"/>
        <v>0</v>
      </c>
      <c r="AB121" s="286">
        <f t="shared" si="10"/>
        <v>0</v>
      </c>
    </row>
    <row r="122" spans="1:28" ht="63" customHeight="1" x14ac:dyDescent="0.3">
      <c r="A122" s="312">
        <f>'Unit Data from Audit Worksheet'!A139</f>
        <v>537</v>
      </c>
      <c r="B122" s="225" t="str">
        <f>'Unit Data from Audit Worksheet'!C139</f>
        <v>Water Sewer Revenue, Expenses &amp; Changes in Fund Net Position</v>
      </c>
      <c r="C122" s="211" t="str">
        <f>'Unit Data from Audit Worksheet'!D139</f>
        <v>Did unit raise Water Sewer rates during the audited fiscal period? - answer Yes =1 or No= 2</v>
      </c>
      <c r="D122" s="129"/>
      <c r="E122" s="231">
        <f>'Unit Data from Audit Worksheet'!F139</f>
        <v>0</v>
      </c>
      <c r="F122" s="224" t="s">
        <v>311</v>
      </c>
      <c r="G122" s="226"/>
      <c r="H122" s="223"/>
      <c r="I122" s="32"/>
      <c r="J122" s="60">
        <v>537</v>
      </c>
      <c r="K122" s="58" t="s">
        <v>280</v>
      </c>
      <c r="L122" s="289">
        <f t="shared" si="13"/>
        <v>0</v>
      </c>
      <c r="N122" s="54" t="s">
        <v>301</v>
      </c>
      <c r="P122" s="196"/>
      <c r="X122" s="552">
        <v>537</v>
      </c>
      <c r="Y122" s="286">
        <v>537</v>
      </c>
      <c r="AA122" s="386">
        <f t="shared" si="9"/>
        <v>0</v>
      </c>
      <c r="AB122" s="286">
        <f t="shared" si="10"/>
        <v>0</v>
      </c>
    </row>
    <row r="123" spans="1:28" ht="63.75" customHeight="1" x14ac:dyDescent="0.3">
      <c r="A123" s="312">
        <f>'Unit Data from Audit Worksheet'!A140</f>
        <v>538</v>
      </c>
      <c r="B123" s="225" t="str">
        <f>'Unit Data from Audit Worksheet'!C140</f>
        <v>Water Sewer Revenue, Expenses &amp; Changes in Fund Net Position</v>
      </c>
      <c r="C123" s="211" t="str">
        <f>'Unit Data from Audit Worksheet'!D140</f>
        <v>Did unit raise Water Sewer rates during the budget year following the audited fiscal year? - answer Yes=1 or No=2</v>
      </c>
      <c r="D123" s="129"/>
      <c r="E123" s="231">
        <f>'Unit Data from Audit Worksheet'!F140</f>
        <v>0</v>
      </c>
      <c r="F123" s="224" t="s">
        <v>311</v>
      </c>
      <c r="G123" s="226"/>
      <c r="H123" s="223"/>
      <c r="I123" s="32"/>
      <c r="J123" s="60">
        <v>538</v>
      </c>
      <c r="K123" s="58" t="s">
        <v>279</v>
      </c>
      <c r="L123" s="289">
        <f t="shared" si="13"/>
        <v>0</v>
      </c>
      <c r="N123" s="54" t="s">
        <v>301</v>
      </c>
      <c r="P123" s="196"/>
      <c r="X123" s="552">
        <v>538</v>
      </c>
      <c r="Y123" s="286">
        <v>538</v>
      </c>
      <c r="AA123" s="386">
        <f t="shared" si="9"/>
        <v>0</v>
      </c>
      <c r="AB123" s="286">
        <f t="shared" si="10"/>
        <v>0</v>
      </c>
    </row>
    <row r="124" spans="1:28" ht="47.25" customHeight="1" x14ac:dyDescent="0.3">
      <c r="A124" s="212">
        <f>'Unit Data from Audit Worksheet'!A142</f>
        <v>97</v>
      </c>
      <c r="B124" s="225" t="str">
        <f>'Unit Data from Audit Worksheet'!C142</f>
        <v>Electric Fund Revenue, Expenses &amp; Changes in Fund Net Position</v>
      </c>
      <c r="C124" s="211" t="str">
        <f>'Unit Data from Audit Worksheet'!D142</f>
        <v>Charges for services</v>
      </c>
      <c r="D124" s="230"/>
      <c r="E124" s="231">
        <f>'Unit Data from Audit Worksheet'!F142</f>
        <v>0</v>
      </c>
      <c r="F124" s="224">
        <f>IF(L124&lt;0,"Error: Enter as a positive.",)</f>
        <v>0</v>
      </c>
      <c r="G124" s="226"/>
      <c r="H124" s="223"/>
      <c r="I124" s="32"/>
      <c r="J124" s="222">
        <v>97</v>
      </c>
      <c r="K124" s="221" t="s">
        <v>227</v>
      </c>
      <c r="L124" s="289">
        <f t="shared" ref="L124:L200" si="15">IF(D124="",E124,D124)</f>
        <v>0</v>
      </c>
      <c r="P124" s="196"/>
      <c r="X124" s="552">
        <v>97</v>
      </c>
      <c r="Y124" s="286">
        <v>97</v>
      </c>
      <c r="AA124" s="386">
        <f t="shared" si="9"/>
        <v>0</v>
      </c>
      <c r="AB124" s="286">
        <f t="shared" si="10"/>
        <v>0</v>
      </c>
    </row>
    <row r="125" spans="1:28" ht="45.75" customHeight="1" x14ac:dyDescent="0.3">
      <c r="A125" s="212">
        <f>'Unit Data from Audit Worksheet'!A143</f>
        <v>93</v>
      </c>
      <c r="B125" s="225" t="str">
        <f>'Unit Data from Audit Worksheet'!C143</f>
        <v>Electric Fund Revenue, Expenses &amp; Changes in Fund Net Position</v>
      </c>
      <c r="C125" s="211" t="str">
        <f>'Unit Data from Audit Worksheet'!D143</f>
        <v>Total Operating revenues</v>
      </c>
      <c r="D125" s="230"/>
      <c r="E125" s="231">
        <f>'Unit Data from Audit Worksheet'!F143</f>
        <v>0</v>
      </c>
      <c r="F125" s="224" t="str">
        <f>IF(L124&gt;L125,"Error: Charges for services exceeds total operating revenues Acct 97&gt;=93"," ")</f>
        <v xml:space="preserve"> </v>
      </c>
      <c r="G125" s="226" t="str">
        <f>IF(Q105=1," Included in error count"," ")</f>
        <v xml:space="preserve"> </v>
      </c>
      <c r="H125" s="223"/>
      <c r="I125" s="32"/>
      <c r="J125" s="222">
        <v>93</v>
      </c>
      <c r="K125" s="221" t="s">
        <v>228</v>
      </c>
      <c r="L125" s="289">
        <f t="shared" si="15"/>
        <v>0</v>
      </c>
      <c r="P125" s="196"/>
      <c r="X125" s="552">
        <v>93</v>
      </c>
      <c r="Y125" s="286">
        <v>93</v>
      </c>
      <c r="AA125" s="386">
        <f t="shared" si="9"/>
        <v>0</v>
      </c>
      <c r="AB125" s="286">
        <f t="shared" si="10"/>
        <v>0</v>
      </c>
    </row>
    <row r="126" spans="1:28" ht="45.75" customHeight="1" x14ac:dyDescent="0.3">
      <c r="A126" s="212">
        <f>'Unit Data from Audit Worksheet'!A144</f>
        <v>99</v>
      </c>
      <c r="B126" s="225" t="str">
        <f>'Unit Data from Audit Worksheet'!C144</f>
        <v>Electric Fund Revenue, Expenses &amp; Changes in Fund Net Position</v>
      </c>
      <c r="C126" s="211" t="str">
        <f>'Unit Data from Audit Worksheet'!D144</f>
        <v>Electrical power purchases</v>
      </c>
      <c r="D126" s="230"/>
      <c r="E126" s="231">
        <f>'Unit Data from Audit Worksheet'!F144</f>
        <v>0</v>
      </c>
      <c r="F126" s="224">
        <f>IF(L126&lt;0,"Error: Enter as a positive.",)</f>
        <v>0</v>
      </c>
      <c r="G126" s="226"/>
      <c r="H126" s="223"/>
      <c r="I126" s="32"/>
      <c r="J126" s="222">
        <v>99</v>
      </c>
      <c r="K126" s="221" t="s">
        <v>229</v>
      </c>
      <c r="L126" s="289">
        <f t="shared" si="15"/>
        <v>0</v>
      </c>
      <c r="P126" s="196"/>
      <c r="S126" s="18"/>
      <c r="T126" s="18"/>
      <c r="U126" s="18"/>
      <c r="V126" s="18"/>
      <c r="X126" s="552">
        <v>99</v>
      </c>
      <c r="Y126" s="286">
        <v>99</v>
      </c>
      <c r="Z126" s="18"/>
      <c r="AA126" s="386">
        <f t="shared" si="9"/>
        <v>0</v>
      </c>
      <c r="AB126" s="286">
        <f t="shared" si="10"/>
        <v>0</v>
      </c>
    </row>
    <row r="127" spans="1:28" ht="45.75" customHeight="1" x14ac:dyDescent="0.3">
      <c r="A127" s="212">
        <f>'Unit Data from Audit Worksheet'!A145</f>
        <v>52</v>
      </c>
      <c r="B127" s="225" t="str">
        <f>'Unit Data from Audit Worksheet'!C145</f>
        <v>Electric Fund Revenue, Expenses &amp; Changes in Fund Net Position</v>
      </c>
      <c r="C127" s="211" t="str">
        <f>'Unit Data from Audit Worksheet'!D145</f>
        <v>Depreciation and amortization expense</v>
      </c>
      <c r="D127" s="230"/>
      <c r="E127" s="231">
        <f>'Unit Data from Audit Worksheet'!F145</f>
        <v>0</v>
      </c>
      <c r="F127" s="224">
        <f>IF(L127&lt;0,"Error: Enter as a positive.",)</f>
        <v>0</v>
      </c>
      <c r="G127" s="226"/>
      <c r="H127" s="223"/>
      <c r="I127" s="32"/>
      <c r="J127" s="222">
        <v>52</v>
      </c>
      <c r="K127" s="221" t="s">
        <v>230</v>
      </c>
      <c r="L127" s="289">
        <f t="shared" si="15"/>
        <v>0</v>
      </c>
      <c r="P127" s="196"/>
      <c r="X127" s="552">
        <v>52</v>
      </c>
      <c r="Y127" s="286">
        <v>52</v>
      </c>
      <c r="AA127" s="386">
        <f t="shared" si="9"/>
        <v>0</v>
      </c>
      <c r="AB127" s="286">
        <f t="shared" si="10"/>
        <v>0</v>
      </c>
    </row>
    <row r="128" spans="1:28" ht="45.75" customHeight="1" x14ac:dyDescent="0.3">
      <c r="A128" s="212">
        <f>'Unit Data from Audit Worksheet'!A146</f>
        <v>94</v>
      </c>
      <c r="B128" s="225" t="str">
        <f>'Unit Data from Audit Worksheet'!C146</f>
        <v>Electric Fund Revenue, Expenses &amp; Changes in Fund Net Position</v>
      </c>
      <c r="C128" s="211" t="str">
        <f>'Unit Data from Audit Worksheet'!D146</f>
        <v>Total Operating expenses</v>
      </c>
      <c r="D128" s="230"/>
      <c r="E128" s="231">
        <f>'Unit Data from Audit Worksheet'!F146</f>
        <v>0</v>
      </c>
      <c r="F128" s="224">
        <f>IF(L128&lt;0,"Error: Enter as a positive.",)</f>
        <v>0</v>
      </c>
      <c r="G128" s="226"/>
      <c r="H128" s="223"/>
      <c r="I128" s="32"/>
      <c r="J128" s="222">
        <v>94</v>
      </c>
      <c r="K128" s="221" t="s">
        <v>231</v>
      </c>
      <c r="L128" s="289">
        <f t="shared" si="15"/>
        <v>0</v>
      </c>
      <c r="P128" s="196"/>
      <c r="X128" s="552">
        <v>94</v>
      </c>
      <c r="Y128" s="286">
        <v>94</v>
      </c>
      <c r="AA128" s="386">
        <f t="shared" si="9"/>
        <v>0</v>
      </c>
      <c r="AB128" s="286">
        <f t="shared" si="10"/>
        <v>0</v>
      </c>
    </row>
    <row r="129" spans="1:28" ht="46.5" customHeight="1" x14ac:dyDescent="0.3">
      <c r="A129" s="212">
        <f>'Unit Data from Audit Worksheet'!A147</f>
        <v>98</v>
      </c>
      <c r="B129" s="225" t="str">
        <f>'Unit Data from Audit Worksheet'!C147</f>
        <v>Electric Fund Revenue, Expenses &amp; Changes in Fund Net Position</v>
      </c>
      <c r="C129" s="211" t="str">
        <f>'Unit Data from Audit Worksheet'!D147</f>
        <v>Interest expense</v>
      </c>
      <c r="D129" s="230"/>
      <c r="E129" s="231">
        <f>'Unit Data from Audit Worksheet'!F147</f>
        <v>0</v>
      </c>
      <c r="F129" s="224">
        <f>IF(L129&lt;0,"Error: Enter as a positive.",)</f>
        <v>0</v>
      </c>
      <c r="G129" s="226"/>
      <c r="H129" s="223"/>
      <c r="I129" s="32"/>
      <c r="J129" s="222">
        <v>98</v>
      </c>
      <c r="K129" s="221" t="s">
        <v>232</v>
      </c>
      <c r="L129" s="289">
        <f t="shared" si="15"/>
        <v>0</v>
      </c>
      <c r="P129" s="196"/>
      <c r="X129" s="552">
        <v>98</v>
      </c>
      <c r="Y129" s="286">
        <v>98</v>
      </c>
      <c r="AA129" s="386">
        <f t="shared" si="9"/>
        <v>0</v>
      </c>
      <c r="AB129" s="286">
        <f t="shared" si="10"/>
        <v>0</v>
      </c>
    </row>
    <row r="130" spans="1:28" ht="51" customHeight="1" x14ac:dyDescent="0.3">
      <c r="A130" s="212">
        <f>'Unit Data from Audit Worksheet'!A148</f>
        <v>363</v>
      </c>
      <c r="B130" s="225" t="str">
        <f>'Unit Data from Audit Worksheet'!C148</f>
        <v>Electric Fund Revenue, Expenses &amp; Changes in Fund Net Position</v>
      </c>
      <c r="C130" s="211" t="str">
        <f>'Unit Data from Audit Worksheet'!D148</f>
        <v>Total all the non-operating revenues  
Exclude Capital Contributions.</v>
      </c>
      <c r="D130" s="230"/>
      <c r="E130" s="231">
        <f>'Unit Data from Audit Worksheet'!F148</f>
        <v>0</v>
      </c>
      <c r="F130" s="224"/>
      <c r="G130" s="226"/>
      <c r="H130" s="223"/>
      <c r="I130" s="32"/>
      <c r="J130" s="222">
        <v>363</v>
      </c>
      <c r="K130" s="221" t="s">
        <v>233</v>
      </c>
      <c r="L130" s="289">
        <f t="shared" si="15"/>
        <v>0</v>
      </c>
      <c r="P130" s="196"/>
      <c r="X130" s="552">
        <v>363</v>
      </c>
      <c r="Y130" s="286">
        <v>363</v>
      </c>
      <c r="AA130" s="386">
        <f t="shared" si="9"/>
        <v>0</v>
      </c>
      <c r="AB130" s="286">
        <f t="shared" si="10"/>
        <v>0</v>
      </c>
    </row>
    <row r="131" spans="1:28" ht="60" customHeight="1" x14ac:dyDescent="0.3">
      <c r="A131" s="212">
        <f>'Unit Data from Audit Worksheet'!A149</f>
        <v>364</v>
      </c>
      <c r="B131" s="225" t="str">
        <f>'Unit Data from Audit Worksheet'!C149</f>
        <v>Electric Fund Revenue, Expenses &amp; Changes in Fund Net Position</v>
      </c>
      <c r="C131" s="211" t="str">
        <f>'Unit Data from Audit Worksheet'!D149</f>
        <v>Total all non-operating expenses.  
Include negative special, extraordinary, or capital contribution.</v>
      </c>
      <c r="D131" s="230"/>
      <c r="E131" s="231">
        <f>'Unit Data from Audit Worksheet'!F149</f>
        <v>0</v>
      </c>
      <c r="F131" s="224">
        <f>IF(L131&lt;0,"Error: Enter as a positive.",)</f>
        <v>0</v>
      </c>
      <c r="G131" s="226"/>
      <c r="H131" s="223"/>
      <c r="I131" s="32"/>
      <c r="J131" s="222">
        <v>364</v>
      </c>
      <c r="K131" s="221" t="s">
        <v>234</v>
      </c>
      <c r="L131" s="289">
        <f t="shared" si="15"/>
        <v>0</v>
      </c>
      <c r="P131" s="196"/>
      <c r="X131" s="552">
        <v>364</v>
      </c>
      <c r="Y131" s="286">
        <v>364</v>
      </c>
      <c r="AA131" s="386">
        <f t="shared" si="9"/>
        <v>0</v>
      </c>
      <c r="AB131" s="286">
        <f t="shared" si="10"/>
        <v>0</v>
      </c>
    </row>
    <row r="132" spans="1:28" ht="89.25" customHeight="1" x14ac:dyDescent="0.3">
      <c r="A132" s="212">
        <f>'Unit Data from Audit Worksheet'!A150</f>
        <v>192</v>
      </c>
      <c r="B132" s="225" t="str">
        <f>'Unit Data from Audit Worksheet'!C150</f>
        <v>Electric Fund Revenue, Expenses &amp; Changes in Fund Net Position</v>
      </c>
      <c r="C132" s="211" t="str">
        <f>'Unit Data from Audit Worksheet'!D150</f>
        <v>Capital Contributions.  
Include only positive capital Contributions.  Negative capital contributions should be included with 'Total all non-operating expenses.'</v>
      </c>
      <c r="D132" s="230"/>
      <c r="E132" s="231">
        <f>'Unit Data from Audit Worksheet'!F150</f>
        <v>0</v>
      </c>
      <c r="F132" s="224">
        <f>IF(L132&lt;0,"Error: Enter as a positive.",)</f>
        <v>0</v>
      </c>
      <c r="G132" s="226"/>
      <c r="H132" s="223"/>
      <c r="I132" s="32"/>
      <c r="J132" s="222">
        <v>192</v>
      </c>
      <c r="K132" s="221" t="s">
        <v>235</v>
      </c>
      <c r="L132" s="289">
        <f t="shared" si="15"/>
        <v>0</v>
      </c>
      <c r="P132" s="196"/>
      <c r="X132" s="552">
        <v>192</v>
      </c>
      <c r="Y132" s="286">
        <v>192</v>
      </c>
      <c r="AA132" s="386">
        <f t="shared" si="9"/>
        <v>0</v>
      </c>
      <c r="AB132" s="286">
        <f t="shared" si="10"/>
        <v>0</v>
      </c>
    </row>
    <row r="133" spans="1:28" s="386" customFormat="1" ht="89.25" customHeight="1" x14ac:dyDescent="0.3">
      <c r="A133" s="212">
        <f>'Unit Data from Audit Worksheet'!A151</f>
        <v>1054</v>
      </c>
      <c r="B133" s="225" t="str">
        <f>'Unit Data from Audit Worksheet'!C151</f>
        <v>Electric Fund Revenue, Expenses &amp; Changes in Fund Net Position</v>
      </c>
      <c r="C133" s="211" t="str">
        <f>'Unit Data from Audit Worksheet'!D151</f>
        <v xml:space="preserve"> Mark to Market unrealized losses in the Electric Fund. (enter as a negative number)</v>
      </c>
      <c r="D133" s="230"/>
      <c r="E133" s="231">
        <f>'Unit Data from Audit Worksheet'!F151</f>
        <v>0</v>
      </c>
      <c r="F133" s="224"/>
      <c r="G133" s="226"/>
      <c r="H133" s="223"/>
      <c r="I133" s="32"/>
      <c r="J133" s="222">
        <v>1054</v>
      </c>
      <c r="K133" s="211" t="s">
        <v>1516</v>
      </c>
      <c r="L133" s="289">
        <f t="shared" si="15"/>
        <v>0</v>
      </c>
      <c r="M133"/>
      <c r="P133" s="196"/>
      <c r="Q133" s="279"/>
      <c r="X133" s="552"/>
      <c r="Y133" s="286"/>
      <c r="AA133" s="386">
        <f t="shared" si="9"/>
        <v>0</v>
      </c>
      <c r="AB133" s="286"/>
    </row>
    <row r="134" spans="1:28" ht="42.75" customHeight="1" x14ac:dyDescent="0.3">
      <c r="A134" s="212">
        <f>'Unit Data from Audit Worksheet'!A152</f>
        <v>365</v>
      </c>
      <c r="B134" s="225" t="str">
        <f>'Unit Data from Audit Worksheet'!C152</f>
        <v>Electric Fund Revenue, Expenses &amp; Changes in Fund Net Position</v>
      </c>
      <c r="C134" s="211" t="str">
        <f>'Unit Data from Audit Worksheet'!D152</f>
        <v>Total Transfers In (From all Funds)</v>
      </c>
      <c r="D134" s="230"/>
      <c r="E134" s="231">
        <f>'Unit Data from Audit Worksheet'!F152</f>
        <v>0</v>
      </c>
      <c r="F134" s="224"/>
      <c r="G134" s="226"/>
      <c r="H134" s="223"/>
      <c r="I134" s="32"/>
      <c r="J134" s="222">
        <v>365</v>
      </c>
      <c r="K134" s="221" t="s">
        <v>236</v>
      </c>
      <c r="L134" s="289">
        <f t="shared" si="15"/>
        <v>0</v>
      </c>
      <c r="P134" s="196"/>
      <c r="X134" s="552">
        <v>365</v>
      </c>
      <c r="Y134" s="286">
        <v>365</v>
      </c>
      <c r="AA134" s="386">
        <f t="shared" si="9"/>
        <v>0</v>
      </c>
      <c r="AB134" s="286">
        <f t="shared" si="10"/>
        <v>0</v>
      </c>
    </row>
    <row r="135" spans="1:28" ht="42.75" customHeight="1" x14ac:dyDescent="0.3">
      <c r="A135" s="212">
        <f>'Unit Data from Audit Worksheet'!A153</f>
        <v>366</v>
      </c>
      <c r="B135" s="225" t="str">
        <f>'Unit Data from Audit Worksheet'!C153</f>
        <v>Electric Fund Revenue, Expenses &amp; Changes in Fund Net Position</v>
      </c>
      <c r="C135" s="211" t="str">
        <f>'Unit Data from Audit Worksheet'!D153</f>
        <v>Total Transfers Out (To all funds)</v>
      </c>
      <c r="D135" s="230"/>
      <c r="E135" s="231">
        <f>'Unit Data from Audit Worksheet'!F153</f>
        <v>0</v>
      </c>
      <c r="F135" s="224">
        <f>IF(L135&lt;0,"Error: Enter as a positive.",)</f>
        <v>0</v>
      </c>
      <c r="G135" s="226"/>
      <c r="H135" s="223"/>
      <c r="I135" s="32"/>
      <c r="J135" s="222">
        <v>366</v>
      </c>
      <c r="K135" s="221" t="s">
        <v>293</v>
      </c>
      <c r="L135" s="289">
        <f t="shared" si="15"/>
        <v>0</v>
      </c>
      <c r="P135" s="196"/>
      <c r="X135" s="552">
        <v>366</v>
      </c>
      <c r="Y135" s="286">
        <v>366</v>
      </c>
      <c r="AA135" s="386">
        <f t="shared" si="9"/>
        <v>0</v>
      </c>
      <c r="AB135" s="286">
        <f t="shared" si="10"/>
        <v>0</v>
      </c>
    </row>
    <row r="136" spans="1:28" s="18" customFormat="1" ht="76.5" customHeight="1" x14ac:dyDescent="0.3">
      <c r="A136" s="212">
        <f>'Unit Data from Audit Worksheet'!A154</f>
        <v>53</v>
      </c>
      <c r="B136" s="225" t="str">
        <f>'Unit Data from Audit Worksheet'!C154</f>
        <v>Electric Fund Revenue, Expenses &amp; Changes in Fund Net Position</v>
      </c>
      <c r="C136" s="211" t="str">
        <f>'Unit Data from Audit Worksheet'!D154</f>
        <v>Change in net position - Increase in net position is recorded as a positive and a (decrease) in net position is recorded as a negative.</v>
      </c>
      <c r="D136" s="230"/>
      <c r="E136" s="231">
        <f>'Unit Data from Audit Worksheet'!F154</f>
        <v>0</v>
      </c>
      <c r="F136" s="224">
        <f>IF(L125-L128+L130-L131+L132+L134-L135-L136=0,,"Error: Total revenues less total exp. does not equal change in net position Acct 93-94+363-364+192+365-366-53=0")</f>
        <v>0</v>
      </c>
      <c r="G136" s="84">
        <f>+L125-L128+L130-L131+L132+L134-L135-L136</f>
        <v>0</v>
      </c>
      <c r="H136" s="223"/>
      <c r="I136" s="32"/>
      <c r="J136" s="222">
        <v>53</v>
      </c>
      <c r="K136" s="221" t="s">
        <v>93</v>
      </c>
      <c r="L136" s="289">
        <f t="shared" si="15"/>
        <v>0</v>
      </c>
      <c r="M136"/>
      <c r="P136" s="196"/>
      <c r="Q136" s="279"/>
      <c r="R136" s="3"/>
      <c r="S136" s="3"/>
      <c r="T136" s="3"/>
      <c r="U136" s="3"/>
      <c r="V136" s="3"/>
      <c r="W136" s="3"/>
      <c r="X136" s="552">
        <v>53</v>
      </c>
      <c r="Y136" s="286">
        <v>53</v>
      </c>
      <c r="Z136" s="3"/>
      <c r="AA136" s="386">
        <f t="shared" si="9"/>
        <v>0</v>
      </c>
      <c r="AB136" s="286">
        <f t="shared" si="10"/>
        <v>0</v>
      </c>
    </row>
    <row r="137" spans="1:28" ht="140.25" customHeight="1" x14ac:dyDescent="0.3">
      <c r="A137" s="212">
        <f>'Unit Data from Audit Worksheet'!A155</f>
        <v>378</v>
      </c>
      <c r="B137" s="225" t="str">
        <f>'Unit Data from Audit Worksheet'!C155</f>
        <v>Electric Fund Revenue, Expenses &amp; Changes in Fund Net Position</v>
      </c>
      <c r="C137" s="211" t="str">
        <f>'Unit Data from Audit Worksheet'!D155</f>
        <v>Increases or (decreases) to beginning electric net position due to rounding, prior period adjustments and restatements.  Increase amounts to beginning net position should be entered as a positive amount and (decreases) should be entered as a negative amount.</v>
      </c>
      <c r="D137" s="230"/>
      <c r="E137" s="231">
        <f>+'Unit Data from Audit Worksheet'!F155</f>
        <v>0</v>
      </c>
      <c r="F137" s="224" t="e">
        <f>IF(L107-L136-L137=O107,,"Error: Beg. Bal does not agree with our records Acct 362-53-378= pr yr 362")</f>
        <v>#N/A</v>
      </c>
      <c r="G137" s="84" t="e">
        <f>L107-L136-L137-O107</f>
        <v>#N/A</v>
      </c>
      <c r="H137" s="223" t="e">
        <f>'Unit Data from Audit Worksheet'!I155</f>
        <v>#N/A</v>
      </c>
      <c r="I137" s="32"/>
      <c r="J137" s="222">
        <v>378</v>
      </c>
      <c r="K137" s="221" t="s">
        <v>102</v>
      </c>
      <c r="L137" s="289">
        <f t="shared" si="15"/>
        <v>0</v>
      </c>
      <c r="P137" s="196"/>
      <c r="X137" s="552">
        <v>378</v>
      </c>
      <c r="Y137" s="286">
        <v>378</v>
      </c>
      <c r="AA137" s="386">
        <f t="shared" si="9"/>
        <v>0</v>
      </c>
      <c r="AB137" s="286">
        <f t="shared" si="10"/>
        <v>0</v>
      </c>
    </row>
    <row r="138" spans="1:28" ht="28.8" x14ac:dyDescent="0.3">
      <c r="A138" s="212">
        <f>'Unit Data from Audit Worksheet'!A160</f>
        <v>51</v>
      </c>
      <c r="B138" s="225" t="str">
        <f>'Unit Data from Audit Worksheet'!C160</f>
        <v>Water Sewer Cash Flow Statement</v>
      </c>
      <c r="C138" s="211" t="str">
        <f>'Unit Data from Audit Worksheet'!D160</f>
        <v>Total Cash flow from operating activities  - (Enter negative cash flows as negative)</v>
      </c>
      <c r="D138" s="230"/>
      <c r="E138" s="231">
        <f>'Unit Data from Audit Worksheet'!F160</f>
        <v>0</v>
      </c>
      <c r="F138" s="224"/>
      <c r="G138" s="226"/>
      <c r="H138" s="223"/>
      <c r="I138" s="32"/>
      <c r="J138" s="222">
        <v>51</v>
      </c>
      <c r="K138" s="221" t="s">
        <v>237</v>
      </c>
      <c r="L138" s="289">
        <f t="shared" si="15"/>
        <v>0</v>
      </c>
      <c r="P138" s="196"/>
      <c r="X138" s="552">
        <v>51</v>
      </c>
      <c r="Y138" s="286">
        <v>51</v>
      </c>
      <c r="AA138" s="386">
        <f t="shared" ref="AA138:AA209" si="16">A138-J138</f>
        <v>0</v>
      </c>
      <c r="AB138" s="286">
        <f t="shared" ref="AB138:AB209" si="17">E138-L138</f>
        <v>0</v>
      </c>
    </row>
    <row r="139" spans="1:28" ht="64.5" customHeight="1" x14ac:dyDescent="0.3">
      <c r="A139" s="212">
        <f>'Unit Data from Audit Worksheet'!A161</f>
        <v>332</v>
      </c>
      <c r="B139" s="225" t="str">
        <f>'Unit Data from Audit Worksheet'!C161</f>
        <v>Water Sewer Cash Flow Statement</v>
      </c>
      <c r="C139" s="211" t="str">
        <f>'Unit Data from Audit Worksheet'!D161</f>
        <v>Total Capital outlay. 
Include acquisition and construction of capital assets.</v>
      </c>
      <c r="D139" s="230"/>
      <c r="E139" s="231">
        <f>'Unit Data from Audit Worksheet'!F161</f>
        <v>0</v>
      </c>
      <c r="F139" s="224">
        <f>IF(L139&lt;0,"Error: Enter as a positive.",)</f>
        <v>0</v>
      </c>
      <c r="G139" s="226"/>
      <c r="H139" s="223"/>
      <c r="I139" s="32"/>
      <c r="J139" s="222">
        <v>332</v>
      </c>
      <c r="K139" s="221" t="s">
        <v>239</v>
      </c>
      <c r="L139" s="289">
        <f t="shared" si="15"/>
        <v>0</v>
      </c>
      <c r="O139" s="296"/>
      <c r="P139" s="196"/>
      <c r="X139" s="552">
        <v>332</v>
      </c>
      <c r="Y139" s="286">
        <v>332</v>
      </c>
      <c r="AA139" s="386">
        <f t="shared" si="16"/>
        <v>0</v>
      </c>
      <c r="AB139" s="286">
        <f t="shared" si="17"/>
        <v>0</v>
      </c>
    </row>
    <row r="140" spans="1:28" ht="58.5" customHeight="1" x14ac:dyDescent="0.3">
      <c r="A140" s="212">
        <f>'Unit Data from Audit Worksheet'!A162</f>
        <v>331</v>
      </c>
      <c r="B140" s="225" t="str">
        <f>'Unit Data from Audit Worksheet'!C162</f>
        <v>Water Sewer Cash Flow Statement</v>
      </c>
      <c r="C140" s="211" t="str">
        <f>'Unit Data from Audit Worksheet'!D162</f>
        <v>Principal paid on long-term debt.  Amount should be reduced by principal payments for debt refunding.</v>
      </c>
      <c r="D140" s="230"/>
      <c r="E140" s="231">
        <f>'Unit Data from Audit Worksheet'!F162</f>
        <v>0</v>
      </c>
      <c r="F140" s="224">
        <f>IF(L140&lt;0,"Error: Enter as a positive.",)</f>
        <v>0</v>
      </c>
      <c r="G140" s="226"/>
      <c r="H140" s="223"/>
      <c r="I140" s="32"/>
      <c r="J140" s="222">
        <v>331</v>
      </c>
      <c r="K140" s="221" t="s">
        <v>238</v>
      </c>
      <c r="L140" s="289">
        <f t="shared" si="15"/>
        <v>0</v>
      </c>
      <c r="O140" s="296"/>
      <c r="P140" s="196"/>
      <c r="X140" s="552">
        <v>331</v>
      </c>
      <c r="Y140" s="286">
        <v>331</v>
      </c>
      <c r="AA140" s="386">
        <f t="shared" si="16"/>
        <v>0</v>
      </c>
      <c r="AB140" s="286">
        <f t="shared" si="17"/>
        <v>0</v>
      </c>
    </row>
    <row r="141" spans="1:28" ht="51.75" customHeight="1" x14ac:dyDescent="0.3">
      <c r="A141" s="212">
        <f>'Unit Data from Audit Worksheet'!A164</f>
        <v>55</v>
      </c>
      <c r="B141" s="225" t="str">
        <f>'Unit Data from Audit Worksheet'!C164</f>
        <v>Electric Fund Cash Flow Statement</v>
      </c>
      <c r="C141" s="211" t="str">
        <f>'Unit Data from Audit Worksheet'!D164</f>
        <v>Cash flow from operating activities - (enter negative cash flows as negative)</v>
      </c>
      <c r="D141" s="230"/>
      <c r="E141" s="231">
        <f>'Unit Data from Audit Worksheet'!F164</f>
        <v>0</v>
      </c>
      <c r="F141" s="224"/>
      <c r="G141" s="226"/>
      <c r="H141" s="223"/>
      <c r="I141" s="32"/>
      <c r="J141" s="222">
        <v>55</v>
      </c>
      <c r="K141" s="221" t="s">
        <v>240</v>
      </c>
      <c r="L141" s="289">
        <f t="shared" si="15"/>
        <v>0</v>
      </c>
      <c r="P141" s="196"/>
      <c r="X141" s="552">
        <v>55</v>
      </c>
      <c r="Y141" s="286">
        <v>55</v>
      </c>
      <c r="AA141" s="386">
        <f t="shared" si="16"/>
        <v>0</v>
      </c>
      <c r="AB141" s="286">
        <f t="shared" si="17"/>
        <v>0</v>
      </c>
    </row>
    <row r="142" spans="1:28" ht="58.5" customHeight="1" x14ac:dyDescent="0.3">
      <c r="A142" s="212">
        <f>'Unit Data from Audit Worksheet'!A165</f>
        <v>101</v>
      </c>
      <c r="B142" s="225" t="str">
        <f>'Unit Data from Audit Worksheet'!C165</f>
        <v>Electric Fund Cash Flow Statement</v>
      </c>
      <c r="C142" s="211" t="str">
        <f>'Unit Data from Audit Worksheet'!D165</f>
        <v>Total Capital outlay.  
Include acquisition and construction of capital assets.</v>
      </c>
      <c r="D142" s="230"/>
      <c r="E142" s="231">
        <f>'Unit Data from Audit Worksheet'!F165</f>
        <v>0</v>
      </c>
      <c r="F142" s="224">
        <f>IF(L142&lt;0,"Error: Enter as a positive.",)</f>
        <v>0</v>
      </c>
      <c r="G142" s="226"/>
      <c r="H142" s="223"/>
      <c r="I142" s="32"/>
      <c r="J142" s="222">
        <v>101</v>
      </c>
      <c r="K142" s="221" t="s">
        <v>241</v>
      </c>
      <c r="L142" s="289">
        <f t="shared" si="15"/>
        <v>0</v>
      </c>
      <c r="P142" s="196"/>
      <c r="X142" s="552">
        <v>101</v>
      </c>
      <c r="Y142" s="286">
        <v>101</v>
      </c>
      <c r="AA142" s="386">
        <f t="shared" si="16"/>
        <v>0</v>
      </c>
      <c r="AB142" s="286">
        <f t="shared" si="17"/>
        <v>0</v>
      </c>
    </row>
    <row r="143" spans="1:28" ht="60.75" customHeight="1" x14ac:dyDescent="0.3">
      <c r="A143" s="212">
        <f>'Unit Data from Audit Worksheet'!A166</f>
        <v>100</v>
      </c>
      <c r="B143" s="225" t="str">
        <f>'Unit Data from Audit Worksheet'!C166</f>
        <v>Electric Fund Cash Flow Statement</v>
      </c>
      <c r="C143" s="211" t="str">
        <f>'Unit Data from Audit Worksheet'!D166</f>
        <v>Principal paid on long-term debt.  Amount should be reduced by principal payments for debt refunding.</v>
      </c>
      <c r="D143" s="230"/>
      <c r="E143" s="231">
        <f>'Unit Data from Audit Worksheet'!F166</f>
        <v>0</v>
      </c>
      <c r="F143" s="224">
        <f>IF(L143&lt;0,"Error: Enter as a positive.",)</f>
        <v>0</v>
      </c>
      <c r="G143" s="226"/>
      <c r="H143" s="223"/>
      <c r="I143" s="32"/>
      <c r="J143" s="222">
        <v>100</v>
      </c>
      <c r="K143" s="221" t="s">
        <v>242</v>
      </c>
      <c r="L143" s="289">
        <f t="shared" si="15"/>
        <v>0</v>
      </c>
      <c r="P143" s="196"/>
      <c r="X143" s="552">
        <v>100</v>
      </c>
      <c r="Y143" s="286">
        <v>100</v>
      </c>
      <c r="AA143" s="386">
        <f t="shared" si="16"/>
        <v>0</v>
      </c>
      <c r="AB143" s="286">
        <f t="shared" si="17"/>
        <v>0</v>
      </c>
    </row>
    <row r="144" spans="1:28" s="386" customFormat="1" ht="95.4" customHeight="1" x14ac:dyDescent="0.3">
      <c r="A144" s="212">
        <f>'Unit Data from Audit Worksheet'!A168</f>
        <v>1060</v>
      </c>
      <c r="B144" s="225">
        <f>'Unit Data from Audit Worksheet'!C168</f>
        <v>0</v>
      </c>
      <c r="C144" s="211" t="str">
        <f>'Unit Data from Audit Worksheet'!D168</f>
        <v>Total American Rescue Plan Act (ARPA) of 2021-Coronavrius State &amp; Local Fiscal Recovery Funds actually expended since inception as of June 30th.  Do not include encumbered funds in this number.</v>
      </c>
      <c r="D144" s="230"/>
      <c r="E144" s="231">
        <f>'Unit Data from Audit Worksheet'!F168</f>
        <v>0</v>
      </c>
      <c r="F144" s="224"/>
      <c r="G144" s="226"/>
      <c r="H144" s="223"/>
      <c r="I144" s="32"/>
      <c r="J144" s="222">
        <v>1060</v>
      </c>
      <c r="K144" s="211" t="s">
        <v>1517</v>
      </c>
      <c r="L144" s="289">
        <f t="shared" si="15"/>
        <v>0</v>
      </c>
      <c r="M144"/>
      <c r="P144" s="196"/>
      <c r="Q144" s="279"/>
      <c r="X144" s="552"/>
      <c r="Y144" s="286"/>
      <c r="AB144" s="286"/>
    </row>
    <row r="145" spans="1:28" s="386" customFormat="1" ht="85.95" customHeight="1" x14ac:dyDescent="0.3">
      <c r="A145" s="212">
        <f>'Unit Data from Audit Worksheet'!A169</f>
        <v>1061</v>
      </c>
      <c r="B145" s="225">
        <f>'Unit Data from Audit Worksheet'!C169</f>
        <v>0</v>
      </c>
      <c r="C145" s="211" t="str">
        <f>'Unit Data from Audit Worksheet'!D169</f>
        <v>Total American Rescue Plan Act (ARPA) of 2021-Coronavrius State &amp; Local Fiscal Recovery Funds encumbered or obligated and not yet expended since inception as of June 30th.</v>
      </c>
      <c r="D145" s="230"/>
      <c r="E145" s="231">
        <f>'Unit Data from Audit Worksheet'!F169</f>
        <v>0</v>
      </c>
      <c r="F145" s="224"/>
      <c r="G145" s="226"/>
      <c r="H145" s="223"/>
      <c r="I145" s="32"/>
      <c r="J145" s="222">
        <v>1061</v>
      </c>
      <c r="K145" s="211" t="s">
        <v>1601</v>
      </c>
      <c r="L145" s="289">
        <f t="shared" si="15"/>
        <v>0</v>
      </c>
      <c r="M145"/>
      <c r="P145" s="196"/>
      <c r="Q145" s="279"/>
      <c r="X145" s="552"/>
      <c r="Y145" s="286"/>
      <c r="AB145" s="286"/>
    </row>
    <row r="146" spans="1:28" s="386" customFormat="1" ht="81.599999999999994" customHeight="1" x14ac:dyDescent="0.3">
      <c r="A146" s="212">
        <f>'Unit Data from Audit Worksheet'!A170</f>
        <v>1062</v>
      </c>
      <c r="B146" s="225">
        <f>'Unit Data from Audit Worksheet'!C170</f>
        <v>0</v>
      </c>
      <c r="C146" s="211" t="str">
        <f>'Unit Data from Audit Worksheet'!D170</f>
        <v xml:space="preserve">Are the American Rescue Plan Act (ARPA) of 2021-Coronavrius State &amp; Local Fiscal Recovery Funds on target to be committed by December 31, 2024? (Yes = 1 or No = 2or N/A = 3 if unit did not receive funds) </v>
      </c>
      <c r="D146" s="230"/>
      <c r="E146" s="231">
        <f>'Unit Data from Audit Worksheet'!F170</f>
        <v>0</v>
      </c>
      <c r="F146" s="224"/>
      <c r="G146" s="224"/>
      <c r="H146" s="223"/>
      <c r="I146" s="32"/>
      <c r="J146" s="222">
        <v>1062</v>
      </c>
      <c r="K146" s="211" t="s">
        <v>1600</v>
      </c>
      <c r="L146" s="289">
        <f t="shared" si="15"/>
        <v>0</v>
      </c>
      <c r="M146"/>
      <c r="P146" s="196"/>
      <c r="Q146" s="279"/>
      <c r="X146" s="552"/>
      <c r="Y146" s="286"/>
      <c r="AB146" s="286"/>
    </row>
    <row r="147" spans="1:28" s="386" customFormat="1" ht="99.6" customHeight="1" x14ac:dyDescent="0.3">
      <c r="A147" s="212">
        <f>'Unit Data from Audit Worksheet'!A171</f>
        <v>1063</v>
      </c>
      <c r="B147" s="225">
        <f>'Unit Data from Audit Worksheet'!C171</f>
        <v>0</v>
      </c>
      <c r="C147" s="211" t="str">
        <f>'Unit Data from Audit Worksheet'!D171</f>
        <v>Are the American Rescue Plan Act (ARPA) of 2021-Coronavrius State &amp; Local Fiscal Recovery Funds on target to be completely expended by December 31, 2026? (Yes = 1 or No = 2 or N/A = 3 if unit did not receive funds)</v>
      </c>
      <c r="D147" s="230"/>
      <c r="E147" s="231">
        <f>'Unit Data from Audit Worksheet'!F171</f>
        <v>0</v>
      </c>
      <c r="F147" s="224"/>
      <c r="G147" s="226"/>
      <c r="H147" s="223"/>
      <c r="I147" s="32"/>
      <c r="J147" s="222">
        <v>1063</v>
      </c>
      <c r="K147" s="211" t="s">
        <v>1602</v>
      </c>
      <c r="L147" s="289">
        <f t="shared" si="15"/>
        <v>0</v>
      </c>
      <c r="M147"/>
      <c r="P147" s="196"/>
      <c r="Q147" s="279"/>
      <c r="X147" s="552"/>
      <c r="Y147" s="286"/>
      <c r="AB147" s="286"/>
    </row>
    <row r="148" spans="1:28" ht="71.25" customHeight="1" x14ac:dyDescent="0.3">
      <c r="A148" s="212">
        <f>'Unit Data from Audit Worksheet'!A173</f>
        <v>512</v>
      </c>
      <c r="B148" s="225" t="str">
        <f>'Unit Data from Audit Worksheet'!C173</f>
        <v>Fiduciary Statements</v>
      </c>
      <c r="C148" s="211" t="str">
        <f>'Unit Data from Audit Worksheet'!D173</f>
        <v>Cash and investments.  
Include:  unrestricted and restricted.  
                   cash and investments held 
                   by a third party</v>
      </c>
      <c r="D148" s="230"/>
      <c r="E148" s="231">
        <f>'Unit Data from Audit Worksheet'!F173</f>
        <v>0</v>
      </c>
      <c r="F148" s="224">
        <f>IF(L148&lt;0,"Error: Number is normally positive.",)</f>
        <v>0</v>
      </c>
      <c r="G148" s="226"/>
      <c r="H148" s="223"/>
      <c r="I148" s="32"/>
      <c r="J148" s="222">
        <v>512</v>
      </c>
      <c r="K148" s="221" t="s">
        <v>243</v>
      </c>
      <c r="L148" s="289">
        <f t="shared" si="15"/>
        <v>0</v>
      </c>
      <c r="P148" s="196"/>
      <c r="X148" s="552">
        <v>512</v>
      </c>
      <c r="Y148" s="286">
        <v>512</v>
      </c>
      <c r="AA148" s="386">
        <f t="shared" si="16"/>
        <v>0</v>
      </c>
      <c r="AB148" s="286">
        <f t="shared" si="17"/>
        <v>0</v>
      </c>
    </row>
    <row r="149" spans="1:28" ht="62.25" customHeight="1" x14ac:dyDescent="0.3">
      <c r="A149" s="212">
        <f>'Unit Data from Audit Worksheet'!A175</f>
        <v>656</v>
      </c>
      <c r="B149" s="225">
        <f>'Unit Data from Audit Worksheet'!C175</f>
        <v>0</v>
      </c>
      <c r="C149" s="211" t="str">
        <f>'Unit Data from Audit Worksheet'!D175</f>
        <v>Do you use prepared food/occupancy tax revenue stream to support debt?  Select "1" for Yes and "2" for No from drop down list.</v>
      </c>
      <c r="D149" s="129"/>
      <c r="E149" s="231">
        <f>'Unit Data from Audit Worksheet'!F175</f>
        <v>0</v>
      </c>
      <c r="F149" s="224"/>
      <c r="G149" s="226"/>
      <c r="H149" s="223"/>
      <c r="I149" s="32"/>
      <c r="J149" s="222">
        <v>656</v>
      </c>
      <c r="K149" s="228" t="s">
        <v>422</v>
      </c>
      <c r="L149" s="313">
        <f>E149</f>
        <v>0</v>
      </c>
      <c r="N149" s="18"/>
      <c r="O149" s="18"/>
      <c r="P149" s="196"/>
      <c r="X149" s="552">
        <v>656</v>
      </c>
      <c r="Y149" s="286">
        <v>656</v>
      </c>
      <c r="AA149" s="386">
        <f t="shared" si="16"/>
        <v>0</v>
      </c>
      <c r="AB149" s="286">
        <f t="shared" si="17"/>
        <v>0</v>
      </c>
    </row>
    <row r="150" spans="1:28" s="18" customFormat="1" ht="102.75" customHeight="1" x14ac:dyDescent="0.3">
      <c r="A150" s="212">
        <f>'Unit Data from Audit Worksheet'!A177</f>
        <v>535</v>
      </c>
      <c r="B150" s="225" t="str">
        <f>'Unit Data from Audit Worksheet'!C177</f>
        <v>Cash and Investment Note</v>
      </c>
      <c r="C150" s="211" t="str">
        <f>'Unit Data from Audit Worksheet'!D177</f>
        <v>Cash and Investment - Please list the book value of any unspent debt proceeds (bonds, installment, etc.) in any funds as of June 30.  This information may be on the face of your statements or in the notes</v>
      </c>
      <c r="D150" s="230"/>
      <c r="E150" s="231">
        <f>'Unit Data from Audit Worksheet'!F177</f>
        <v>0</v>
      </c>
      <c r="F150" s="80" t="str">
        <f>IF(L150&gt;1,,"Reminder: Please make sure you have entered all cash and investments from bond proceeds, if applicable")</f>
        <v>Reminder: Please make sure you have entered all cash and investments from bond proceeds, if applicable</v>
      </c>
      <c r="G150" s="226"/>
      <c r="H150" s="223"/>
      <c r="I150" s="32"/>
      <c r="J150" s="222">
        <v>535</v>
      </c>
      <c r="K150" s="55" t="s">
        <v>244</v>
      </c>
      <c r="L150" s="289">
        <f t="shared" si="15"/>
        <v>0</v>
      </c>
      <c r="M150"/>
      <c r="P150" s="196"/>
      <c r="Q150" s="279"/>
      <c r="R150" s="3"/>
      <c r="S150" s="3"/>
      <c r="T150" s="3"/>
      <c r="U150" s="3"/>
      <c r="V150" s="3"/>
      <c r="W150" s="3"/>
      <c r="X150" s="552">
        <v>535</v>
      </c>
      <c r="Y150" s="286">
        <v>535</v>
      </c>
      <c r="Z150" s="3"/>
      <c r="AA150" s="386">
        <f t="shared" si="16"/>
        <v>0</v>
      </c>
      <c r="AB150" s="286">
        <f t="shared" si="17"/>
        <v>0</v>
      </c>
    </row>
    <row r="151" spans="1:28" ht="45.75" customHeight="1" x14ac:dyDescent="0.3">
      <c r="A151" s="212">
        <f>'Unit Data from Audit Worksheet'!A181</f>
        <v>334</v>
      </c>
      <c r="B151" s="225" t="str">
        <f>'Unit Data from Audit Worksheet'!C181</f>
        <v>Gov.-Capital Assets Schedule in the Notes</v>
      </c>
      <c r="C151" s="211" t="str">
        <f>'Unit Data from Audit Worksheet'!D181</f>
        <v>Gross value.  
Exclude non-depreciable.</v>
      </c>
      <c r="D151" s="230"/>
      <c r="E151" s="231">
        <f>'Unit Data from Audit Worksheet'!F181</f>
        <v>0</v>
      </c>
      <c r="F151" s="80"/>
      <c r="G151" s="226"/>
      <c r="H151" s="223"/>
      <c r="I151" s="32"/>
      <c r="J151" s="222">
        <v>334</v>
      </c>
      <c r="K151" s="55" t="s">
        <v>261</v>
      </c>
      <c r="L151" s="289">
        <f t="shared" si="15"/>
        <v>0</v>
      </c>
      <c r="P151" s="196"/>
      <c r="X151" s="552">
        <v>334</v>
      </c>
      <c r="Y151" s="286">
        <v>334</v>
      </c>
      <c r="AA151" s="386">
        <f t="shared" si="16"/>
        <v>0</v>
      </c>
      <c r="AB151" s="286">
        <f t="shared" si="17"/>
        <v>0</v>
      </c>
    </row>
    <row r="152" spans="1:28" ht="57" customHeight="1" x14ac:dyDescent="0.3">
      <c r="A152" s="212">
        <f>'Unit Data from Audit Worksheet'!A182</f>
        <v>373</v>
      </c>
      <c r="B152" s="225" t="str">
        <f>'Unit Data from Audit Worksheet'!C182</f>
        <v>Gov.-Capital Assets Schedule in the Notes</v>
      </c>
      <c r="C152" s="211" t="str">
        <f>'Unit Data from Audit Worksheet'!D182</f>
        <v>Accumulated depreciation</v>
      </c>
      <c r="D152" s="230"/>
      <c r="E152" s="231">
        <f>'Unit Data from Audit Worksheet'!F182</f>
        <v>0</v>
      </c>
      <c r="F152" s="80"/>
      <c r="G152" s="226"/>
      <c r="H152" s="223"/>
      <c r="I152" s="32"/>
      <c r="J152" s="222">
        <v>373</v>
      </c>
      <c r="K152" s="52" t="s">
        <v>304</v>
      </c>
      <c r="L152" s="289">
        <f t="shared" si="15"/>
        <v>0</v>
      </c>
      <c r="P152" s="196"/>
      <c r="X152" s="552">
        <v>373</v>
      </c>
      <c r="Y152" s="286">
        <v>373</v>
      </c>
      <c r="AA152" s="386">
        <f t="shared" si="16"/>
        <v>0</v>
      </c>
      <c r="AB152" s="286">
        <f t="shared" si="17"/>
        <v>0</v>
      </c>
    </row>
    <row r="153" spans="1:28" ht="102.75" customHeight="1" x14ac:dyDescent="0.3">
      <c r="A153" s="212">
        <f>'Unit Data from Audit Worksheet'!A183</f>
        <v>987</v>
      </c>
      <c r="B153" s="225">
        <f>'Unit Data from Audit Worksheet'!C183</f>
        <v>0</v>
      </c>
      <c r="C153" s="211" t="str">
        <f>'Unit Data from Audit Worksheet'!D183</f>
        <v xml:space="preserve">Estimated cost not yet budgeted of any mandate placed on unit by DEQ, a court order or some similar requirement (that has no realistic appeal path). </v>
      </c>
      <c r="D153" s="230"/>
      <c r="E153" s="231">
        <f>'Unit Data from Audit Worksheet'!F183</f>
        <v>0</v>
      </c>
      <c r="F153" s="80"/>
      <c r="G153" s="226"/>
      <c r="H153" s="223"/>
      <c r="I153" s="32"/>
      <c r="J153" s="222">
        <v>987</v>
      </c>
      <c r="K153" s="52" t="s">
        <v>648</v>
      </c>
      <c r="L153" s="295">
        <f t="shared" si="15"/>
        <v>0</v>
      </c>
      <c r="P153" s="196"/>
      <c r="X153" s="552">
        <v>987</v>
      </c>
      <c r="Y153" s="286">
        <v>987</v>
      </c>
      <c r="AA153" s="386">
        <f t="shared" si="16"/>
        <v>0</v>
      </c>
      <c r="AB153" s="286">
        <f t="shared" si="17"/>
        <v>0</v>
      </c>
    </row>
    <row r="154" spans="1:28" ht="69" customHeight="1" x14ac:dyDescent="0.3">
      <c r="A154" s="212">
        <f>'Unit Data from Audit Worksheet'!A184</f>
        <v>988</v>
      </c>
      <c r="B154" s="225">
        <f>'Unit Data from Audit Worksheet'!C184</f>
        <v>0</v>
      </c>
      <c r="C154" s="211" t="str">
        <f>'Unit Data from Audit Worksheet'!D184</f>
        <v>Do you operate a landfill that will be closing  or have a significant portion closing within the next 5 years?  Select "1" for Yes and "2" for No</v>
      </c>
      <c r="D154" s="230"/>
      <c r="E154" s="231">
        <f>'Unit Data from Audit Worksheet'!F184</f>
        <v>0</v>
      </c>
      <c r="F154" s="80"/>
      <c r="G154" s="226"/>
      <c r="H154" s="223"/>
      <c r="I154" s="32"/>
      <c r="J154" s="222">
        <v>988</v>
      </c>
      <c r="K154" s="52" t="s">
        <v>876</v>
      </c>
      <c r="L154" s="295">
        <f t="shared" si="15"/>
        <v>0</v>
      </c>
      <c r="P154" s="196"/>
      <c r="X154" s="552">
        <v>988</v>
      </c>
      <c r="Y154" s="286">
        <v>988</v>
      </c>
      <c r="AA154" s="386">
        <f t="shared" si="16"/>
        <v>0</v>
      </c>
      <c r="AB154" s="286">
        <f t="shared" si="17"/>
        <v>0</v>
      </c>
    </row>
    <row r="155" spans="1:28" ht="95.25" customHeight="1" x14ac:dyDescent="0.3">
      <c r="A155" s="212">
        <f>'Unit Data from Audit Worksheet'!A185</f>
        <v>989</v>
      </c>
      <c r="B155" s="225">
        <f>'Unit Data from Audit Worksheet'!C185</f>
        <v>0</v>
      </c>
      <c r="C155" s="211" t="str">
        <f>'Unit Data from Audit Worksheet'!D185</f>
        <v>If you answered "yes" to question #988 above, will you have the closure/postclosure cost fully funded by the date of closure?  Select "1" for Yes,  "2" for No, or "3" for N/A.</v>
      </c>
      <c r="D155" s="230"/>
      <c r="E155" s="231">
        <f>'Unit Data from Audit Worksheet'!F185</f>
        <v>0</v>
      </c>
      <c r="F155" s="80"/>
      <c r="G155" s="226"/>
      <c r="H155" s="223"/>
      <c r="I155" s="32"/>
      <c r="J155" s="222">
        <v>989</v>
      </c>
      <c r="K155" s="52" t="s">
        <v>810</v>
      </c>
      <c r="L155" s="295">
        <f t="shared" si="15"/>
        <v>0</v>
      </c>
      <c r="P155" s="196"/>
      <c r="X155" s="552">
        <v>989</v>
      </c>
      <c r="Y155" s="286">
        <v>989</v>
      </c>
      <c r="AA155" s="386">
        <f t="shared" si="16"/>
        <v>0</v>
      </c>
      <c r="AB155" s="286">
        <f t="shared" si="17"/>
        <v>0</v>
      </c>
    </row>
    <row r="156" spans="1:28" ht="57" customHeight="1" x14ac:dyDescent="0.3">
      <c r="A156" s="212">
        <f>'Unit Data from Audit Worksheet'!A189</f>
        <v>327</v>
      </c>
      <c r="B156" s="225" t="str">
        <f>'Unit Data from Audit Worksheet'!C189</f>
        <v>WS-Capital Assets Schedule in the Notes</v>
      </c>
      <c r="C156" s="211" t="str">
        <f>'Unit Data from Audit Worksheet'!D189</f>
        <v>Land and all other non depreciable capital assets 
Exclude construction in progress</v>
      </c>
      <c r="D156" s="230"/>
      <c r="E156" s="231">
        <f>'Unit Data from Audit Worksheet'!F189</f>
        <v>0</v>
      </c>
      <c r="F156" s="80"/>
      <c r="G156" s="226"/>
      <c r="H156" s="223"/>
      <c r="I156" s="32"/>
      <c r="J156" s="222">
        <v>327</v>
      </c>
      <c r="K156" s="52" t="s">
        <v>305</v>
      </c>
      <c r="L156" s="289">
        <f t="shared" si="15"/>
        <v>0</v>
      </c>
      <c r="P156" s="196"/>
      <c r="X156" s="552">
        <v>327</v>
      </c>
      <c r="Y156" s="286">
        <v>327</v>
      </c>
      <c r="AA156" s="386">
        <f t="shared" si="16"/>
        <v>0</v>
      </c>
      <c r="AB156" s="286">
        <f t="shared" si="17"/>
        <v>0</v>
      </c>
    </row>
    <row r="157" spans="1:28" ht="57" customHeight="1" x14ac:dyDescent="0.3">
      <c r="A157" s="212">
        <f>'Unit Data from Audit Worksheet'!A190</f>
        <v>328</v>
      </c>
      <c r="B157" s="225" t="str">
        <f>'Unit Data from Audit Worksheet'!C190</f>
        <v>WS-Capital Assets Schedule in the Notes</v>
      </c>
      <c r="C157" s="211" t="str">
        <f>'Unit Data from Audit Worksheet'!D190</f>
        <v>Construction in progress</v>
      </c>
      <c r="D157" s="230"/>
      <c r="E157" s="231">
        <f>'Unit Data from Audit Worksheet'!F190</f>
        <v>0</v>
      </c>
      <c r="F157" s="80"/>
      <c r="G157" s="226"/>
      <c r="H157" s="223"/>
      <c r="I157" s="32"/>
      <c r="J157" s="222">
        <v>328</v>
      </c>
      <c r="K157" s="52" t="s">
        <v>306</v>
      </c>
      <c r="L157" s="289">
        <f t="shared" si="15"/>
        <v>0</v>
      </c>
      <c r="P157" s="196"/>
      <c r="X157" s="552">
        <v>328</v>
      </c>
      <c r="Y157" s="286">
        <v>328</v>
      </c>
      <c r="AA157" s="386">
        <f t="shared" si="16"/>
        <v>0</v>
      </c>
      <c r="AB157" s="286">
        <f t="shared" si="17"/>
        <v>0</v>
      </c>
    </row>
    <row r="158" spans="1:28" ht="46.5" customHeight="1" x14ac:dyDescent="0.3">
      <c r="A158" s="212">
        <f>'Unit Data from Audit Worksheet'!A194</f>
        <v>515</v>
      </c>
      <c r="B158" s="225" t="str">
        <f>'Unit Data from Audit Worksheet'!C194</f>
        <v>WS Capital Assets Schedule-Gross Value</v>
      </c>
      <c r="C158" s="211" t="str">
        <f>'Unit Data from Audit Worksheet'!D194</f>
        <v>Buildings</v>
      </c>
      <c r="D158" s="230"/>
      <c r="E158" s="231">
        <f>'Unit Data from Audit Worksheet'!F194</f>
        <v>0</v>
      </c>
      <c r="F158" s="80"/>
      <c r="G158" s="226"/>
      <c r="H158" s="223"/>
      <c r="I158" s="32"/>
      <c r="J158" s="222">
        <v>515</v>
      </c>
      <c r="K158" s="52" t="s">
        <v>262</v>
      </c>
      <c r="L158" s="289">
        <f t="shared" si="15"/>
        <v>0</v>
      </c>
      <c r="P158" s="196"/>
      <c r="X158" s="552">
        <v>515</v>
      </c>
      <c r="Y158" s="286">
        <v>515</v>
      </c>
      <c r="AA158" s="386">
        <f t="shared" si="16"/>
        <v>0</v>
      </c>
      <c r="AB158" s="286">
        <f t="shared" si="17"/>
        <v>0</v>
      </c>
    </row>
    <row r="159" spans="1:28" ht="46.5" customHeight="1" x14ac:dyDescent="0.3">
      <c r="A159" s="212">
        <f>'Unit Data from Audit Worksheet'!A195</f>
        <v>516</v>
      </c>
      <c r="B159" s="225" t="str">
        <f>'Unit Data from Audit Worksheet'!C195</f>
        <v>WS Capital Assets Schedule-Gross Value</v>
      </c>
      <c r="C159" s="211" t="str">
        <f>'Unit Data from Audit Worksheet'!D195</f>
        <v>Plant / distributions systems / water lines</v>
      </c>
      <c r="D159" s="230"/>
      <c r="E159" s="231">
        <f>'Unit Data from Audit Worksheet'!F195</f>
        <v>0</v>
      </c>
      <c r="F159" s="80"/>
      <c r="G159" s="226"/>
      <c r="H159" s="223"/>
      <c r="I159" s="32"/>
      <c r="J159" s="222">
        <v>516</v>
      </c>
      <c r="K159" s="52" t="s">
        <v>263</v>
      </c>
      <c r="L159" s="289">
        <f t="shared" si="15"/>
        <v>0</v>
      </c>
      <c r="P159" s="196"/>
      <c r="X159" s="552">
        <v>516</v>
      </c>
      <c r="Y159" s="286">
        <v>516</v>
      </c>
      <c r="AA159" s="386">
        <f t="shared" si="16"/>
        <v>0</v>
      </c>
      <c r="AB159" s="286">
        <f t="shared" si="17"/>
        <v>0</v>
      </c>
    </row>
    <row r="160" spans="1:28" ht="46.5" customHeight="1" x14ac:dyDescent="0.3">
      <c r="A160" s="212">
        <f>'Unit Data from Audit Worksheet'!A196</f>
        <v>517</v>
      </c>
      <c r="B160" s="225" t="str">
        <f>'Unit Data from Audit Worksheet'!C196</f>
        <v>WS Capital Assets Schedule-Gross Value</v>
      </c>
      <c r="C160" s="211" t="str">
        <f>'Unit Data from Audit Worksheet'!D196</f>
        <v>Infrastructure(other infrastructure)</v>
      </c>
      <c r="D160" s="230"/>
      <c r="E160" s="231">
        <f>'Unit Data from Audit Worksheet'!F196</f>
        <v>0</v>
      </c>
      <c r="F160" s="80"/>
      <c r="G160" s="226"/>
      <c r="H160" s="223"/>
      <c r="I160" s="32"/>
      <c r="J160" s="222">
        <v>517</v>
      </c>
      <c r="K160" s="314" t="s">
        <v>264</v>
      </c>
      <c r="L160" s="289">
        <f t="shared" si="15"/>
        <v>0</v>
      </c>
      <c r="P160" s="196"/>
      <c r="X160" s="552">
        <v>517</v>
      </c>
      <c r="Y160" s="286">
        <v>517</v>
      </c>
      <c r="AA160" s="386">
        <f t="shared" si="16"/>
        <v>0</v>
      </c>
      <c r="AB160" s="286">
        <f t="shared" si="17"/>
        <v>0</v>
      </c>
    </row>
    <row r="161" spans="1:28" ht="46.5" customHeight="1" x14ac:dyDescent="0.3">
      <c r="A161" s="212">
        <f>'Unit Data from Audit Worksheet'!A197</f>
        <v>518</v>
      </c>
      <c r="B161" s="225" t="str">
        <f>'Unit Data from Audit Worksheet'!C197</f>
        <v>WS Capital Assets Schedule-Gross Value</v>
      </c>
      <c r="C161" s="211" t="str">
        <f>'Unit Data from Audit Worksheet'!D197</f>
        <v>All other depreciable capital assets</v>
      </c>
      <c r="D161" s="230"/>
      <c r="E161" s="231">
        <f>'Unit Data from Audit Worksheet'!F197</f>
        <v>0</v>
      </c>
      <c r="F161" s="80"/>
      <c r="G161" s="226"/>
      <c r="H161" s="223"/>
      <c r="I161" s="32"/>
      <c r="J161" s="222">
        <v>518</v>
      </c>
      <c r="K161" s="314" t="s">
        <v>265</v>
      </c>
      <c r="L161" s="289">
        <f t="shared" si="15"/>
        <v>0</v>
      </c>
      <c r="P161" s="196"/>
      <c r="X161" s="552">
        <v>518</v>
      </c>
      <c r="Y161" s="286">
        <v>518</v>
      </c>
      <c r="AA161" s="386">
        <f t="shared" si="16"/>
        <v>0</v>
      </c>
      <c r="AB161" s="286">
        <f t="shared" si="17"/>
        <v>0</v>
      </c>
    </row>
    <row r="162" spans="1:28" ht="52.5" customHeight="1" x14ac:dyDescent="0.3">
      <c r="A162" s="212">
        <f>'Unit Data from Audit Worksheet'!A200</f>
        <v>519</v>
      </c>
      <c r="B162" s="225" t="str">
        <f>'Unit Data from Audit Worksheet'!C200</f>
        <v>WS Capital Assets Schedule-Annual Depreciation</v>
      </c>
      <c r="C162" s="211" t="str">
        <f>'Unit Data from Audit Worksheet'!D200</f>
        <v>Buildings annual depreciation</v>
      </c>
      <c r="D162" s="230"/>
      <c r="E162" s="231">
        <f>'Unit Data from Audit Worksheet'!F200</f>
        <v>0</v>
      </c>
      <c r="F162" s="80"/>
      <c r="G162" s="226"/>
      <c r="H162" s="223"/>
      <c r="I162" s="32"/>
      <c r="J162" s="222">
        <v>519</v>
      </c>
      <c r="K162" s="314" t="s">
        <v>266</v>
      </c>
      <c r="L162" s="289">
        <f t="shared" si="15"/>
        <v>0</v>
      </c>
      <c r="P162" s="317"/>
      <c r="X162" s="552">
        <v>519</v>
      </c>
      <c r="Y162" s="286">
        <v>519</v>
      </c>
      <c r="AA162" s="386">
        <f t="shared" si="16"/>
        <v>0</v>
      </c>
      <c r="AB162" s="286">
        <f t="shared" si="17"/>
        <v>0</v>
      </c>
    </row>
    <row r="163" spans="1:28" ht="52.5" customHeight="1" x14ac:dyDescent="0.3">
      <c r="A163" s="212">
        <f>'Unit Data from Audit Worksheet'!A201</f>
        <v>520</v>
      </c>
      <c r="B163" s="225" t="str">
        <f>'Unit Data from Audit Worksheet'!C201</f>
        <v>WS Capital Assets Schedule-Annual Depreciation</v>
      </c>
      <c r="C163" s="211" t="str">
        <f>'Unit Data from Audit Worksheet'!D201</f>
        <v>Plant / distributions systems / water lines annual depreciation</v>
      </c>
      <c r="D163" s="230"/>
      <c r="E163" s="231">
        <f>'Unit Data from Audit Worksheet'!F201</f>
        <v>0</v>
      </c>
      <c r="F163" s="80"/>
      <c r="G163" s="226"/>
      <c r="H163" s="223"/>
      <c r="I163" s="32"/>
      <c r="J163" s="222">
        <v>520</v>
      </c>
      <c r="K163" s="314" t="s">
        <v>267</v>
      </c>
      <c r="L163" s="289">
        <f t="shared" si="15"/>
        <v>0</v>
      </c>
      <c r="P163" s="320"/>
      <c r="Q163" s="318"/>
      <c r="X163" s="552">
        <v>520</v>
      </c>
      <c r="Y163" s="286">
        <v>520</v>
      </c>
      <c r="AA163" s="386">
        <f t="shared" si="16"/>
        <v>0</v>
      </c>
      <c r="AB163" s="286">
        <f t="shared" si="17"/>
        <v>0</v>
      </c>
    </row>
    <row r="164" spans="1:28" ht="52.5" customHeight="1" x14ac:dyDescent="0.3">
      <c r="A164" s="212">
        <f>'Unit Data from Audit Worksheet'!A202</f>
        <v>521</v>
      </c>
      <c r="B164" s="225" t="str">
        <f>'Unit Data from Audit Worksheet'!C202</f>
        <v>WS Capital Assets Schedule-Annual Depreciation</v>
      </c>
      <c r="C164" s="211" t="str">
        <f>'Unit Data from Audit Worksheet'!D202</f>
        <v>Infrastructure(other infrastructure) annual depreciation</v>
      </c>
      <c r="D164" s="230"/>
      <c r="E164" s="231">
        <f>'Unit Data from Audit Worksheet'!F202</f>
        <v>0</v>
      </c>
      <c r="F164" s="80"/>
      <c r="G164" s="226"/>
      <c r="H164" s="223"/>
      <c r="I164" s="32"/>
      <c r="J164" s="222">
        <v>521</v>
      </c>
      <c r="K164" s="52" t="s">
        <v>268</v>
      </c>
      <c r="L164" s="289">
        <f t="shared" si="15"/>
        <v>0</v>
      </c>
      <c r="P164" s="196"/>
      <c r="Q164" s="187"/>
      <c r="X164" s="552">
        <v>521</v>
      </c>
      <c r="Y164" s="286">
        <v>521</v>
      </c>
      <c r="AA164" s="386">
        <f t="shared" si="16"/>
        <v>0</v>
      </c>
      <c r="AB164" s="286">
        <f t="shared" si="17"/>
        <v>0</v>
      </c>
    </row>
    <row r="165" spans="1:28" ht="42.75" customHeight="1" x14ac:dyDescent="0.3">
      <c r="A165" s="212">
        <f>'Unit Data from Audit Worksheet'!A203</f>
        <v>522</v>
      </c>
      <c r="B165" s="225" t="str">
        <f>'Unit Data from Audit Worksheet'!C203</f>
        <v>WS Capital Assets Schedule-Annual Depreciation</v>
      </c>
      <c r="C165" s="211" t="str">
        <f>'Unit Data from Audit Worksheet'!D203</f>
        <v>All other depreciable capital assets annual depreciation</v>
      </c>
      <c r="D165" s="230"/>
      <c r="E165" s="231">
        <f>'Unit Data from Audit Worksheet'!F203</f>
        <v>0</v>
      </c>
      <c r="F165" s="80"/>
      <c r="G165" s="226"/>
      <c r="H165" s="223"/>
      <c r="I165" s="32"/>
      <c r="J165" s="222">
        <v>522</v>
      </c>
      <c r="K165" s="52" t="s">
        <v>269</v>
      </c>
      <c r="L165" s="289">
        <f t="shared" si="15"/>
        <v>0</v>
      </c>
      <c r="P165" s="317"/>
      <c r="S165" s="18"/>
      <c r="T165" s="18"/>
      <c r="U165" s="18"/>
      <c r="V165" s="18"/>
      <c r="X165" s="552">
        <v>522</v>
      </c>
      <c r="Y165" s="286">
        <v>522</v>
      </c>
      <c r="Z165" s="18"/>
      <c r="AA165" s="386">
        <f t="shared" si="16"/>
        <v>0</v>
      </c>
      <c r="AB165" s="286">
        <f t="shared" si="17"/>
        <v>0</v>
      </c>
    </row>
    <row r="166" spans="1:28" ht="42.75" customHeight="1" x14ac:dyDescent="0.3">
      <c r="A166" s="212">
        <f>'Unit Data from Audit Worksheet'!A206</f>
        <v>523</v>
      </c>
      <c r="B166" s="225" t="str">
        <f>'Unit Data from Audit Worksheet'!C206</f>
        <v>WS Capital Assets Schedule-Accumulated Depreciation</v>
      </c>
      <c r="C166" s="211" t="str">
        <f>'Unit Data from Audit Worksheet'!D206</f>
        <v>Building accumulated depreciation</v>
      </c>
      <c r="D166" s="230"/>
      <c r="E166" s="231">
        <f>'Unit Data from Audit Worksheet'!F206</f>
        <v>0</v>
      </c>
      <c r="F166" s="80"/>
      <c r="G166" s="226"/>
      <c r="H166" s="223"/>
      <c r="I166" s="32"/>
      <c r="J166" s="222">
        <v>523</v>
      </c>
      <c r="K166" s="52" t="s">
        <v>270</v>
      </c>
      <c r="L166" s="289">
        <f t="shared" si="15"/>
        <v>0</v>
      </c>
      <c r="P166" s="317"/>
      <c r="S166" s="18"/>
      <c r="T166" s="18"/>
      <c r="U166" s="18"/>
      <c r="V166" s="18"/>
      <c r="X166" s="552">
        <v>523</v>
      </c>
      <c r="Y166" s="286">
        <v>523</v>
      </c>
      <c r="Z166" s="18"/>
      <c r="AA166" s="386">
        <f t="shared" si="16"/>
        <v>0</v>
      </c>
      <c r="AB166" s="286">
        <f t="shared" si="17"/>
        <v>0</v>
      </c>
    </row>
    <row r="167" spans="1:28" ht="51" customHeight="1" x14ac:dyDescent="0.3">
      <c r="A167" s="212">
        <f>'Unit Data from Audit Worksheet'!A207</f>
        <v>524</v>
      </c>
      <c r="B167" s="225" t="str">
        <f>'Unit Data from Audit Worksheet'!C207</f>
        <v>WS Capital Assets Schedule-Accumulated Depreciation</v>
      </c>
      <c r="C167" s="211" t="str">
        <f>'Unit Data from Audit Worksheet'!D207</f>
        <v>Plant / distributions systems / water lines accumulated depreciation</v>
      </c>
      <c r="D167" s="230"/>
      <c r="E167" s="231">
        <f>'Unit Data from Audit Worksheet'!F207</f>
        <v>0</v>
      </c>
      <c r="F167" s="80"/>
      <c r="G167" s="226"/>
      <c r="H167" s="223"/>
      <c r="I167" s="32"/>
      <c r="J167" s="222">
        <v>524</v>
      </c>
      <c r="K167" s="52" t="s">
        <v>271</v>
      </c>
      <c r="L167" s="289">
        <f t="shared" si="15"/>
        <v>0</v>
      </c>
      <c r="P167" s="317"/>
      <c r="S167" s="18"/>
      <c r="T167" s="18"/>
      <c r="U167" s="18"/>
      <c r="V167" s="18"/>
      <c r="X167" s="552">
        <v>524</v>
      </c>
      <c r="Y167" s="286">
        <v>524</v>
      </c>
      <c r="Z167" s="18"/>
      <c r="AA167" s="386">
        <f t="shared" si="16"/>
        <v>0</v>
      </c>
      <c r="AB167" s="286">
        <f t="shared" si="17"/>
        <v>0</v>
      </c>
    </row>
    <row r="168" spans="1:28" ht="57.75" customHeight="1" x14ac:dyDescent="0.3">
      <c r="A168" s="212">
        <f>'Unit Data from Audit Worksheet'!A208</f>
        <v>525</v>
      </c>
      <c r="B168" s="225" t="str">
        <f>'Unit Data from Audit Worksheet'!C208</f>
        <v>WS Capital Assets Schedule-Accumulated Depreciation</v>
      </c>
      <c r="C168" s="211" t="str">
        <f>'Unit Data from Audit Worksheet'!D208</f>
        <v>Infrastructure(other infrastructure) accumulated depreciation</v>
      </c>
      <c r="D168" s="230"/>
      <c r="E168" s="231">
        <f>'Unit Data from Audit Worksheet'!F208</f>
        <v>0</v>
      </c>
      <c r="F168" s="80"/>
      <c r="G168" s="226"/>
      <c r="H168" s="223"/>
      <c r="I168" s="32"/>
      <c r="J168" s="222">
        <v>525</v>
      </c>
      <c r="K168" s="52" t="s">
        <v>272</v>
      </c>
      <c r="L168" s="289">
        <f t="shared" si="15"/>
        <v>0</v>
      </c>
      <c r="P168" s="202"/>
      <c r="Q168" s="318"/>
      <c r="X168" s="552">
        <v>525</v>
      </c>
      <c r="Y168" s="286">
        <v>525</v>
      </c>
      <c r="AA168" s="386">
        <f t="shared" si="16"/>
        <v>0</v>
      </c>
      <c r="AB168" s="286">
        <f t="shared" si="17"/>
        <v>0</v>
      </c>
    </row>
    <row r="169" spans="1:28" ht="48" customHeight="1" x14ac:dyDescent="0.3">
      <c r="A169" s="212">
        <f>'Unit Data from Audit Worksheet'!A209</f>
        <v>526</v>
      </c>
      <c r="B169" s="225" t="str">
        <f>'Unit Data from Audit Worksheet'!C209</f>
        <v>WS Capital Assets Schedule-Accumulated Depreciation</v>
      </c>
      <c r="C169" s="211" t="str">
        <f>'Unit Data from Audit Worksheet'!D209</f>
        <v>All other depreciable capital assets accumulated depreciation</v>
      </c>
      <c r="D169" s="230"/>
      <c r="E169" s="231">
        <f>'Unit Data from Audit Worksheet'!F209</f>
        <v>0</v>
      </c>
      <c r="F169" s="80"/>
      <c r="G169" s="226"/>
      <c r="H169" s="223"/>
      <c r="I169" s="32"/>
      <c r="J169" s="222">
        <v>526</v>
      </c>
      <c r="K169" s="52" t="s">
        <v>273</v>
      </c>
      <c r="L169" s="289">
        <f t="shared" si="15"/>
        <v>0</v>
      </c>
      <c r="P169" s="196"/>
      <c r="Q169" s="3"/>
      <c r="X169" s="552">
        <v>526</v>
      </c>
      <c r="Y169" s="286">
        <v>526</v>
      </c>
      <c r="AA169" s="386">
        <f t="shared" si="16"/>
        <v>0</v>
      </c>
      <c r="AB169" s="286">
        <f t="shared" si="17"/>
        <v>0</v>
      </c>
    </row>
    <row r="170" spans="1:28" ht="50.25" customHeight="1" x14ac:dyDescent="0.3">
      <c r="A170" s="212">
        <f>'Unit Data from Audit Worksheet'!A214</f>
        <v>527</v>
      </c>
      <c r="B170" s="225" t="str">
        <f>'Unit Data from Audit Worksheet'!C214</f>
        <v>Electric Assets</v>
      </c>
      <c r="C170" s="211" t="str">
        <f>'Unit Data from Audit Worksheet'!D214</f>
        <v>Total Assets Gross value not being depreciated for Electric Fund</v>
      </c>
      <c r="D170" s="230"/>
      <c r="E170" s="231">
        <f>'Unit Data from Audit Worksheet'!F214</f>
        <v>0</v>
      </c>
      <c r="F170" s="80"/>
      <c r="G170" s="226"/>
      <c r="H170" s="223"/>
      <c r="I170" s="32"/>
      <c r="J170" s="222">
        <v>527</v>
      </c>
      <c r="K170" s="52" t="s">
        <v>274</v>
      </c>
      <c r="L170" s="289">
        <f t="shared" si="15"/>
        <v>0</v>
      </c>
      <c r="P170" s="196"/>
      <c r="X170" s="552">
        <v>527</v>
      </c>
      <c r="Y170" s="286">
        <v>527</v>
      </c>
      <c r="AA170" s="386">
        <f t="shared" si="16"/>
        <v>0</v>
      </c>
      <c r="AB170" s="286">
        <f t="shared" si="17"/>
        <v>0</v>
      </c>
    </row>
    <row r="171" spans="1:28" ht="54.75" customHeight="1" x14ac:dyDescent="0.3">
      <c r="A171" s="212">
        <f>'Unit Data from Audit Worksheet'!A215</f>
        <v>356</v>
      </c>
      <c r="B171" s="225" t="str">
        <f>'Unit Data from Audit Worksheet'!C215</f>
        <v>Electric Assets</v>
      </c>
      <c r="C171" s="211" t="str">
        <f>'Unit Data from Audit Worksheet'!D215</f>
        <v>Total Assets Gross value of assets being depreciated for Electric Fund</v>
      </c>
      <c r="D171" s="230"/>
      <c r="E171" s="231">
        <f>'Unit Data from Audit Worksheet'!F215</f>
        <v>0</v>
      </c>
      <c r="F171" s="80"/>
      <c r="G171" s="226"/>
      <c r="H171" s="223"/>
      <c r="I171" s="32"/>
      <c r="J171" s="222">
        <v>356</v>
      </c>
      <c r="K171" s="52" t="s">
        <v>307</v>
      </c>
      <c r="L171" s="289">
        <f t="shared" si="15"/>
        <v>0</v>
      </c>
      <c r="P171" s="196"/>
      <c r="X171" s="552">
        <v>356</v>
      </c>
      <c r="Y171" s="286">
        <v>356</v>
      </c>
      <c r="AA171" s="386">
        <f t="shared" si="16"/>
        <v>0</v>
      </c>
      <c r="AB171" s="286">
        <f t="shared" si="17"/>
        <v>0</v>
      </c>
    </row>
    <row r="172" spans="1:28" ht="54.75" customHeight="1" x14ac:dyDescent="0.3">
      <c r="A172" s="212">
        <f>'Unit Data from Audit Worksheet'!A216</f>
        <v>357</v>
      </c>
      <c r="B172" s="225" t="str">
        <f>'Unit Data from Audit Worksheet'!C216</f>
        <v>Electric Accumulated Depreciation</v>
      </c>
      <c r="C172" s="211" t="str">
        <f>'Unit Data from Audit Worksheet'!D216</f>
        <v>Total accumulated depreciation for Electric Fund assets</v>
      </c>
      <c r="D172" s="230"/>
      <c r="E172" s="231">
        <f>'Unit Data from Audit Worksheet'!F216</f>
        <v>0</v>
      </c>
      <c r="F172" s="80"/>
      <c r="G172" s="226"/>
      <c r="H172" s="223"/>
      <c r="I172" s="32"/>
      <c r="J172" s="222">
        <v>357</v>
      </c>
      <c r="K172" s="52" t="s">
        <v>308</v>
      </c>
      <c r="L172" s="289">
        <f t="shared" si="15"/>
        <v>0</v>
      </c>
      <c r="P172" s="196"/>
      <c r="X172" s="552">
        <v>357</v>
      </c>
      <c r="Y172" s="286">
        <v>357</v>
      </c>
      <c r="AA172" s="386">
        <f t="shared" si="16"/>
        <v>0</v>
      </c>
      <c r="AB172" s="286">
        <f t="shared" si="17"/>
        <v>0</v>
      </c>
    </row>
    <row r="173" spans="1:28" ht="191.25" customHeight="1" x14ac:dyDescent="0.3">
      <c r="A173" s="212">
        <f>'Unit Data from Audit Worksheet'!A218</f>
        <v>337</v>
      </c>
      <c r="B173" s="225" t="str">
        <f>'Unit Data from Audit Worksheet'!C218</f>
        <v>Long-Term Liability Note - Governmental Activities</v>
      </c>
      <c r="C173" s="225" t="str">
        <f>'Unit Data from Audit Worksheet'!D218</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3" s="230"/>
      <c r="E173" s="231">
        <f>'Unit Data from Audit Worksheet'!F218</f>
        <v>0</v>
      </c>
      <c r="F173" s="224">
        <f>IF(L173&lt;0,"Error: Enter as a positive.",)</f>
        <v>0</v>
      </c>
      <c r="G173" s="226"/>
      <c r="H173" s="223"/>
      <c r="I173" s="32"/>
      <c r="J173" s="222">
        <v>337</v>
      </c>
      <c r="K173" s="221" t="s">
        <v>245</v>
      </c>
      <c r="L173" s="289">
        <f t="shared" si="15"/>
        <v>0</v>
      </c>
      <c r="P173" s="196"/>
      <c r="X173" s="552">
        <v>337</v>
      </c>
      <c r="Y173" s="286">
        <v>337</v>
      </c>
      <c r="AA173" s="386">
        <f t="shared" si="16"/>
        <v>0</v>
      </c>
      <c r="AB173" s="286">
        <f t="shared" si="17"/>
        <v>0</v>
      </c>
    </row>
    <row r="174" spans="1:28" ht="76.5" customHeight="1" x14ac:dyDescent="0.3">
      <c r="A174" s="212">
        <f>'Unit Data from Audit Worksheet'!A219</f>
        <v>343</v>
      </c>
      <c r="B174" s="225" t="str">
        <f>'Unit Data from Audit Worksheet'!C219</f>
        <v>Long-Term Liability Note - Governmental Activities</v>
      </c>
      <c r="C174" s="211" t="str">
        <f>'Unit Data from Audit Worksheet'!D219</f>
        <v>Decreases made (principal paid) on Long-Term Debt in current fiscal year.  Reduce for debt refunding.</v>
      </c>
      <c r="D174" s="230"/>
      <c r="E174" s="231">
        <f>'Unit Data from Audit Worksheet'!F219</f>
        <v>0</v>
      </c>
      <c r="F174" s="224">
        <f>IF(L174&lt;0,"Error: Enter as a positive.",)</f>
        <v>0</v>
      </c>
      <c r="G174" s="226"/>
      <c r="H174" s="223"/>
      <c r="I174" s="32"/>
      <c r="J174" s="222">
        <v>343</v>
      </c>
      <c r="K174" s="221" t="s">
        <v>246</v>
      </c>
      <c r="L174" s="289">
        <f t="shared" si="15"/>
        <v>0</v>
      </c>
      <c r="P174" s="196"/>
      <c r="X174" s="552">
        <v>343</v>
      </c>
      <c r="Y174" s="294">
        <v>343</v>
      </c>
      <c r="AA174" s="386">
        <f t="shared" si="16"/>
        <v>0</v>
      </c>
      <c r="AB174" s="286">
        <f t="shared" si="17"/>
        <v>0</v>
      </c>
    </row>
    <row r="175" spans="1:28" ht="193.5" customHeight="1" x14ac:dyDescent="0.3">
      <c r="A175" s="212">
        <f>'Unit Data from Audit Worksheet'!A220</f>
        <v>82</v>
      </c>
      <c r="B175" s="225" t="str">
        <f>'Unit Data from Audit Worksheet'!C220</f>
        <v>Long-Term Liability Note - Water Sewer Activities</v>
      </c>
      <c r="C175" s="225" t="str">
        <f>'Unit Data from Audit Worksheet'!D220</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5" s="230"/>
      <c r="E175" s="231">
        <f>'Unit Data from Audit Worksheet'!F220</f>
        <v>0</v>
      </c>
      <c r="F175" s="224">
        <f>IF(L175&lt;0,"Error: Enter as a positive.",)</f>
        <v>0</v>
      </c>
      <c r="G175" s="226"/>
      <c r="H175" s="223"/>
      <c r="I175" s="32"/>
      <c r="J175" s="222">
        <v>82</v>
      </c>
      <c r="K175" s="62" t="s">
        <v>309</v>
      </c>
      <c r="L175" s="289">
        <f t="shared" si="15"/>
        <v>0</v>
      </c>
      <c r="P175" s="196"/>
      <c r="X175" s="552">
        <v>82</v>
      </c>
      <c r="Y175" s="286">
        <v>82</v>
      </c>
      <c r="AA175" s="386">
        <f t="shared" si="16"/>
        <v>0</v>
      </c>
      <c r="AB175" s="286">
        <f t="shared" si="17"/>
        <v>0</v>
      </c>
    </row>
    <row r="176" spans="1:28" ht="206.25" customHeight="1" x14ac:dyDescent="0.3">
      <c r="A176" s="212">
        <f>'Unit Data from Audit Worksheet'!A221</f>
        <v>359</v>
      </c>
      <c r="B176" s="225" t="str">
        <f>'Unit Data from Audit Worksheet'!C221</f>
        <v>Long-Term Liability Note - Electric Activities</v>
      </c>
      <c r="C176" s="225" t="str">
        <f>'Unit Data from Audit Worksheet'!D221</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76" s="230"/>
      <c r="E176" s="231">
        <f>'Unit Data from Audit Worksheet'!F221</f>
        <v>0</v>
      </c>
      <c r="F176" s="224">
        <f>IF(L176&lt;0,"Error: Enter as a positive.",)</f>
        <v>0</v>
      </c>
      <c r="G176" s="226"/>
      <c r="H176" s="223"/>
      <c r="I176" s="32"/>
      <c r="J176" s="222">
        <v>359</v>
      </c>
      <c r="K176" s="221" t="s">
        <v>247</v>
      </c>
      <c r="L176" s="289">
        <f t="shared" si="15"/>
        <v>0</v>
      </c>
      <c r="P176" s="196"/>
      <c r="X176" s="552">
        <v>359</v>
      </c>
      <c r="Y176" s="286">
        <v>359</v>
      </c>
      <c r="AA176" s="386">
        <f t="shared" si="16"/>
        <v>0</v>
      </c>
      <c r="AB176" s="286">
        <f t="shared" si="17"/>
        <v>0</v>
      </c>
    </row>
    <row r="177" spans="1:28" ht="76.5" customHeight="1" x14ac:dyDescent="0.3">
      <c r="A177" s="212">
        <f>'Unit Data from Audit Worksheet'!A223</f>
        <v>622</v>
      </c>
      <c r="B177" s="225" t="str">
        <f>'Unit Data from Audit Worksheet'!C223</f>
        <v>FS., Pension note or RSI</v>
      </c>
      <c r="C177" s="225" t="str">
        <f>'Unit Data from Audit Worksheet'!D223</f>
        <v xml:space="preserve">Unit's Share of Net Pension Liability ($s)
- unit of government is a participating employer in the State's TSERS (Teachers' and State Employees' Retirement System) or the LGERS (Local Governmental Employees' Retirement System).  </v>
      </c>
      <c r="D177" s="230"/>
      <c r="E177" s="231">
        <f>'Unit Data from Audit Worksheet'!F223</f>
        <v>0</v>
      </c>
      <c r="F177" s="224"/>
      <c r="G177" s="226"/>
      <c r="H177" s="223"/>
      <c r="I177" s="32"/>
      <c r="J177" s="222">
        <v>622</v>
      </c>
      <c r="K177" s="228" t="s">
        <v>359</v>
      </c>
      <c r="L177" s="289">
        <f t="shared" si="15"/>
        <v>0</v>
      </c>
      <c r="P177" s="196"/>
      <c r="S177" s="18"/>
      <c r="T177" s="18"/>
      <c r="U177" s="18"/>
      <c r="V177" s="18"/>
      <c r="X177" s="552">
        <v>622</v>
      </c>
      <c r="Y177" s="286">
        <v>622</v>
      </c>
      <c r="Z177" s="18"/>
      <c r="AA177" s="386">
        <f t="shared" si="16"/>
        <v>0</v>
      </c>
      <c r="AB177" s="286">
        <f t="shared" si="17"/>
        <v>0</v>
      </c>
    </row>
    <row r="178" spans="1:28" ht="138.75" customHeight="1" x14ac:dyDescent="0.3">
      <c r="A178" s="212">
        <f>'Unit Data from Audit Worksheet'!A224</f>
        <v>577</v>
      </c>
      <c r="B178" s="225" t="str">
        <f>'Unit Data from Audit Worksheet'!C224</f>
        <v>Pension Notes</v>
      </c>
      <c r="C178" s="225" t="str">
        <f>'Unit Data from Audit Worksheet'!D224</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Select "1" for Yes and "2" for No.
</v>
      </c>
      <c r="D178" s="230"/>
      <c r="E178" s="231">
        <f>'Unit Data from Audit Worksheet'!F224</f>
        <v>0</v>
      </c>
      <c r="F178" s="224"/>
      <c r="G178" s="226"/>
      <c r="H178" s="223"/>
      <c r="I178" s="32"/>
      <c r="J178" s="222">
        <v>577</v>
      </c>
      <c r="K178" s="228" t="s">
        <v>331</v>
      </c>
      <c r="L178" s="289">
        <f t="shared" si="15"/>
        <v>0</v>
      </c>
      <c r="P178" s="196"/>
      <c r="S178" s="18"/>
      <c r="T178" s="18"/>
      <c r="U178" s="18"/>
      <c r="V178" s="18"/>
      <c r="X178" s="552">
        <v>577</v>
      </c>
      <c r="Y178" s="286">
        <v>577</v>
      </c>
      <c r="Z178" s="18"/>
      <c r="AA178" s="386">
        <f t="shared" si="16"/>
        <v>0</v>
      </c>
      <c r="AB178" s="286">
        <f t="shared" si="17"/>
        <v>0</v>
      </c>
    </row>
    <row r="179" spans="1:28" ht="115.5" customHeight="1" x14ac:dyDescent="0.3">
      <c r="A179" s="315">
        <f>'Unit Data from Audit Worksheet'!A226</f>
        <v>598</v>
      </c>
      <c r="B179" s="225" t="str">
        <f>'Unit Data from Audit Worksheet'!C226</f>
        <v>LEO Note</v>
      </c>
      <c r="C179" s="211" t="str">
        <f>'Unit Data from Audit Worksheet'!D226</f>
        <v>Amount the unit paid out in benefits under LEO special separation allowance to retired law enforcement officers this fiscal year if you report under GASB 68 or GASB 73.</v>
      </c>
      <c r="D179" s="230"/>
      <c r="E179" s="231">
        <f>'Unit Data from Audit Worksheet'!F226</f>
        <v>0</v>
      </c>
      <c r="F179" s="224">
        <f>IF(L179&lt;0,"Error: Enter as a positive.",)</f>
        <v>0</v>
      </c>
      <c r="G179" s="226"/>
      <c r="H179" s="223"/>
      <c r="I179" s="32"/>
      <c r="J179" s="222">
        <v>598</v>
      </c>
      <c r="K179" s="87" t="s">
        <v>343</v>
      </c>
      <c r="L179" s="289">
        <f t="shared" si="15"/>
        <v>0</v>
      </c>
      <c r="P179" s="196"/>
      <c r="S179" s="18"/>
      <c r="T179" s="18"/>
      <c r="U179" s="18"/>
      <c r="V179" s="18"/>
      <c r="X179" s="552">
        <v>598</v>
      </c>
      <c r="Y179" s="286">
        <v>598</v>
      </c>
      <c r="Z179" s="18"/>
      <c r="AA179" s="386">
        <f t="shared" si="16"/>
        <v>0</v>
      </c>
      <c r="AB179" s="286">
        <f t="shared" si="17"/>
        <v>0</v>
      </c>
    </row>
    <row r="180" spans="1:28" ht="84" customHeight="1" x14ac:dyDescent="0.3">
      <c r="A180" s="212">
        <f>'Unit Data from Audit Worksheet'!A227</f>
        <v>599</v>
      </c>
      <c r="B180" s="225" t="str">
        <f>'Unit Data from Audit Worksheet'!C227</f>
        <v>LEO Note</v>
      </c>
      <c r="C180" s="211" t="str">
        <f>'Unit Data from Audit Worksheet'!D227</f>
        <v>The total LEO pension liability if you report under GASB 68 or GASB 73.</v>
      </c>
      <c r="D180" s="230"/>
      <c r="E180" s="231">
        <f>'Unit Data from Audit Worksheet'!F227</f>
        <v>0</v>
      </c>
      <c r="F180" s="224">
        <f>IF(L180&lt;0,"Error: Enter as a positive.",)</f>
        <v>0</v>
      </c>
      <c r="G180" s="226"/>
      <c r="H180" s="223"/>
      <c r="I180" s="32"/>
      <c r="J180" s="222">
        <v>599</v>
      </c>
      <c r="K180" s="86" t="s">
        <v>342</v>
      </c>
      <c r="L180" s="289">
        <f t="shared" si="15"/>
        <v>0</v>
      </c>
      <c r="P180" s="196"/>
      <c r="X180" s="552">
        <v>599</v>
      </c>
      <c r="Y180" s="286">
        <v>599</v>
      </c>
      <c r="AA180" s="386">
        <f t="shared" si="16"/>
        <v>0</v>
      </c>
      <c r="AB180" s="286">
        <f t="shared" si="17"/>
        <v>0</v>
      </c>
    </row>
    <row r="181" spans="1:28" ht="102.75" customHeight="1" x14ac:dyDescent="0.3">
      <c r="A181" s="212">
        <f>'Unit Data from Audit Worksheet'!A228</f>
        <v>602</v>
      </c>
      <c r="B181" s="225" t="str">
        <f>'Unit Data from Audit Worksheet'!C228</f>
        <v>LEO Note</v>
      </c>
      <c r="C181" s="211" t="str">
        <f>'Unit Data from Audit Worksheet'!D228</f>
        <v>If you have LEO pension assets and are reporting under GASB 68 please enter "Plan Fiduciary Net Position" which can be found on your RSI schedules and the Notes.</v>
      </c>
      <c r="D181" s="230"/>
      <c r="E181" s="231">
        <f>'Unit Data from Audit Worksheet'!F228</f>
        <v>0</v>
      </c>
      <c r="F181" s="224">
        <f>IF(L181&lt;0,"Error: Enter as a positive.",)</f>
        <v>0</v>
      </c>
      <c r="G181" s="226"/>
      <c r="H181" s="223"/>
      <c r="I181" s="32"/>
      <c r="J181" s="222">
        <v>602</v>
      </c>
      <c r="K181" s="23" t="s">
        <v>344</v>
      </c>
      <c r="L181" s="289">
        <f t="shared" si="15"/>
        <v>0</v>
      </c>
      <c r="P181" s="196"/>
      <c r="X181" s="552">
        <v>602</v>
      </c>
      <c r="Y181" s="286">
        <v>602</v>
      </c>
      <c r="AA181" s="386">
        <f t="shared" si="16"/>
        <v>0</v>
      </c>
      <c r="AB181" s="286">
        <f t="shared" si="17"/>
        <v>0</v>
      </c>
    </row>
    <row r="182" spans="1:28" ht="123" customHeight="1" x14ac:dyDescent="0.3">
      <c r="A182" s="212">
        <f>'Unit Data from Audit Worksheet'!A229</f>
        <v>619</v>
      </c>
      <c r="B182" s="225" t="str">
        <f>'Unit Data from Audit Worksheet'!C229</f>
        <v>LEO
RSI</v>
      </c>
      <c r="C182" s="87" t="str">
        <f>'Unit Data from Audit Worksheet'!D229</f>
        <v>LEOSSA – What is the plan’s fiduciary net position as a percentage of the total pension liability?  Please enter as percentage value; for example, 83.5% should be entered as 83.5.  If assets have not been set aside in a trust, please enter 0.0</v>
      </c>
      <c r="D182" s="88"/>
      <c r="E182" s="140">
        <f>'Unit Data from Audit Worksheet'!F229</f>
        <v>0</v>
      </c>
      <c r="F182" s="224" t="str">
        <f>IF(H182=L182,"","Column L does not equal Column H")</f>
        <v/>
      </c>
      <c r="G182" s="226"/>
      <c r="H182" s="95">
        <f>ROUND(IFERROR((L181/L180)*100,0),1)</f>
        <v>0</v>
      </c>
      <c r="I182" s="32"/>
      <c r="J182" s="214">
        <v>619</v>
      </c>
      <c r="K182" s="94" t="s">
        <v>449</v>
      </c>
      <c r="L182" s="732">
        <f t="shared" si="15"/>
        <v>0</v>
      </c>
      <c r="P182" s="196"/>
      <c r="X182" s="552">
        <v>619</v>
      </c>
      <c r="Y182" s="286">
        <v>619</v>
      </c>
      <c r="AA182" s="386">
        <f t="shared" si="16"/>
        <v>0</v>
      </c>
      <c r="AB182" s="286">
        <f t="shared" si="17"/>
        <v>0</v>
      </c>
    </row>
    <row r="183" spans="1:28" ht="113.25" customHeight="1" x14ac:dyDescent="0.3">
      <c r="A183" s="212">
        <v>621</v>
      </c>
      <c r="B183" s="51" t="s">
        <v>353</v>
      </c>
      <c r="C183" s="319" t="str">
        <f>'Unit Data from Audit Worksheet'!D231</f>
        <v xml:space="preserve">Unit's share of Retirement Health Benefit Fund Net OPEB Liability ($s)
- unit of government is a participating employer in the State's RHBF </v>
      </c>
      <c r="D183" s="88"/>
      <c r="E183" s="231">
        <f>'Unit Data from Audit Worksheet'!F231</f>
        <v>0</v>
      </c>
      <c r="F183" s="224">
        <f>IF(L183&lt;0,"Error: Enter as a positive.",)</f>
        <v>0</v>
      </c>
      <c r="G183" s="120"/>
      <c r="H183" s="223"/>
      <c r="I183" s="32"/>
      <c r="J183" s="320">
        <v>621</v>
      </c>
      <c r="K183" s="121" t="s">
        <v>453</v>
      </c>
      <c r="L183" s="289">
        <f t="shared" si="15"/>
        <v>0</v>
      </c>
      <c r="P183" s="197"/>
      <c r="X183" s="552">
        <v>621</v>
      </c>
      <c r="Y183" s="286">
        <v>621</v>
      </c>
      <c r="AA183" s="386">
        <f t="shared" si="16"/>
        <v>0</v>
      </c>
      <c r="AB183" s="286">
        <f t="shared" si="17"/>
        <v>0</v>
      </c>
    </row>
    <row r="184" spans="1:28" s="18" customFormat="1" ht="127.5" customHeight="1" x14ac:dyDescent="0.3">
      <c r="A184" s="315">
        <f>'Unit Data from Audit Worksheet'!A232</f>
        <v>547</v>
      </c>
      <c r="B184" s="225" t="str">
        <f>'Unit Data from Audit Worksheet'!C232</f>
        <v>OPEB Note</v>
      </c>
      <c r="C184" s="225" t="str">
        <f>'Unit Data from Audit Worksheet'!D232</f>
        <v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Select from drop down list.
</v>
      </c>
      <c r="D184" s="230"/>
      <c r="E184" s="231">
        <f>'Unit Data from Audit Worksheet'!F232</f>
        <v>0</v>
      </c>
      <c r="F184" s="224" t="str">
        <f>IF(L187&lt;1,"Please answer this question","")</f>
        <v>Please answer this question</v>
      </c>
      <c r="G184" s="226"/>
      <c r="H184" s="223"/>
      <c r="I184" s="32"/>
      <c r="J184" s="222">
        <v>547</v>
      </c>
      <c r="K184" s="321" t="s">
        <v>297</v>
      </c>
      <c r="L184" s="289">
        <f t="shared" si="15"/>
        <v>0</v>
      </c>
      <c r="M184"/>
      <c r="P184" s="197"/>
      <c r="Q184" s="279"/>
      <c r="R184" s="3"/>
      <c r="S184" s="3"/>
      <c r="T184" s="3"/>
      <c r="U184" s="3"/>
      <c r="V184" s="3"/>
      <c r="W184" s="3"/>
      <c r="X184" s="552">
        <v>547</v>
      </c>
      <c r="Y184" s="286">
        <v>547</v>
      </c>
      <c r="Z184" s="3"/>
      <c r="AA184" s="386">
        <f t="shared" si="16"/>
        <v>0</v>
      </c>
      <c r="AB184" s="286">
        <f t="shared" si="17"/>
        <v>0</v>
      </c>
    </row>
    <row r="185" spans="1:28" s="18" customFormat="1" ht="99" customHeight="1" x14ac:dyDescent="0.3">
      <c r="A185" s="212">
        <f>'Unit Data from Audit Worksheet'!A233</f>
        <v>659</v>
      </c>
      <c r="B185" s="225" t="str">
        <f>'Unit Data from Audit Worksheet'!C233</f>
        <v>OPEB
 Note or RSI</v>
      </c>
      <c r="C185" s="211" t="str">
        <f>'Unit Data from Audit Worksheet'!D233</f>
        <v>Total OPEB benefits - total OPEB liability
If you do not provide benefit, please enter 0</v>
      </c>
      <c r="D185" s="230"/>
      <c r="E185" s="231">
        <f>'Unit Data from Audit Worksheet'!F233</f>
        <v>0</v>
      </c>
      <c r="F185" s="224">
        <f>IF(L185&lt;0,"Error: Enter as a positive.",)</f>
        <v>0</v>
      </c>
      <c r="G185" s="322" t="s">
        <v>1562</v>
      </c>
      <c r="H185" s="223"/>
      <c r="I185" s="32"/>
      <c r="J185" s="214">
        <v>659</v>
      </c>
      <c r="K185" s="213" t="s">
        <v>418</v>
      </c>
      <c r="L185" s="302">
        <f t="shared" si="15"/>
        <v>0</v>
      </c>
      <c r="M185"/>
      <c r="P185" s="197"/>
      <c r="Q185" s="279"/>
      <c r="R185" s="3"/>
      <c r="S185" s="3"/>
      <c r="T185" s="3"/>
      <c r="U185" s="3"/>
      <c r="V185" s="3"/>
      <c r="W185" s="3"/>
      <c r="X185" s="552">
        <v>659</v>
      </c>
      <c r="Y185" s="286">
        <v>659</v>
      </c>
      <c r="Z185" s="3"/>
      <c r="AA185" s="386">
        <f t="shared" si="16"/>
        <v>0</v>
      </c>
      <c r="AB185" s="286">
        <f t="shared" si="17"/>
        <v>0</v>
      </c>
    </row>
    <row r="186" spans="1:28" s="18" customFormat="1" ht="131.25" customHeight="1" x14ac:dyDescent="0.3">
      <c r="A186" s="212">
        <f>'Unit Data from Audit Worksheet'!A234</f>
        <v>660</v>
      </c>
      <c r="B186" s="225" t="str">
        <f>'Unit Data from Audit Worksheet'!C234</f>
        <v>OPEB
 Note or RSI</v>
      </c>
      <c r="C186" s="211" t="str">
        <f>'Unit Data from Audit Worksheet'!D234</f>
        <v>Total OPEB benefits- OPEB plan fiduciary net position
If no fiduciary net position, enter 0</v>
      </c>
      <c r="D186" s="230"/>
      <c r="E186" s="231">
        <f>'Unit Data from Audit Worksheet'!F234</f>
        <v>0</v>
      </c>
      <c r="F186" s="220">
        <f>IF(L186&lt;0,"Note: Number is normally positive.",)</f>
        <v>0</v>
      </c>
      <c r="G186" s="322" t="s">
        <v>1562</v>
      </c>
      <c r="H186" s="223"/>
      <c r="I186" s="32"/>
      <c r="J186" s="214">
        <v>660</v>
      </c>
      <c r="K186" s="213" t="s">
        <v>419</v>
      </c>
      <c r="L186" s="302">
        <f t="shared" si="15"/>
        <v>0</v>
      </c>
      <c r="M186"/>
      <c r="P186" s="197"/>
      <c r="Q186" s="279"/>
      <c r="R186" s="3"/>
      <c r="S186" s="3"/>
      <c r="T186" s="3"/>
      <c r="U186" s="3"/>
      <c r="V186" s="3"/>
      <c r="W186" s="3"/>
      <c r="X186" s="552">
        <v>660</v>
      </c>
      <c r="Y186" s="286">
        <v>660</v>
      </c>
      <c r="Z186" s="3"/>
      <c r="AA186" s="386">
        <f t="shared" si="16"/>
        <v>0</v>
      </c>
      <c r="AB186" s="286">
        <f t="shared" si="17"/>
        <v>0</v>
      </c>
    </row>
    <row r="187" spans="1:28" ht="134.25" customHeight="1" x14ac:dyDescent="0.3">
      <c r="A187" s="212">
        <f>'Unit Data from Audit Worksheet'!A235</f>
        <v>661</v>
      </c>
      <c r="B187" s="225" t="str">
        <f>'Unit Data from Audit Worksheet'!C235</f>
        <v>OPEB
RSI</v>
      </c>
      <c r="C187" s="211" t="str">
        <f>'Unit Data from Audit Worksheet'!D235</f>
        <v>Total OPEB benefits - What is the plan’s fiduciary net position as a percentage of the total OPEB liability?  Please enter as percentage value; for example, 83.5% should be entered as 83.5.  If assets have not been set aside in a trust, please enter 0.0</v>
      </c>
      <c r="D187" s="88"/>
      <c r="E187" s="210">
        <f>'Unit Data from Audit Worksheet'!F235</f>
        <v>0</v>
      </c>
      <c r="F187" s="224" t="str">
        <f>IF(H187=L187,"","Column L does not equal Column H")</f>
        <v/>
      </c>
      <c r="G187" s="322" t="s">
        <v>1562</v>
      </c>
      <c r="H187" s="160">
        <f>ROUND(IFERROR((L186/L185)*100,0),1)</f>
        <v>0</v>
      </c>
      <c r="I187" s="32"/>
      <c r="J187" s="214">
        <v>661</v>
      </c>
      <c r="K187" s="228" t="s">
        <v>421</v>
      </c>
      <c r="L187" s="733">
        <f>IF(D187="",E187,D187)</f>
        <v>0</v>
      </c>
      <c r="P187" s="197"/>
      <c r="X187" s="552">
        <v>661</v>
      </c>
      <c r="Y187" s="3">
        <v>661</v>
      </c>
      <c r="AA187" s="386">
        <f t="shared" si="16"/>
        <v>0</v>
      </c>
      <c r="AB187" s="286">
        <f t="shared" si="17"/>
        <v>0</v>
      </c>
    </row>
    <row r="188" spans="1:28" ht="65.25" customHeight="1" x14ac:dyDescent="0.3">
      <c r="A188" s="212">
        <f>'Unit Data from Audit Worksheet'!A238</f>
        <v>371</v>
      </c>
      <c r="B188" s="225" t="str">
        <f>'Unit Data from Audit Worksheet'!C238</f>
        <v>Transfer Note</v>
      </c>
      <c r="C188" s="211" t="str">
        <f>'Unit Data from Audit Worksheet'!D238</f>
        <v>Amount of Transfers from the General Fund to the Debt Service Fund (Enter as positive)</v>
      </c>
      <c r="D188" s="230"/>
      <c r="E188" s="231">
        <f>'Unit Data from Audit Worksheet'!F238</f>
        <v>0</v>
      </c>
      <c r="F188" s="224">
        <f>IF(L188&lt;0,"Error: Enter as a positive.",)</f>
        <v>0</v>
      </c>
      <c r="G188" s="226"/>
      <c r="H188" s="223"/>
      <c r="I188" s="32"/>
      <c r="J188" s="33">
        <v>371</v>
      </c>
      <c r="K188" s="221" t="s">
        <v>248</v>
      </c>
      <c r="L188" s="289">
        <f t="shared" si="15"/>
        <v>0</v>
      </c>
      <c r="P188" s="199"/>
      <c r="X188" s="552">
        <v>371</v>
      </c>
      <c r="Y188" s="3">
        <v>371</v>
      </c>
      <c r="AA188" s="386">
        <f t="shared" si="16"/>
        <v>0</v>
      </c>
      <c r="AB188" s="286">
        <f t="shared" si="17"/>
        <v>0</v>
      </c>
    </row>
    <row r="189" spans="1:28" s="386" customFormat="1" ht="65.25" customHeight="1" x14ac:dyDescent="0.3">
      <c r="A189" s="304">
        <f>'Unit Data from Audit Worksheet'!A239</f>
        <v>1075</v>
      </c>
      <c r="B189" s="229" t="str">
        <f>'Unit Data from Audit Worksheet'!C239</f>
        <v>Transfer Note</v>
      </c>
      <c r="C189" s="305" t="str">
        <f>'Unit Data from Audit Worksheet'!D239</f>
        <v>Transfers from General Fund to Water and Sewer Fund.  (Enter as positive)</v>
      </c>
      <c r="D189" s="230"/>
      <c r="E189" s="232">
        <f>'Unit Data from Audit Worksheet'!F239</f>
        <v>0</v>
      </c>
      <c r="F189" s="224"/>
      <c r="G189" s="226"/>
      <c r="H189" s="223"/>
      <c r="I189" s="32"/>
      <c r="J189" s="805">
        <v>1075</v>
      </c>
      <c r="K189" s="118" t="s">
        <v>1661</v>
      </c>
      <c r="L189" s="306">
        <f t="shared" si="15"/>
        <v>0</v>
      </c>
      <c r="M189" s="180"/>
      <c r="P189" s="199"/>
      <c r="Q189" s="279"/>
      <c r="X189" s="552"/>
      <c r="AB189" s="286"/>
    </row>
    <row r="190" spans="1:28" s="386" customFormat="1" ht="65.25" customHeight="1" x14ac:dyDescent="0.3">
      <c r="A190" s="304">
        <f>'Unit Data from Audit Worksheet'!A240</f>
        <v>1076</v>
      </c>
      <c r="B190" s="229" t="str">
        <f>'Unit Data from Audit Worksheet'!C240</f>
        <v>Transfer Note</v>
      </c>
      <c r="C190" s="305" t="str">
        <f>'Unit Data from Audit Worksheet'!D240</f>
        <v>Transfers from Water and Sewer to General Fund.  (Enter as positive)</v>
      </c>
      <c r="D190" s="230"/>
      <c r="E190" s="232">
        <f>'Unit Data from Audit Worksheet'!F240</f>
        <v>0</v>
      </c>
      <c r="F190" s="224"/>
      <c r="G190" s="226"/>
      <c r="H190" s="223"/>
      <c r="I190" s="32"/>
      <c r="J190" s="805">
        <v>1076</v>
      </c>
      <c r="K190" s="118" t="s">
        <v>1662</v>
      </c>
      <c r="L190" s="306">
        <f t="shared" si="15"/>
        <v>0</v>
      </c>
      <c r="M190" s="180"/>
      <c r="P190" s="199"/>
      <c r="Q190" s="279"/>
      <c r="X190" s="552"/>
      <c r="AB190" s="286"/>
    </row>
    <row r="191" spans="1:28" s="386" customFormat="1" ht="65.25" customHeight="1" x14ac:dyDescent="0.3">
      <c r="A191" s="304">
        <f>'Unit Data from Audit Worksheet'!A241</f>
        <v>1077</v>
      </c>
      <c r="B191" s="229" t="str">
        <f>'Unit Data from Audit Worksheet'!C241</f>
        <v>Water and Sewer - Fund Revenue, Expenses &amp; Changes in Fund Net Position or Notes to Financial Statements</v>
      </c>
      <c r="C191" s="305" t="str">
        <f>'Unit Data from Audit Worksheet'!D241</f>
        <v>Amount transferred from the Water and Sewer Fund to Water and Sewer Capital Project Funds</v>
      </c>
      <c r="D191" s="230"/>
      <c r="E191" s="232">
        <f>'Unit Data from Audit Worksheet'!F241</f>
        <v>0</v>
      </c>
      <c r="F191" s="224"/>
      <c r="G191" s="226"/>
      <c r="H191" s="223"/>
      <c r="I191" s="32"/>
      <c r="J191" s="805">
        <v>1077</v>
      </c>
      <c r="K191" s="118" t="s">
        <v>2736</v>
      </c>
      <c r="L191" s="306">
        <f t="shared" si="15"/>
        <v>0</v>
      </c>
      <c r="M191" s="180"/>
      <c r="P191" s="199"/>
      <c r="Q191" s="279"/>
      <c r="X191" s="552"/>
      <c r="AB191" s="286"/>
    </row>
    <row r="192" spans="1:28" ht="63" customHeight="1" x14ac:dyDescent="0.3">
      <c r="A192" s="212">
        <f>'Unit Data from Audit Worksheet'!A242</f>
        <v>513</v>
      </c>
      <c r="B192" s="225" t="str">
        <f>'Unit Data from Audit Worksheet'!C242</f>
        <v>Transfer Note</v>
      </c>
      <c r="C192" s="211" t="str">
        <f>'Unit Data from Audit Worksheet'!D242</f>
        <v>Amount of Transfers from the General Fund to the Electric Fund  (Enter as positive)</v>
      </c>
      <c r="D192" s="230"/>
      <c r="E192" s="231">
        <f>'Unit Data from Audit Worksheet'!F242</f>
        <v>0</v>
      </c>
      <c r="F192" s="224">
        <f>IF(L192&lt;0,"Error: Enter as a positive.",)</f>
        <v>0</v>
      </c>
      <c r="G192" s="226"/>
      <c r="H192" s="223"/>
      <c r="I192" s="32"/>
      <c r="J192" s="222">
        <v>513</v>
      </c>
      <c r="K192" s="221" t="s">
        <v>249</v>
      </c>
      <c r="L192" s="289">
        <f t="shared" si="15"/>
        <v>0</v>
      </c>
      <c r="P192" s="199"/>
      <c r="X192" s="552">
        <v>513</v>
      </c>
      <c r="Y192" s="3">
        <v>513</v>
      </c>
      <c r="AA192" s="386">
        <f t="shared" si="16"/>
        <v>0</v>
      </c>
      <c r="AB192" s="286">
        <f t="shared" si="17"/>
        <v>0</v>
      </c>
    </row>
    <row r="193" spans="1:28" ht="89.25" customHeight="1" x14ac:dyDescent="0.3">
      <c r="A193" s="212">
        <f>'Unit Data from Audit Worksheet'!A243</f>
        <v>514</v>
      </c>
      <c r="B193" s="225" t="str">
        <f>'Unit Data from Audit Worksheet'!C243</f>
        <v>Transfer Note</v>
      </c>
      <c r="C193" s="211" t="str">
        <f>'Unit Data from Audit Worksheet'!D243</f>
        <v>Amount of Transfers from the Electric Fund to the General Fund  (Enter as positive)
Include:  Payment in Lieu of Taxes (PILOT)</v>
      </c>
      <c r="D193" s="230"/>
      <c r="E193" s="231">
        <f>'Unit Data from Audit Worksheet'!F243</f>
        <v>0</v>
      </c>
      <c r="F193" s="224">
        <f>IF(L193&lt;0,"Error: Enter as a positive.",)</f>
        <v>0</v>
      </c>
      <c r="G193" s="226"/>
      <c r="H193" s="223"/>
      <c r="I193" s="32"/>
      <c r="J193" s="222">
        <v>514</v>
      </c>
      <c r="K193" s="221" t="s">
        <v>250</v>
      </c>
      <c r="L193" s="289">
        <f t="shared" si="15"/>
        <v>0</v>
      </c>
      <c r="P193" s="199"/>
      <c r="X193" s="552">
        <v>514</v>
      </c>
      <c r="Y193" s="3">
        <v>514</v>
      </c>
      <c r="AA193" s="386">
        <f t="shared" si="16"/>
        <v>0</v>
      </c>
      <c r="AB193" s="286">
        <f t="shared" si="17"/>
        <v>0</v>
      </c>
    </row>
    <row r="194" spans="1:28" ht="89.25" customHeight="1" x14ac:dyDescent="0.3">
      <c r="A194" s="212">
        <f>'Unit Data from Audit Worksheet'!A244</f>
        <v>990</v>
      </c>
      <c r="B194" s="225" t="str">
        <f>'Unit Data from Audit Worksheet'!C244</f>
        <v>Transfer Note</v>
      </c>
      <c r="C194" s="211" t="str">
        <f>'Unit Data from Audit Worksheet'!D244</f>
        <v>Amount of transfer out of the Electric to the General Fund that is for Payment in Lieu of Taxes (PILOT)</v>
      </c>
      <c r="D194" s="230"/>
      <c r="E194" s="231">
        <f>'Unit Data from Audit Worksheet'!F244</f>
        <v>0</v>
      </c>
      <c r="F194" s="224"/>
      <c r="G194" s="226"/>
      <c r="H194" s="223"/>
      <c r="I194" s="32"/>
      <c r="J194" s="222">
        <v>990</v>
      </c>
      <c r="K194" s="221" t="s">
        <v>583</v>
      </c>
      <c r="L194" s="289">
        <f t="shared" si="15"/>
        <v>0</v>
      </c>
      <c r="P194" s="199"/>
      <c r="X194" s="552">
        <v>990</v>
      </c>
      <c r="Y194" s="3">
        <v>990</v>
      </c>
      <c r="AA194" s="386">
        <f t="shared" si="16"/>
        <v>0</v>
      </c>
      <c r="AB194" s="286">
        <f t="shared" si="17"/>
        <v>0</v>
      </c>
    </row>
    <row r="195" spans="1:28" s="386" customFormat="1" ht="89.25" customHeight="1" x14ac:dyDescent="0.3">
      <c r="A195" s="212">
        <f>'Unit Data from Audit Worksheet'!A245</f>
        <v>1051</v>
      </c>
      <c r="B195" s="225" t="str">
        <f>'Unit Data from Audit Worksheet'!C245</f>
        <v>Electric Fund Revenue, Expenses &amp; Changes in Fund Net Position or Notes to Financial Statements</v>
      </c>
      <c r="C195" s="211" t="str">
        <f>'Unit Data from Audit Worksheet'!D245</f>
        <v>Transfers to Electric Capital Projects</v>
      </c>
      <c r="D195" s="230"/>
      <c r="E195" s="231">
        <f>'Unit Data from Audit Worksheet'!F245</f>
        <v>0</v>
      </c>
      <c r="F195" s="224"/>
      <c r="G195" s="226"/>
      <c r="H195" s="223"/>
      <c r="I195" s="32"/>
      <c r="J195" s="222">
        <v>1051</v>
      </c>
      <c r="K195" s="221" t="s">
        <v>1505</v>
      </c>
      <c r="L195" s="295">
        <f t="shared" si="15"/>
        <v>0</v>
      </c>
      <c r="M195"/>
      <c r="P195" s="199"/>
      <c r="Q195" s="279"/>
      <c r="X195" s="552"/>
      <c r="AB195" s="286"/>
    </row>
    <row r="196" spans="1:28" ht="84.75" customHeight="1" x14ac:dyDescent="0.3">
      <c r="A196" s="323">
        <f>'Unit Data from Audit Worksheet'!A247</f>
        <v>6</v>
      </c>
      <c r="B196" s="47" t="str">
        <f>'Unit Data from Audit Worksheet'!C247</f>
        <v>Fund Balance Note</v>
      </c>
      <c r="C196" s="298" t="str">
        <f>'Unit Data from Audit Worksheet'!D247</f>
        <v>General Fund -  Total Encumbrances.  You will probably have to refer to the note disclosure where the amount of encumbrances is listed.</v>
      </c>
      <c r="D196" s="230"/>
      <c r="E196" s="144">
        <f>'Unit Data from Audit Worksheet'!F247</f>
        <v>0</v>
      </c>
      <c r="F196" s="31">
        <f>IF(L196&lt;0,"Error: Enter as a positive.",)</f>
        <v>0</v>
      </c>
      <c r="G196" s="66"/>
      <c r="H196" s="223"/>
      <c r="I196" s="32"/>
      <c r="J196" s="35">
        <v>6</v>
      </c>
      <c r="K196" s="125" t="s">
        <v>251</v>
      </c>
      <c r="L196" s="289">
        <f t="shared" si="15"/>
        <v>0</v>
      </c>
      <c r="P196" s="199"/>
      <c r="X196" s="552">
        <v>6</v>
      </c>
      <c r="Y196" s="3">
        <v>6</v>
      </c>
      <c r="AA196" s="386">
        <f t="shared" si="16"/>
        <v>0</v>
      </c>
      <c r="AB196" s="286">
        <f t="shared" si="17"/>
        <v>0</v>
      </c>
    </row>
    <row r="197" spans="1:28" ht="117.75" customHeight="1" x14ac:dyDescent="0.3">
      <c r="A197" s="212">
        <f>'Unit Data from Audit Worksheet'!A249</f>
        <v>541</v>
      </c>
      <c r="B197" s="225" t="str">
        <f>'Unit Data from Audit Worksheet'!C249</f>
        <v>Water Sewer - Budget Actual Statement</v>
      </c>
      <c r="C197" s="225" t="str">
        <f>'Unit Data from Audit Worksheet'!D249</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197" s="230"/>
      <c r="E197" s="231">
        <f>'Unit Data from Audit Worksheet'!F249</f>
        <v>0</v>
      </c>
      <c r="F197" s="224"/>
      <c r="G197" s="226"/>
      <c r="H197" s="223"/>
      <c r="I197" s="32"/>
      <c r="J197" s="222">
        <v>541</v>
      </c>
      <c r="K197" s="81" t="s">
        <v>310</v>
      </c>
      <c r="L197" s="289">
        <f t="shared" si="15"/>
        <v>0</v>
      </c>
      <c r="P197" s="199"/>
      <c r="X197" s="552">
        <v>541</v>
      </c>
      <c r="Y197" s="3">
        <v>541</v>
      </c>
      <c r="AA197" s="386">
        <f t="shared" si="16"/>
        <v>0</v>
      </c>
      <c r="AB197" s="286">
        <f t="shared" si="17"/>
        <v>0</v>
      </c>
    </row>
    <row r="198" spans="1:28" ht="94.5" customHeight="1" x14ac:dyDescent="0.3">
      <c r="A198" s="212">
        <f>'Unit Data from Audit Worksheet'!A251</f>
        <v>542</v>
      </c>
      <c r="B198" s="225" t="str">
        <f>'Unit Data from Audit Worksheet'!C251</f>
        <v>Water Sewer - Disclosed in the Notes or in the recently approved Budget for next year.</v>
      </c>
      <c r="C198" s="211" t="str">
        <f>'Unit Data from Audit Worksheet'!D251</f>
        <v>Amount of the Water Sewer Fund Balance appropriated in next year's budget?</v>
      </c>
      <c r="D198" s="230"/>
      <c r="E198" s="231">
        <f>'Unit Data from Audit Worksheet'!F251</f>
        <v>0</v>
      </c>
      <c r="F198" s="224"/>
      <c r="G198" s="226"/>
      <c r="H198" s="223"/>
      <c r="I198" s="32"/>
      <c r="J198" s="222">
        <v>542</v>
      </c>
      <c r="K198" s="221" t="s">
        <v>252</v>
      </c>
      <c r="L198" s="289">
        <f t="shared" si="15"/>
        <v>0</v>
      </c>
      <c r="N198" s="54" t="s">
        <v>301</v>
      </c>
      <c r="P198" s="199"/>
      <c r="X198" s="552">
        <v>542</v>
      </c>
      <c r="Y198" s="3">
        <v>542</v>
      </c>
      <c r="AA198" s="386">
        <f t="shared" si="16"/>
        <v>0</v>
      </c>
      <c r="AB198" s="286">
        <f t="shared" si="17"/>
        <v>0</v>
      </c>
    </row>
    <row r="199" spans="1:28" ht="93.75" customHeight="1" x14ac:dyDescent="0.3">
      <c r="A199" s="212">
        <f>'Unit Data from Audit Worksheet'!A254</f>
        <v>528</v>
      </c>
      <c r="B199" s="225" t="str">
        <f>'Unit Data from Audit Worksheet'!C254</f>
        <v>Analysis of Current Tax Levy Schedule</v>
      </c>
      <c r="C199" s="211" t="str">
        <f>'Unit Data from Audit Worksheet'!D254</f>
        <v>Please enter the Net Current year's levy for property excluding registered motor vehicles-- (after adjusting for discoveries and abatements) - 
Exclude Supplemental Taxes</v>
      </c>
      <c r="D199" s="230"/>
      <c r="E199" s="231">
        <f>'Unit Data from Audit Worksheet'!F254</f>
        <v>0</v>
      </c>
      <c r="F199" s="75" t="str">
        <f>IF(L199=0,"Must be completed if unit levys taxes","")</f>
        <v>Must be completed if unit levys taxes</v>
      </c>
      <c r="G199" s="226"/>
      <c r="H199" s="223"/>
      <c r="I199" s="32"/>
      <c r="J199" s="222">
        <v>528</v>
      </c>
      <c r="K199" s="324" t="s">
        <v>257</v>
      </c>
      <c r="L199" s="289">
        <f t="shared" si="15"/>
        <v>0</v>
      </c>
      <c r="N199" s="76"/>
      <c r="P199" s="199"/>
      <c r="X199" s="552">
        <v>528</v>
      </c>
      <c r="Y199" s="3">
        <v>528</v>
      </c>
      <c r="AA199" s="386">
        <f t="shared" si="16"/>
        <v>0</v>
      </c>
      <c r="AB199" s="286">
        <f t="shared" si="17"/>
        <v>0</v>
      </c>
    </row>
    <row r="200" spans="1:28" s="18" customFormat="1" ht="79.5" customHeight="1" x14ac:dyDescent="0.3">
      <c r="A200" s="212">
        <f>'Unit Data from Audit Worksheet'!A255</f>
        <v>529</v>
      </c>
      <c r="B200" s="225" t="str">
        <f>'Unit Data from Audit Worksheet'!C255</f>
        <v>Analysis of Current Tax Levy Schedule</v>
      </c>
      <c r="C200" s="211" t="str">
        <f>'Unit Data from Audit Worksheet'!D255</f>
        <v>Please enter the Net Current year's levy -- Motor vehicles (only) (after adjusting for discoveries and abatements)
Exclude supplemental taxes</v>
      </c>
      <c r="D200" s="230"/>
      <c r="E200" s="231">
        <f>'Unit Data from Audit Worksheet'!F255</f>
        <v>0</v>
      </c>
      <c r="F200" s="75" t="str">
        <f>IF(L200=0,"Must be completed if unit levys taxes","")</f>
        <v>Must be completed if unit levys taxes</v>
      </c>
      <c r="G200" s="226"/>
      <c r="H200" s="223"/>
      <c r="I200" s="32"/>
      <c r="J200" s="222">
        <v>529</v>
      </c>
      <c r="K200" s="324" t="s">
        <v>258</v>
      </c>
      <c r="L200" s="289">
        <f t="shared" si="15"/>
        <v>0</v>
      </c>
      <c r="M200"/>
      <c r="N200" s="76"/>
      <c r="P200" s="199"/>
      <c r="Q200" s="279"/>
      <c r="R200" s="3"/>
      <c r="S200" s="3"/>
      <c r="T200" s="3"/>
      <c r="U200" s="3"/>
      <c r="V200" s="3"/>
      <c r="W200" s="3"/>
      <c r="X200" s="552">
        <v>529</v>
      </c>
      <c r="Y200" s="3">
        <v>529</v>
      </c>
      <c r="Z200" s="3"/>
      <c r="AA200" s="386">
        <f t="shared" si="16"/>
        <v>0</v>
      </c>
      <c r="AB200" s="286">
        <f t="shared" si="17"/>
        <v>0</v>
      </c>
    </row>
    <row r="201" spans="1:28" s="18" customFormat="1" ht="75" customHeight="1" x14ac:dyDescent="0.3">
      <c r="A201" s="212">
        <f>'Unit Data from Audit Worksheet'!A256</f>
        <v>530</v>
      </c>
      <c r="B201" s="225" t="str">
        <f>'Unit Data from Audit Worksheet'!C256</f>
        <v>Analysis of Current Tax Levy Schedule</v>
      </c>
      <c r="C201" s="211" t="str">
        <f>'Unit Data from Audit Worksheet'!D256</f>
        <v>Uncollected Taxes - Curr Year's Levy Exclude Motor Vehicles
Exclude supplemental taxes</v>
      </c>
      <c r="D201" s="230"/>
      <c r="E201" s="231">
        <f>'Unit Data from Audit Worksheet'!F256</f>
        <v>0</v>
      </c>
      <c r="F201" s="75" t="str">
        <f>IF(L201=0,"Must be completed if unit levys taxes","")</f>
        <v>Must be completed if unit levys taxes</v>
      </c>
      <c r="G201" s="226"/>
      <c r="H201" s="223"/>
      <c r="I201" s="32"/>
      <c r="J201" s="222">
        <v>530</v>
      </c>
      <c r="K201" s="324" t="s">
        <v>259</v>
      </c>
      <c r="L201" s="289">
        <f t="shared" ref="L201:L207" si="18">IF(D201="",E201,D201)</f>
        <v>0</v>
      </c>
      <c r="M201"/>
      <c r="N201" s="76"/>
      <c r="P201" s="199"/>
      <c r="Q201" s="279"/>
      <c r="R201" s="3"/>
      <c r="S201" s="3"/>
      <c r="T201" s="3"/>
      <c r="U201" s="3"/>
      <c r="V201" s="3"/>
      <c r="W201" s="3"/>
      <c r="X201" s="552">
        <v>530</v>
      </c>
      <c r="Y201" s="3">
        <v>530</v>
      </c>
      <c r="Z201" s="3"/>
      <c r="AA201" s="386">
        <f t="shared" si="16"/>
        <v>0</v>
      </c>
      <c r="AB201" s="286">
        <f t="shared" si="17"/>
        <v>0</v>
      </c>
    </row>
    <row r="202" spans="1:28" s="18" customFormat="1" ht="68.25" customHeight="1" x14ac:dyDescent="0.3">
      <c r="A202" s="212">
        <f>'Unit Data from Audit Worksheet'!A257</f>
        <v>531</v>
      </c>
      <c r="B202" s="225" t="str">
        <f>'Unit Data from Audit Worksheet'!C257</f>
        <v>Analysis of Current Tax Levy Schedule</v>
      </c>
      <c r="C202" s="211" t="str">
        <f>'Unit Data from Audit Worksheet'!D257</f>
        <v>Uncollected Taxes - Curr Year's Levy Motor Vehicles
Exclude supplemental taxes</v>
      </c>
      <c r="D202" s="230"/>
      <c r="E202" s="231">
        <f>'Unit Data from Audit Worksheet'!F257</f>
        <v>0</v>
      </c>
      <c r="F202" s="75"/>
      <c r="G202" s="226"/>
      <c r="H202" s="223"/>
      <c r="I202" s="32"/>
      <c r="J202" s="222">
        <v>531</v>
      </c>
      <c r="K202" s="324" t="s">
        <v>260</v>
      </c>
      <c r="L202" s="289">
        <f t="shared" si="18"/>
        <v>0</v>
      </c>
      <c r="M202"/>
      <c r="N202" s="76" t="str">
        <f>IF(T183=0,"Must be completed if unit levys taxes, zero acceptable if Motor Vehicle collection rate is 100%","")</f>
        <v>Must be completed if unit levys taxes, zero acceptable if Motor Vehicle collection rate is 100%</v>
      </c>
      <c r="P202" s="199"/>
      <c r="Q202" s="279"/>
      <c r="R202" s="3"/>
      <c r="S202" s="3"/>
      <c r="T202" s="3"/>
      <c r="U202" s="3"/>
      <c r="V202" s="3"/>
      <c r="W202" s="3"/>
      <c r="X202" s="552">
        <v>531</v>
      </c>
      <c r="Y202" s="3">
        <v>531</v>
      </c>
      <c r="Z202" s="3"/>
      <c r="AA202" s="386">
        <f t="shared" si="16"/>
        <v>0</v>
      </c>
      <c r="AB202" s="286">
        <f t="shared" si="17"/>
        <v>0</v>
      </c>
    </row>
    <row r="203" spans="1:28" ht="90.75" customHeight="1" x14ac:dyDescent="0.3">
      <c r="A203" s="212">
        <f>'Unit Data from Audit Worksheet'!A258</f>
        <v>61</v>
      </c>
      <c r="B203" s="225" t="str">
        <f>'Unit Data from Audit Worksheet'!C258</f>
        <v>Analysis of Current Tax Levy Schedule</v>
      </c>
      <c r="C203" s="211" t="str">
        <f>'Unit Data from Audit Worksheet'!D258</f>
        <v>Tax collection rate- Total Levy UNIT-WIDE
Exclude supplemental taxes
(Enter as a percentage with two decimal places)</v>
      </c>
      <c r="D203" s="82"/>
      <c r="E203" s="141">
        <f>'Unit Data from Audit Worksheet'!F258</f>
        <v>0</v>
      </c>
      <c r="F203" s="80" t="str">
        <f>IF(L203=H203,"","Column H calculates the percentage using accounts 528, 529, 530, 531, please enter the correct amounts from the audit schedule for these cells")</f>
        <v/>
      </c>
      <c r="G203" s="226" t="str">
        <f>IF(Q180=1," Included in error count"," ")</f>
        <v xml:space="preserve"> </v>
      </c>
      <c r="H203" s="226">
        <f>ROUND(IFERROR(((L199+L200)-(L201+L202))/(L199+L200)*100,0),2)</f>
        <v>0</v>
      </c>
      <c r="I203" s="32"/>
      <c r="J203" s="222">
        <v>61</v>
      </c>
      <c r="K203" s="52" t="s">
        <v>254</v>
      </c>
      <c r="L203" s="734">
        <f t="shared" si="18"/>
        <v>0</v>
      </c>
      <c r="N203" s="76"/>
      <c r="P203" s="199"/>
      <c r="X203" s="552">
        <v>61</v>
      </c>
      <c r="Y203" s="3">
        <v>61</v>
      </c>
      <c r="AA203" s="386">
        <f t="shared" si="16"/>
        <v>0</v>
      </c>
      <c r="AB203" s="286">
        <f t="shared" si="17"/>
        <v>0</v>
      </c>
    </row>
    <row r="204" spans="1:28" ht="89.25" customHeight="1" x14ac:dyDescent="0.3">
      <c r="A204" s="212">
        <f>'Unit Data from Audit Worksheet'!A259</f>
        <v>102</v>
      </c>
      <c r="B204" s="225" t="str">
        <f>'Unit Data from Audit Worksheet'!C259</f>
        <v>Analysis of Current Tax Levy Schedule</v>
      </c>
      <c r="C204" s="211" t="str">
        <f>'Unit Data from Audit Worksheet'!D259</f>
        <v>Tax collection rate - Excluding Registered motor vehicles
Exclude supplemental taxes
(Enter as a percentage with two decimal places)</v>
      </c>
      <c r="D204" s="82"/>
      <c r="E204" s="141">
        <f>'Unit Data from Audit Worksheet'!F259</f>
        <v>0</v>
      </c>
      <c r="F204" s="80" t="str">
        <f>IF(L204=H204,"","Column H calculates the percentage using accounts 528 and 530,  please enter the correct amounts from the audit schedule for these cells")</f>
        <v/>
      </c>
      <c r="G204" s="226" t="str">
        <f>IF(Q181=1," Included in error count"," ")</f>
        <v xml:space="preserve"> </v>
      </c>
      <c r="H204" s="226">
        <f>ROUND(IFERROR(((L199)-(L201))/(L199)*100,0),2)</f>
        <v>0</v>
      </c>
      <c r="I204" s="32"/>
      <c r="J204" s="222">
        <v>102</v>
      </c>
      <c r="K204" s="52" t="s">
        <v>255</v>
      </c>
      <c r="L204" s="734">
        <f t="shared" si="18"/>
        <v>0</v>
      </c>
      <c r="N204" s="76"/>
      <c r="P204" s="199"/>
      <c r="X204" s="552">
        <v>102</v>
      </c>
      <c r="Y204" s="3">
        <v>102</v>
      </c>
      <c r="AA204" s="386">
        <f t="shared" si="16"/>
        <v>0</v>
      </c>
      <c r="AB204" s="286">
        <f t="shared" si="17"/>
        <v>0</v>
      </c>
    </row>
    <row r="205" spans="1:28" ht="87.75" customHeight="1" x14ac:dyDescent="0.3">
      <c r="A205" s="212">
        <f>'Unit Data from Audit Worksheet'!A260</f>
        <v>103</v>
      </c>
      <c r="B205" s="225" t="str">
        <f>'Unit Data from Audit Worksheet'!C260</f>
        <v>Analysis of Current Tax Levy Schedule</v>
      </c>
      <c r="C205" s="211" t="str">
        <f>'Unit Data from Audit Worksheet'!D260</f>
        <v>Tax collection rate - Registered motor vehicles
Exclude supplemental taxes
(Enter as a percentage with two decimal places)</v>
      </c>
      <c r="D205" s="82"/>
      <c r="E205" s="141">
        <f>'Unit Data from Audit Worksheet'!F260</f>
        <v>0</v>
      </c>
      <c r="F205" s="80" t="str">
        <f>IF(L205=H205,"","Column H calculates the percentage using accounts 529 and 531, please enter the correct amounts from the audit schedule for these cells")</f>
        <v/>
      </c>
      <c r="G205" s="226" t="str">
        <f>IF(Q182=1," Included in error count"," ")</f>
        <v xml:space="preserve"> </v>
      </c>
      <c r="H205" s="226">
        <f>ROUND(IFERROR(((L200)-(L202))/(L200)*100,0),2)</f>
        <v>0</v>
      </c>
      <c r="I205" s="32"/>
      <c r="J205" s="222">
        <v>103</v>
      </c>
      <c r="K205" s="52" t="s">
        <v>256</v>
      </c>
      <c r="L205" s="734">
        <f t="shared" si="18"/>
        <v>0</v>
      </c>
      <c r="N205" s="76"/>
      <c r="P205" s="199"/>
      <c r="X205" s="552">
        <v>103</v>
      </c>
      <c r="Y205" s="3">
        <v>103</v>
      </c>
      <c r="AA205" s="386">
        <f t="shared" si="16"/>
        <v>0</v>
      </c>
      <c r="AB205" s="286">
        <f t="shared" si="17"/>
        <v>0</v>
      </c>
    </row>
    <row r="206" spans="1:28" ht="86.25" customHeight="1" x14ac:dyDescent="0.3">
      <c r="A206" s="212">
        <f>'Unit Data from Audit Worksheet'!A261</f>
        <v>544</v>
      </c>
      <c r="B206" s="225" t="str">
        <f>'Unit Data from Audit Worksheet'!C261</f>
        <v>Analysis of Current Tax Levy Schedule</v>
      </c>
      <c r="C206" s="211" t="str">
        <f>'Unit Data from Audit Worksheet'!D261</f>
        <v>Property Tax Increase for Year Audited- enter amount of  increase in cents per $100 - leave blank if no increase 
Exclude supplemental taxes</v>
      </c>
      <c r="D206" s="230"/>
      <c r="E206" s="138">
        <f>'Unit Data from Audit Worksheet'!F261</f>
        <v>0</v>
      </c>
      <c r="F206" s="96"/>
      <c r="G206" s="226"/>
      <c r="H206" s="223">
        <f>'Unit Data from Audit Worksheet'!I261</f>
        <v>0</v>
      </c>
      <c r="I206" s="32"/>
      <c r="J206" s="222">
        <v>544</v>
      </c>
      <c r="K206" s="52" t="s">
        <v>52</v>
      </c>
      <c r="L206" s="325">
        <f t="shared" si="18"/>
        <v>0</v>
      </c>
      <c r="N206" s="54" t="s">
        <v>301</v>
      </c>
      <c r="P206" s="199"/>
      <c r="X206" s="552">
        <v>544</v>
      </c>
      <c r="Y206" s="3">
        <v>544</v>
      </c>
      <c r="AA206" s="386">
        <f t="shared" si="16"/>
        <v>0</v>
      </c>
      <c r="AB206" s="286">
        <f t="shared" si="17"/>
        <v>0</v>
      </c>
    </row>
    <row r="207" spans="1:28" ht="93.75" customHeight="1" x14ac:dyDescent="0.3">
      <c r="A207" s="212">
        <f>'Unit Data from Audit Worksheet'!A262</f>
        <v>545</v>
      </c>
      <c r="B207" s="225" t="str">
        <f>'Unit Data from Audit Worksheet'!C262</f>
        <v>Analysis of Current Tax Levy Schedule</v>
      </c>
      <c r="C207" s="211" t="str">
        <f>'Unit Data from Audit Worksheet'!D262</f>
        <v>Property Tax Increase for budget year after fiscal year being reported - enter amount of increase in cents per $100- leave blank if no increase
Exclude supplemental taxes</v>
      </c>
      <c r="D207" s="230"/>
      <c r="E207" s="138">
        <f>'Unit Data from Audit Worksheet'!F262</f>
        <v>0</v>
      </c>
      <c r="F207" s="224"/>
      <c r="G207" s="226"/>
      <c r="H207" s="223">
        <f>'Unit Data from Audit Worksheet'!I262</f>
        <v>0</v>
      </c>
      <c r="I207" s="32"/>
      <c r="J207" s="97">
        <v>545</v>
      </c>
      <c r="K207" s="52" t="s">
        <v>53</v>
      </c>
      <c r="L207" s="325">
        <f t="shared" si="18"/>
        <v>0</v>
      </c>
      <c r="N207" s="54" t="s">
        <v>301</v>
      </c>
      <c r="O207" s="297"/>
      <c r="P207" s="199"/>
      <c r="X207" s="552">
        <v>545</v>
      </c>
      <c r="Y207" s="3">
        <v>545</v>
      </c>
      <c r="AA207" s="386">
        <f t="shared" si="16"/>
        <v>0</v>
      </c>
      <c r="AB207" s="286">
        <f t="shared" si="17"/>
        <v>0</v>
      </c>
    </row>
    <row r="208" spans="1:28" ht="72.75" customHeight="1" x14ac:dyDescent="0.3">
      <c r="A208" s="212">
        <f>'Unit Data from Audit Worksheet'!A263</f>
        <v>624</v>
      </c>
      <c r="B208" s="225"/>
      <c r="C208" s="211" t="str">
        <f>'Unit Data from Audit Worksheet'!D263</f>
        <v>Does the County collect real estate property taxes on your behalf? Select "1" for "yes and "2" for "No"</v>
      </c>
      <c r="D208" s="230"/>
      <c r="E208" s="146">
        <f>'Unit Data from Audit Worksheet'!F263</f>
        <v>0</v>
      </c>
      <c r="F208" s="224"/>
      <c r="G208" s="226"/>
      <c r="H208" s="223"/>
      <c r="I208" s="32"/>
      <c r="J208" s="97">
        <v>624</v>
      </c>
      <c r="K208" s="52" t="s">
        <v>358</v>
      </c>
      <c r="L208" s="289">
        <f t="shared" ref="L208:L226" si="19">IF(D208="",E208,D208)</f>
        <v>0</v>
      </c>
      <c r="P208" s="199"/>
      <c r="X208" s="552">
        <v>624</v>
      </c>
      <c r="Y208" s="3">
        <v>624</v>
      </c>
      <c r="AA208" s="386">
        <f t="shared" si="16"/>
        <v>0</v>
      </c>
      <c r="AB208" s="286">
        <f t="shared" si="17"/>
        <v>0</v>
      </c>
    </row>
    <row r="209" spans="1:28" ht="72.75" customHeight="1" x14ac:dyDescent="0.3">
      <c r="A209" s="212">
        <f>'Unit Data from Audit Worksheet'!A264</f>
        <v>648</v>
      </c>
      <c r="B209" s="225"/>
      <c r="C209" s="211" t="str">
        <f>'Unit Data from Audit Worksheet'!D264</f>
        <v>Please enter your tax rate for ad valorem in effect for fiscal year audited.  Example 60 cents per 100 would be entered as .60</v>
      </c>
      <c r="D209" s="230"/>
      <c r="E209" s="138">
        <f>'Unit Data from Audit Worksheet'!F264</f>
        <v>0</v>
      </c>
      <c r="F209" s="224"/>
      <c r="G209" s="226"/>
      <c r="H209" s="223"/>
      <c r="I209" s="32"/>
      <c r="J209" s="97">
        <v>648</v>
      </c>
      <c r="K209" s="326" t="s">
        <v>608</v>
      </c>
      <c r="L209" s="735">
        <f t="shared" si="19"/>
        <v>0</v>
      </c>
      <c r="P209" s="199"/>
      <c r="X209" s="552">
        <v>648</v>
      </c>
      <c r="Y209" s="3">
        <v>648</v>
      </c>
      <c r="AA209" s="386">
        <f t="shared" si="16"/>
        <v>0</v>
      </c>
      <c r="AB209" s="286">
        <f t="shared" si="17"/>
        <v>0</v>
      </c>
    </row>
    <row r="210" spans="1:28" ht="161.25" customHeight="1" x14ac:dyDescent="0.3">
      <c r="A210" s="212">
        <f>'Unit Data from Audit Worksheet'!A265</f>
        <v>991</v>
      </c>
      <c r="B210" s="225"/>
      <c r="C210" s="211" t="str">
        <f>'Unit Data from Audit Worksheet'!D265</f>
        <v>The Counties listed in cell H260 and municipalities within these counties are scheduled to revalue property listing by 1/1/2024 according to the Dept. of Revenue records.  Please indicate if you expect your revaluation to: 
Enter  "20" for increase, 
            "21" for decrease, 
            "22" for no change,
            "23" if this question is not applicable
Select from drop list.</v>
      </c>
      <c r="D210" s="230"/>
      <c r="E210" s="146">
        <f>'Unit Data from Audit Worksheet'!F265</f>
        <v>0</v>
      </c>
      <c r="F210" s="224"/>
      <c r="G210" s="226"/>
      <c r="H210" s="223" t="str">
        <f>'Unit Data from Audit Worksheet'!H265</f>
        <v>Cabarrus, Carteret, Edgecome, Franklin, Granville, Halifax, Nash, Perquimans, Pitt, Richmond, Roberson, Rockingham, Vance, Wake, Wilson, Yancey</v>
      </c>
      <c r="I210" s="32"/>
      <c r="J210" s="97">
        <v>991</v>
      </c>
      <c r="K210" s="52" t="s">
        <v>874</v>
      </c>
      <c r="L210" s="289">
        <f t="shared" si="19"/>
        <v>0</v>
      </c>
      <c r="P210" s="199"/>
      <c r="X210" s="552">
        <v>991</v>
      </c>
      <c r="Y210" s="3">
        <v>991</v>
      </c>
      <c r="AA210" s="386">
        <f t="shared" ref="AA210:AA260" si="20">A210-J210</f>
        <v>0</v>
      </c>
      <c r="AB210" s="286">
        <f t="shared" ref="AB210:AB246" si="21">E210-L210</f>
        <v>0</v>
      </c>
    </row>
    <row r="211" spans="1:28" ht="87.75" customHeight="1" x14ac:dyDescent="0.3">
      <c r="A211" s="212">
        <f>'Unit Data from Audit Worksheet'!A267</f>
        <v>620</v>
      </c>
      <c r="B211" s="225"/>
      <c r="C211" s="211" t="str">
        <f>'Unit Data from Audit Worksheet'!D267</f>
        <v>Do you expect to issue debt requiring LGC approval within 12 months from the date that the audit is submitted - select "1" for yes and "2" for no</v>
      </c>
      <c r="D211" s="230"/>
      <c r="E211" s="146">
        <f>'Unit Data from Audit Worksheet'!F267</f>
        <v>0</v>
      </c>
      <c r="F211" s="224"/>
      <c r="G211" s="226"/>
      <c r="H211" s="223">
        <f>'Unit Data from Audit Worksheet'!I267</f>
        <v>0</v>
      </c>
      <c r="I211" s="32"/>
      <c r="J211" s="97">
        <v>620</v>
      </c>
      <c r="K211" s="52" t="s">
        <v>603</v>
      </c>
      <c r="L211" s="289">
        <f t="shared" si="19"/>
        <v>0</v>
      </c>
      <c r="N211" s="128"/>
      <c r="P211" s="199"/>
      <c r="X211" s="552">
        <v>620</v>
      </c>
      <c r="Y211" s="3">
        <v>620</v>
      </c>
      <c r="AA211" s="386">
        <f t="shared" si="20"/>
        <v>0</v>
      </c>
      <c r="AB211" s="286">
        <f t="shared" si="21"/>
        <v>0</v>
      </c>
    </row>
    <row r="212" spans="1:28" ht="87.75" customHeight="1" x14ac:dyDescent="0.3">
      <c r="A212" s="212">
        <f>'TD Info Completed by Auditor'!A11</f>
        <v>906</v>
      </c>
      <c r="B212" s="124" t="s">
        <v>600</v>
      </c>
      <c r="C212" s="212" t="str">
        <f>'TD Info Completed by Auditor'!B11</f>
        <v>Is the Independent Auditor's Report Opinion Unmodified?</v>
      </c>
      <c r="D212" s="230"/>
      <c r="E212" s="214">
        <f>IF(+'TD Info Completed by Auditor'!C11="Yes",1,IF(+'TD Info Completed by Auditor'!C11="No",2,IF(+'TD Info Completed by Auditor'!C11="N/A",3,0)))</f>
        <v>0</v>
      </c>
      <c r="F212" s="224"/>
      <c r="G212" s="226"/>
      <c r="H212" s="223"/>
      <c r="I212" s="32"/>
      <c r="J212" s="182">
        <v>906</v>
      </c>
      <c r="K212" s="52" t="s">
        <v>472</v>
      </c>
      <c r="L212" s="295">
        <f t="shared" si="19"/>
        <v>0</v>
      </c>
      <c r="N212" s="246" t="s">
        <v>657</v>
      </c>
      <c r="P212" s="195"/>
      <c r="X212" s="286" t="e">
        <v>#N/A</v>
      </c>
      <c r="AA212" s="386">
        <f t="shared" si="20"/>
        <v>0</v>
      </c>
      <c r="AB212" s="286">
        <f t="shared" si="21"/>
        <v>0</v>
      </c>
    </row>
    <row r="213" spans="1:28" ht="87.75" customHeight="1" x14ac:dyDescent="0.3">
      <c r="A213" s="212">
        <f>'TD Info Completed by Auditor'!A12</f>
        <v>907</v>
      </c>
      <c r="B213" s="124" t="s">
        <v>600</v>
      </c>
      <c r="C213" s="212" t="str">
        <f>'TD Info Completed by Auditor'!B12</f>
        <v xml:space="preserve">Is there a finding for lack of segregation of duties at this unit? </v>
      </c>
      <c r="D213" s="230"/>
      <c r="E213" s="214">
        <f>IF(+'TD Info Completed by Auditor'!C12="Yes",1,IF(+'TD Info Completed by Auditor'!C12="No",2,IF(+'TD Info Completed by Auditor'!C12="N/A",3,0)))</f>
        <v>0</v>
      </c>
      <c r="F213" s="224"/>
      <c r="G213" s="226"/>
      <c r="H213" s="223"/>
      <c r="I213" s="32"/>
      <c r="J213" s="182">
        <v>907</v>
      </c>
      <c r="K213" s="52" t="s">
        <v>473</v>
      </c>
      <c r="L213" s="295">
        <f t="shared" si="19"/>
        <v>0</v>
      </c>
      <c r="N213" s="246" t="s">
        <v>657</v>
      </c>
      <c r="P213" s="196"/>
      <c r="X213" s="286" t="e">
        <v>#N/A</v>
      </c>
      <c r="Y213" s="386"/>
      <c r="AA213" s="386">
        <f t="shared" si="20"/>
        <v>0</v>
      </c>
      <c r="AB213" s="286">
        <f t="shared" si="21"/>
        <v>0</v>
      </c>
    </row>
    <row r="214" spans="1:28" s="386" customFormat="1" ht="87.75" customHeight="1" x14ac:dyDescent="0.3">
      <c r="A214" s="212">
        <f>'TD Info Completed by Auditor'!A13</f>
        <v>1055</v>
      </c>
      <c r="B214" s="124"/>
      <c r="C214" s="212" t="str">
        <f>'TD Info Completed by Auditor'!B13</f>
        <v xml:space="preserve"> Did your audit disclose bank reconciliations or subsidiary ledger reconciliations not performed timely? (Yes or No)</v>
      </c>
      <c r="D214" s="230"/>
      <c r="E214" s="214">
        <f>IF(+'TD Info Completed by Auditor'!C13="Yes",1,IF(+'TD Info Completed by Auditor'!C13="No",2,IF(+'TD Info Completed by Auditor'!C13="N/A",3,0)))</f>
        <v>0</v>
      </c>
      <c r="F214" s="224"/>
      <c r="G214" s="226"/>
      <c r="H214" s="223"/>
      <c r="I214" s="32"/>
      <c r="J214" s="182">
        <v>1055</v>
      </c>
      <c r="K214" s="212" t="s">
        <v>1603</v>
      </c>
      <c r="L214" s="295">
        <f t="shared" si="19"/>
        <v>0</v>
      </c>
      <c r="M214"/>
      <c r="N214" s="246" t="s">
        <v>657</v>
      </c>
      <c r="P214" s="197"/>
      <c r="Q214" s="279"/>
      <c r="X214" s="286"/>
      <c r="AA214" s="386">
        <f t="shared" si="20"/>
        <v>0</v>
      </c>
      <c r="AB214" s="286"/>
    </row>
    <row r="215" spans="1:28" s="386" customFormat="1" ht="87.75" customHeight="1" x14ac:dyDescent="0.3">
      <c r="A215" s="212">
        <f>'TD Info Completed by Auditor'!A14</f>
        <v>1056</v>
      </c>
      <c r="B215" s="124"/>
      <c r="C215" s="212" t="str">
        <f>'TD Info Completed by Auditor'!B14</f>
        <v>Did your audit disclose as a finding that the unit’s records were not completed by the agreed upon time? (Yes or No)</v>
      </c>
      <c r="D215" s="230"/>
      <c r="E215" s="214">
        <f>IF(+'TD Info Completed by Auditor'!C14="Yes",1,IF(+'TD Info Completed by Auditor'!C14="No",2,IF(+'TD Info Completed by Auditor'!C14="N/A",3,0)))</f>
        <v>0</v>
      </c>
      <c r="F215" s="224"/>
      <c r="G215" s="226"/>
      <c r="H215" s="223"/>
      <c r="I215" s="32"/>
      <c r="J215" s="182">
        <v>1056</v>
      </c>
      <c r="K215" s="212" t="s">
        <v>1604</v>
      </c>
      <c r="L215" s="295">
        <f t="shared" si="19"/>
        <v>0</v>
      </c>
      <c r="M215"/>
      <c r="N215" s="246" t="s">
        <v>657</v>
      </c>
      <c r="P215" s="197"/>
      <c r="Q215" s="279"/>
      <c r="X215" s="286"/>
      <c r="AA215" s="386">
        <f t="shared" si="20"/>
        <v>0</v>
      </c>
      <c r="AB215" s="286"/>
    </row>
    <row r="216" spans="1:28" s="386" customFormat="1" ht="87.75" customHeight="1" x14ac:dyDescent="0.3">
      <c r="A216" s="212">
        <f>'TD Info Completed by Auditor'!A15</f>
        <v>1057</v>
      </c>
      <c r="B216" s="124"/>
      <c r="C216" s="212" t="str">
        <f>'TD Info Completed by Auditor'!B15</f>
        <v>Did your audit disclose any budget violations at the adopted ordinance level? (Yes or No)</v>
      </c>
      <c r="D216" s="230"/>
      <c r="E216" s="214">
        <f>IF(+'TD Info Completed by Auditor'!C15="Yes",1,IF(+'TD Info Completed by Auditor'!C15="No",2,IF(+'TD Info Completed by Auditor'!C15="N/A",3,0)))</f>
        <v>0</v>
      </c>
      <c r="F216" s="224"/>
      <c r="G216" s="226"/>
      <c r="H216" s="223"/>
      <c r="I216" s="32"/>
      <c r="J216" s="182">
        <v>1057</v>
      </c>
      <c r="K216" s="780" t="s">
        <v>2718</v>
      </c>
      <c r="L216" s="295">
        <f t="shared" si="19"/>
        <v>0</v>
      </c>
      <c r="M216"/>
      <c r="N216" s="246" t="s">
        <v>657</v>
      </c>
      <c r="P216" s="197"/>
      <c r="Q216" s="279"/>
      <c r="X216" s="286"/>
      <c r="AA216" s="386">
        <f t="shared" si="20"/>
        <v>0</v>
      </c>
      <c r="AB216" s="286"/>
    </row>
    <row r="217" spans="1:28" s="386" customFormat="1" ht="87.75" customHeight="1" x14ac:dyDescent="0.3">
      <c r="A217" s="212">
        <f>'TD Info Completed by Auditor'!A16</f>
        <v>1058</v>
      </c>
      <c r="B217" s="124"/>
      <c r="C217" s="212" t="str">
        <f>'TD Info Completed by Auditor'!B16</f>
        <v>Did your audit disclose as a finding any statutory violations? (not including budget violations) (Yes or No) If the answer  is "Yes", review whether this needs to be disclosed in the Stewardship, Compliance and Accountability Note</v>
      </c>
      <c r="D217" s="230"/>
      <c r="E217" s="214">
        <f>IF(+'TD Info Completed by Auditor'!C16="Yes",1,IF(+'TD Info Completed by Auditor'!C16="No",2,IF(+'TD Info Completed by Auditor'!C16="N/A",3,0)))</f>
        <v>0</v>
      </c>
      <c r="F217" s="224"/>
      <c r="G217" s="226"/>
      <c r="H217" s="223"/>
      <c r="I217" s="32"/>
      <c r="J217" s="182">
        <v>1058</v>
      </c>
      <c r="K217" s="179" t="s">
        <v>1605</v>
      </c>
      <c r="L217" s="295">
        <f t="shared" si="19"/>
        <v>0</v>
      </c>
      <c r="M217"/>
      <c r="N217" s="246" t="s">
        <v>657</v>
      </c>
      <c r="P217" s="197"/>
      <c r="Q217" s="279"/>
      <c r="X217" s="286"/>
      <c r="AA217" s="386">
        <f t="shared" si="20"/>
        <v>0</v>
      </c>
      <c r="AB217" s="286"/>
    </row>
    <row r="218" spans="1:28" s="386" customFormat="1" ht="159" customHeight="1" x14ac:dyDescent="0.3">
      <c r="A218" s="212">
        <f>'TD Info Completed by Auditor'!A17</f>
        <v>1059</v>
      </c>
      <c r="B218" s="124"/>
      <c r="C218" s="304" t="str">
        <f>'TD Info Completed by Auditor'!B17</f>
        <v xml:space="preserve"> 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v>
      </c>
      <c r="D218" s="230"/>
      <c r="E218" s="214">
        <f>IF(+'TD Info Completed by Auditor'!C17="Yes",1,IF(+'TD Info Completed by Auditor'!C17="No",2,IF(+'TD Info Completed by Auditor'!C17="N/A",3,0)))</f>
        <v>0</v>
      </c>
      <c r="F218" s="224"/>
      <c r="G218" s="226"/>
      <c r="H218" s="223"/>
      <c r="I218" s="32"/>
      <c r="J218" s="182">
        <v>1059</v>
      </c>
      <c r="K218" s="780" t="s">
        <v>1645</v>
      </c>
      <c r="L218" s="295">
        <f t="shared" si="19"/>
        <v>0</v>
      </c>
      <c r="M218"/>
      <c r="N218" s="246" t="s">
        <v>657</v>
      </c>
      <c r="P218" s="197"/>
      <c r="Q218" s="279"/>
      <c r="X218" s="286"/>
      <c r="AA218" s="386">
        <f t="shared" si="20"/>
        <v>0</v>
      </c>
      <c r="AB218" s="286"/>
    </row>
    <row r="219" spans="1:28" s="386" customFormat="1" ht="159" customHeight="1" x14ac:dyDescent="0.3">
      <c r="A219" s="304">
        <v>1078</v>
      </c>
      <c r="B219" s="209"/>
      <c r="C219" s="304" t="str">
        <f>'TD Info Completed by Auditor'!B18</f>
        <v>If the answer to 1059 is "No,"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v>
      </c>
      <c r="D219" s="230"/>
      <c r="E219" s="1013">
        <f>IF(+'TD Info Completed by Auditor'!C18="Yes",1,IF(+'TD Info Completed by Auditor'!C18="No",2,IF(+'TD Info Completed by Auditor'!C18="N/A",3,0)))</f>
        <v>0</v>
      </c>
      <c r="F219" s="227"/>
      <c r="G219" s="226"/>
      <c r="H219" s="223"/>
      <c r="I219" s="32"/>
      <c r="J219" s="119">
        <v>1078</v>
      </c>
      <c r="K219" s="304" t="s">
        <v>2721</v>
      </c>
      <c r="L219" s="1014">
        <f t="shared" si="19"/>
        <v>0</v>
      </c>
      <c r="M219" s="180"/>
      <c r="N219" s="246"/>
      <c r="P219" s="197"/>
      <c r="Q219" s="279"/>
      <c r="X219" s="286"/>
      <c r="AB219" s="286"/>
    </row>
    <row r="220" spans="1:28" s="386" customFormat="1" ht="133.19999999999999" customHeight="1" x14ac:dyDescent="0.3">
      <c r="A220" s="304">
        <v>1067</v>
      </c>
      <c r="B220" s="209"/>
      <c r="C220" s="304" t="str">
        <f>'TD Info Completed by Auditor'!B19</f>
        <v>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v>
      </c>
      <c r="D220" s="230"/>
      <c r="E220" s="214">
        <f>IF(+'TD Info Completed by Auditor'!C19="Yes",1,IF(+'TD Info Completed by Auditor'!C19="No",2,IF(+'TD Info Completed by Auditor'!C19="N/A",3,0)))</f>
        <v>0</v>
      </c>
      <c r="G220" s="224"/>
      <c r="H220" s="223"/>
      <c r="I220" s="32"/>
      <c r="J220" s="119">
        <v>1067</v>
      </c>
      <c r="K220" s="304" t="s">
        <v>1992</v>
      </c>
      <c r="L220" s="306">
        <f t="shared" si="19"/>
        <v>0</v>
      </c>
      <c r="M220" s="180"/>
      <c r="N220" s="246" t="s">
        <v>657</v>
      </c>
      <c r="P220" s="197"/>
      <c r="Q220" s="279"/>
      <c r="X220" s="286"/>
      <c r="AB220" s="286"/>
    </row>
    <row r="221" spans="1:28" s="386" customFormat="1" ht="87.75" customHeight="1" x14ac:dyDescent="0.3">
      <c r="A221" s="212">
        <f>'TD Info Completed by Auditor'!A20</f>
        <v>951</v>
      </c>
      <c r="B221" s="124" t="s">
        <v>600</v>
      </c>
      <c r="C221" s="212" t="str">
        <f>'TD Info Completed by Auditor'!B20</f>
        <v>Is there a finding for lack of technical skills, knowledge and experience (SKE) at this unit?</v>
      </c>
      <c r="D221" s="230"/>
      <c r="E221" s="214">
        <f>IF(+'TD Info Completed by Auditor'!C20="Yes",1,IF(+'TD Info Completed by Auditor'!C20="No",2,IF(+'TD Info Completed by Auditor'!C20="N/A",3,0)))</f>
        <v>0</v>
      </c>
      <c r="F221" s="224"/>
      <c r="G221" s="226"/>
      <c r="H221" s="223"/>
      <c r="I221" s="32"/>
      <c r="J221" s="182">
        <v>951</v>
      </c>
      <c r="K221" s="52" t="s">
        <v>474</v>
      </c>
      <c r="L221" s="295">
        <f>IF(D221="",E221,D221)</f>
        <v>0</v>
      </c>
      <c r="M221"/>
      <c r="N221" s="246" t="s">
        <v>657</v>
      </c>
      <c r="P221" s="197"/>
      <c r="Q221" s="279"/>
      <c r="X221" s="286"/>
      <c r="AB221" s="286"/>
    </row>
    <row r="222" spans="1:28" ht="87.75" customHeight="1" x14ac:dyDescent="0.3">
      <c r="A222" s="212">
        <f>'TD Info Completed by Auditor'!A21</f>
        <v>953</v>
      </c>
      <c r="B222" s="124" t="s">
        <v>600</v>
      </c>
      <c r="C222" s="212" t="str">
        <f>'TD Info Completed by Auditor'!B21</f>
        <v xml:space="preserve">Is there is a going concern noted in the audit report? </v>
      </c>
      <c r="D222" s="230"/>
      <c r="E222" s="214">
        <f>IF(+'TD Info Completed by Auditor'!C21="Yes",1,IF(+'TD Info Completed by Auditor'!C21="No",2,IF(+'TD Info Completed by Auditor'!C21="N/A",3,0)))</f>
        <v>0</v>
      </c>
      <c r="F222" s="224"/>
      <c r="G222" s="226"/>
      <c r="H222" s="223"/>
      <c r="I222" s="32"/>
      <c r="J222" s="182">
        <v>953</v>
      </c>
      <c r="K222" s="1015" t="s">
        <v>2719</v>
      </c>
      <c r="L222" s="295">
        <f t="shared" si="19"/>
        <v>0</v>
      </c>
      <c r="N222" s="246" t="s">
        <v>657</v>
      </c>
      <c r="P222" s="197"/>
      <c r="X222" s="286" t="e">
        <v>#N/A</v>
      </c>
      <c r="Y222" s="386"/>
      <c r="AA222" s="386">
        <f t="shared" si="20"/>
        <v>0</v>
      </c>
      <c r="AB222" s="286">
        <f t="shared" si="21"/>
        <v>0</v>
      </c>
    </row>
    <row r="223" spans="1:28" ht="87.75" customHeight="1" x14ac:dyDescent="0.3">
      <c r="A223" s="212">
        <f>'TD Info Completed by Auditor'!A22</f>
        <v>955</v>
      </c>
      <c r="B223" s="124" t="s">
        <v>600</v>
      </c>
      <c r="C223" s="212" t="str">
        <f>'TD Info Completed by Auditor'!B22</f>
        <v>Number of significant deficiency findings (financial statement findings only)
Exclude findings reported in questions  907, 951</v>
      </c>
      <c r="D223" s="230"/>
      <c r="E223" s="214">
        <f>'TD Info Completed by Auditor'!C22</f>
        <v>0</v>
      </c>
      <c r="F223" s="224"/>
      <c r="G223" s="226"/>
      <c r="H223" s="223"/>
      <c r="I223" s="32"/>
      <c r="J223" s="182">
        <v>955</v>
      </c>
      <c r="K223" s="52" t="s">
        <v>604</v>
      </c>
      <c r="L223" s="295">
        <f t="shared" si="19"/>
        <v>0</v>
      </c>
      <c r="N223" s="246" t="s">
        <v>657</v>
      </c>
      <c r="P223" s="197"/>
      <c r="X223" s="286" t="e">
        <v>#N/A</v>
      </c>
      <c r="Y223" s="386"/>
      <c r="AA223" s="386">
        <f t="shared" si="20"/>
        <v>0</v>
      </c>
      <c r="AB223" s="286">
        <f t="shared" si="21"/>
        <v>0</v>
      </c>
    </row>
    <row r="224" spans="1:28" ht="87.75" customHeight="1" x14ac:dyDescent="0.3">
      <c r="A224" s="212">
        <f>'TD Info Completed by Auditor'!A23</f>
        <v>957</v>
      </c>
      <c r="B224" s="124" t="s">
        <v>600</v>
      </c>
      <c r="C224" s="212" t="str">
        <f>'TD Info Completed by Auditor'!B23</f>
        <v>Number of material weakness findings (financial statement findings only)
Exclude findings reported in questions  907, 951</v>
      </c>
      <c r="D224" s="230"/>
      <c r="E224" s="214">
        <f>'TD Info Completed by Auditor'!C23</f>
        <v>0</v>
      </c>
      <c r="F224" s="224"/>
      <c r="G224" s="226"/>
      <c r="H224" s="223"/>
      <c r="I224" s="32"/>
      <c r="J224" s="182">
        <v>957</v>
      </c>
      <c r="K224" s="52" t="s">
        <v>605</v>
      </c>
      <c r="L224" s="295">
        <f t="shared" si="19"/>
        <v>0</v>
      </c>
      <c r="N224" s="246" t="s">
        <v>657</v>
      </c>
      <c r="P224" s="197"/>
      <c r="X224" s="286" t="e">
        <v>#N/A</v>
      </c>
      <c r="Y224" s="386"/>
      <c r="AA224" s="386">
        <f t="shared" si="20"/>
        <v>0</v>
      </c>
      <c r="AB224" s="286">
        <f t="shared" si="21"/>
        <v>0</v>
      </c>
    </row>
    <row r="225" spans="1:28" ht="289.2" customHeight="1" x14ac:dyDescent="0.3">
      <c r="A225" s="212">
        <f>'TD Info Completed by Auditor'!A24</f>
        <v>973</v>
      </c>
      <c r="B225" s="124" t="s">
        <v>600</v>
      </c>
      <c r="C225" s="212" t="str">
        <f>'TD Info Completed by Auditor'!B24</f>
        <v>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v>
      </c>
      <c r="D225" s="230"/>
      <c r="E225" s="214">
        <f>IF(+'TD Info Completed by Auditor'!C24&gt;0,1,IF(+'TD Info Completed by Auditor'!C24&gt;0,2,IF(+'TD Info Completed by Auditor'!C24&gt;0,3,0)))</f>
        <v>0</v>
      </c>
      <c r="F225" s="224"/>
      <c r="G225" s="226"/>
      <c r="H225" s="223"/>
      <c r="I225" s="32"/>
      <c r="J225" s="182">
        <v>973</v>
      </c>
      <c r="K225" s="52" t="s">
        <v>1565</v>
      </c>
      <c r="L225" s="295">
        <f>IF(D225="",E225,D225)</f>
        <v>0</v>
      </c>
      <c r="N225" s="246" t="s">
        <v>657</v>
      </c>
      <c r="P225" s="203"/>
      <c r="X225" s="286" t="e">
        <v>#N/A</v>
      </c>
      <c r="Y225" s="386"/>
      <c r="AA225" s="386">
        <f>A225-J225</f>
        <v>0</v>
      </c>
      <c r="AB225" s="286">
        <f>E225-L225</f>
        <v>0</v>
      </c>
    </row>
    <row r="226" spans="1:28" ht="87.75" customHeight="1" x14ac:dyDescent="0.3">
      <c r="A226" s="212">
        <f>'TD Info Completed by Auditor'!A25</f>
        <v>959</v>
      </c>
      <c r="B226" s="124" t="s">
        <v>600</v>
      </c>
      <c r="C226" s="212" t="str">
        <f>'TD Info Completed by Auditor'!B25</f>
        <v>Did the Unit have debt service payments deferred or restructured in this fiscal year? (does not include refinancings designed to take advantage of lower interest rates)  Select Yes, No, or NA</v>
      </c>
      <c r="D226" s="230"/>
      <c r="E226" s="214">
        <f>IF(+'TD Info Completed by Auditor'!C25="Yes",1,IF(+'TD Info Completed by Auditor'!C25="No",2,IF(+'TD Info Completed by Auditor'!C25="N/A",3,0)))</f>
        <v>0</v>
      </c>
      <c r="F226" s="224"/>
      <c r="G226" s="226"/>
      <c r="H226" s="223"/>
      <c r="I226" s="32"/>
      <c r="J226" s="182">
        <v>959</v>
      </c>
      <c r="K226" s="52" t="s">
        <v>659</v>
      </c>
      <c r="L226" s="295">
        <f t="shared" si="19"/>
        <v>0</v>
      </c>
      <c r="N226" s="246" t="s">
        <v>657</v>
      </c>
      <c r="P226" s="197"/>
      <c r="X226" s="286" t="e">
        <v>#N/A</v>
      </c>
      <c r="Y226" s="386"/>
      <c r="AA226" s="386">
        <f t="shared" si="20"/>
        <v>0</v>
      </c>
      <c r="AB226" s="286">
        <f t="shared" si="21"/>
        <v>0</v>
      </c>
    </row>
    <row r="227" spans="1:28" s="386" customFormat="1" ht="177.75" customHeight="1" x14ac:dyDescent="0.3">
      <c r="A227" s="212">
        <f>'TD Info Completed by Auditor'!A26</f>
        <v>974</v>
      </c>
      <c r="B227" s="124" t="s">
        <v>600</v>
      </c>
      <c r="C227" s="212" t="str">
        <f>'TD Info Completed by Auditor'!B26</f>
        <v>Did the Unit have any of the following occur:
1.  Bond covenants were not met
2.  Debt service payments made late?  Deferred payments authorized by LGC or other state
     agencies should not be counted as late for purposes of this question.</v>
      </c>
      <c r="D227" s="230"/>
      <c r="E227" s="214">
        <f>IF(+'TD Info Completed by Auditor'!C26="Yes",1,IF(+'TD Info Completed by Auditor'!C26="No",2,IF(+'TD Info Completed by Auditor'!C26="N/A",3,0)))</f>
        <v>0</v>
      </c>
      <c r="F227" s="224"/>
      <c r="G227" s="226"/>
      <c r="H227" s="223"/>
      <c r="I227" s="32"/>
      <c r="J227" s="182">
        <v>974</v>
      </c>
      <c r="K227" s="52" t="s">
        <v>809</v>
      </c>
      <c r="L227" s="295">
        <f t="shared" ref="L227" si="22">IF(D227="",E227,D227)</f>
        <v>0</v>
      </c>
      <c r="M227"/>
      <c r="N227" s="246" t="s">
        <v>657</v>
      </c>
      <c r="P227" s="203"/>
      <c r="Q227" s="279"/>
      <c r="X227" s="286"/>
      <c r="AB227" s="286"/>
    </row>
    <row r="228" spans="1:28" ht="87.75" customHeight="1" x14ac:dyDescent="0.3">
      <c r="A228" s="212">
        <f>'TD Info Completed by Auditor'!A33</f>
        <v>975</v>
      </c>
      <c r="B228" s="124" t="s">
        <v>600</v>
      </c>
      <c r="C228" s="305" t="str">
        <f>'TD Info Completed by Auditor'!B33</f>
        <v>Does the Performance Indicator Print worksheet in this workbook have a red shaded cell?</v>
      </c>
      <c r="D228" s="230"/>
      <c r="E228" s="214">
        <f>IF(+'TD Info Completed by Auditor'!C33="Yes",1,IF(+'TD Info Completed by Auditor'!C33="No",2,IF(+'TD Info Completed by Auditor'!C33="N/A",3,0)))</f>
        <v>0</v>
      </c>
      <c r="F228" s="224"/>
      <c r="G228" s="226"/>
      <c r="H228" s="223"/>
      <c r="I228" s="32"/>
      <c r="J228" s="182">
        <v>975</v>
      </c>
      <c r="K228" s="1015" t="s">
        <v>2720</v>
      </c>
      <c r="L228" s="295">
        <f>IF(D228="",E228,D228)</f>
        <v>0</v>
      </c>
      <c r="N228" s="246" t="s">
        <v>657</v>
      </c>
      <c r="P228" s="203"/>
      <c r="Q228" s="318"/>
      <c r="X228" s="286" t="e">
        <v>#N/A</v>
      </c>
      <c r="Y228" s="386"/>
      <c r="AA228" s="386">
        <f t="shared" si="20"/>
        <v>0</v>
      </c>
      <c r="AB228" s="286">
        <f t="shared" si="21"/>
        <v>0</v>
      </c>
    </row>
    <row r="229" spans="1:28" s="386" customFormat="1" ht="87.75" customHeight="1" x14ac:dyDescent="0.3">
      <c r="A229" s="304">
        <v>1068</v>
      </c>
      <c r="B229" s="304" t="s">
        <v>600</v>
      </c>
      <c r="C229" s="304" t="str">
        <f>'TD Info Completed by Auditor'!B35</f>
        <v xml:space="preserve">Does the unit have a self-insurance fund? </v>
      </c>
      <c r="D229" s="230"/>
      <c r="E229" s="785">
        <f>IF(+'TD Info Completed by Auditor'!C35="Yes",1,IF(+'TD Info Completed by Auditor'!C35="No",2,IF(+'TD Info Completed by Auditor'!C35="N/A",3,0)))</f>
        <v>0</v>
      </c>
      <c r="F229" s="786"/>
      <c r="G229" s="787"/>
      <c r="H229" s="788"/>
      <c r="I229" s="32"/>
      <c r="J229" s="789">
        <v>1068</v>
      </c>
      <c r="K229" s="304" t="s">
        <v>1650</v>
      </c>
      <c r="L229" s="798">
        <f t="shared" ref="L229:L232" si="23">IF(D229="",E229,D229)</f>
        <v>0</v>
      </c>
      <c r="M229" s="180"/>
      <c r="N229" s="246" t="s">
        <v>657</v>
      </c>
      <c r="P229" s="203"/>
      <c r="Q229" s="318"/>
      <c r="X229" s="286"/>
      <c r="AB229" s="286"/>
    </row>
    <row r="230" spans="1:28" s="386" customFormat="1" ht="87.75" customHeight="1" x14ac:dyDescent="0.3">
      <c r="A230" s="304">
        <v>1069</v>
      </c>
      <c r="B230" s="304" t="s">
        <v>600</v>
      </c>
      <c r="C230" s="627" t="str">
        <f>'TD Info Completed by Auditor'!B36</f>
        <v>If the unit is self-insured for employee health care, does the unit use a qualified consultant to establish rates and appropriate reserve levels?</v>
      </c>
      <c r="D230" s="230"/>
      <c r="E230" s="785">
        <f>IF(+'TD Info Completed by Auditor'!C36="Yes",1,IF(+'TD Info Completed by Auditor'!C36="No",2,IF(+'TD Info Completed by Auditor'!C36="N/A",3,0)))</f>
        <v>0</v>
      </c>
      <c r="F230" s="786"/>
      <c r="G230" s="787"/>
      <c r="H230" s="788"/>
      <c r="I230" s="32"/>
      <c r="J230" s="789">
        <v>1069</v>
      </c>
      <c r="K230" s="627" t="s">
        <v>1658</v>
      </c>
      <c r="L230" s="798">
        <f t="shared" si="23"/>
        <v>0</v>
      </c>
      <c r="M230" s="180"/>
      <c r="N230" s="246" t="s">
        <v>657</v>
      </c>
      <c r="P230" s="203"/>
      <c r="Q230" s="318"/>
      <c r="X230" s="286"/>
      <c r="AB230" s="286"/>
    </row>
    <row r="231" spans="1:28" s="386" customFormat="1" ht="96" customHeight="1" x14ac:dyDescent="0.3">
      <c r="A231" s="304">
        <v>1070</v>
      </c>
      <c r="B231" s="304" t="s">
        <v>600</v>
      </c>
      <c r="C231" s="304" t="str">
        <f>'TD Info Completed by Auditor'!B37</f>
        <v>Does the Unit have a non-state administered pension plan?
(Note - OPEB is not a pension plan.)</v>
      </c>
      <c r="D231" s="230"/>
      <c r="E231" s="785">
        <f>IF(+'TD Info Completed by Auditor'!C37="Yes",1,IF(+'TD Info Completed by Auditor'!C37="No",2,IF(+'TD Info Completed by Auditor'!C37="N/A",3,0)))</f>
        <v>0</v>
      </c>
      <c r="F231" s="786"/>
      <c r="G231" s="787"/>
      <c r="H231" s="788"/>
      <c r="I231" s="32"/>
      <c r="J231" s="789">
        <v>1070</v>
      </c>
      <c r="K231" s="304" t="s">
        <v>2734</v>
      </c>
      <c r="L231" s="792">
        <f t="shared" si="23"/>
        <v>0</v>
      </c>
      <c r="M231" s="180"/>
      <c r="N231" s="246" t="s">
        <v>657</v>
      </c>
      <c r="P231" s="203"/>
      <c r="Q231" s="318"/>
      <c r="X231" s="286"/>
      <c r="AB231" s="286"/>
    </row>
    <row r="232" spans="1:28" s="386" customFormat="1" ht="87.75" customHeight="1" x14ac:dyDescent="0.3">
      <c r="A232" s="304">
        <v>1071</v>
      </c>
      <c r="B232" s="304" t="s">
        <v>600</v>
      </c>
      <c r="C232" s="304" t="str">
        <f>'TD Info Completed by Auditor'!B38</f>
        <v>Please list the amount of ARPA funds expended in total this fiscal year for non-capital purposes.  Enter "0" if no ARPA funds expended for this fiscal year for non-capital purposes.</v>
      </c>
      <c r="D232" s="230"/>
      <c r="E232" s="791">
        <f>'TD Info Completed by Auditor'!C38</f>
        <v>0</v>
      </c>
      <c r="F232" s="786"/>
      <c r="G232" s="787"/>
      <c r="H232" s="788"/>
      <c r="I232" s="32"/>
      <c r="J232" s="789">
        <v>1071</v>
      </c>
      <c r="K232" s="304" t="s">
        <v>2714</v>
      </c>
      <c r="L232" s="798">
        <f t="shared" si="23"/>
        <v>0</v>
      </c>
      <c r="M232" s="180"/>
      <c r="N232" s="246" t="s">
        <v>657</v>
      </c>
      <c r="P232" s="203"/>
      <c r="Q232" s="318"/>
      <c r="X232" s="286"/>
      <c r="AB232" s="286"/>
    </row>
    <row r="233" spans="1:28" ht="121.2" customHeight="1" x14ac:dyDescent="0.3">
      <c r="A233" s="327">
        <v>336</v>
      </c>
      <c r="B233" s="237"/>
      <c r="C233" s="328" t="s">
        <v>667</v>
      </c>
      <c r="D233" s="329" t="s">
        <v>636</v>
      </c>
      <c r="E233" s="330" t="s">
        <v>637</v>
      </c>
      <c r="F233" s="238" t="s">
        <v>1137</v>
      </c>
      <c r="G233" s="226"/>
      <c r="H233" s="223"/>
      <c r="I233" s="32"/>
      <c r="J233" s="239">
        <v>336</v>
      </c>
      <c r="K233" s="331" t="s">
        <v>640</v>
      </c>
      <c r="L233" s="332">
        <f>L10-L11-L12-L13-L14-L15-L16</f>
        <v>0</v>
      </c>
      <c r="N233" s="247" t="s">
        <v>638</v>
      </c>
      <c r="P233" s="203"/>
      <c r="Q233" s="318"/>
      <c r="X233" s="286" t="e">
        <v>#N/A</v>
      </c>
      <c r="Y233" s="386"/>
      <c r="AA233" s="386">
        <f t="shared" si="20"/>
        <v>0</v>
      </c>
      <c r="AB233" s="286" t="e">
        <f t="shared" si="21"/>
        <v>#VALUE!</v>
      </c>
    </row>
    <row r="234" spans="1:28" ht="129" customHeight="1" x14ac:dyDescent="0.3">
      <c r="A234" s="327">
        <v>44</v>
      </c>
      <c r="B234" s="237"/>
      <c r="C234" s="238" t="s">
        <v>668</v>
      </c>
      <c r="D234" s="329" t="s">
        <v>628</v>
      </c>
      <c r="E234" s="333" t="s">
        <v>629</v>
      </c>
      <c r="F234" s="238" t="s">
        <v>1138</v>
      </c>
      <c r="G234" s="226"/>
      <c r="H234" s="223"/>
      <c r="I234" s="32"/>
      <c r="J234" s="239">
        <v>44</v>
      </c>
      <c r="K234" s="331" t="s">
        <v>641</v>
      </c>
      <c r="L234" s="332">
        <f>L76-L77-L74</f>
        <v>0</v>
      </c>
      <c r="N234" s="247" t="s">
        <v>639</v>
      </c>
      <c r="P234" s="203"/>
      <c r="Q234" s="318"/>
      <c r="X234" s="286" t="e">
        <v>#N/A</v>
      </c>
      <c r="Y234" s="386"/>
      <c r="AA234" s="386">
        <f t="shared" si="20"/>
        <v>0</v>
      </c>
      <c r="AB234" s="286" t="e">
        <f t="shared" si="21"/>
        <v>#VALUE!</v>
      </c>
    </row>
    <row r="235" spans="1:28" ht="169.5" customHeight="1" x14ac:dyDescent="0.3">
      <c r="A235" s="327">
        <v>45</v>
      </c>
      <c r="B235" s="237"/>
      <c r="C235" s="238" t="s">
        <v>669</v>
      </c>
      <c r="D235" s="329" t="s">
        <v>630</v>
      </c>
      <c r="E235" s="330" t="s">
        <v>631</v>
      </c>
      <c r="F235" s="238" t="s">
        <v>1137</v>
      </c>
      <c r="G235" s="226"/>
      <c r="H235" s="223"/>
      <c r="I235" s="32"/>
      <c r="J235" s="239">
        <v>45</v>
      </c>
      <c r="K235" s="331" t="s">
        <v>642</v>
      </c>
      <c r="L235" s="332">
        <f>L80-L81-L82-L83-L84-L85-L79</f>
        <v>0</v>
      </c>
      <c r="N235" s="247" t="s">
        <v>650</v>
      </c>
      <c r="P235" s="203"/>
      <c r="Q235" s="318"/>
      <c r="X235" s="286" t="e">
        <v>#N/A</v>
      </c>
      <c r="Y235" s="386"/>
      <c r="AA235" s="386">
        <f t="shared" si="20"/>
        <v>0</v>
      </c>
      <c r="AB235" s="286" t="e">
        <f t="shared" si="21"/>
        <v>#VALUE!</v>
      </c>
    </row>
    <row r="236" spans="1:28" ht="87.75" customHeight="1" x14ac:dyDescent="0.3">
      <c r="A236" s="327">
        <v>47</v>
      </c>
      <c r="B236" s="237"/>
      <c r="C236" s="238" t="s">
        <v>644</v>
      </c>
      <c r="D236" s="329" t="s">
        <v>632</v>
      </c>
      <c r="E236" s="330" t="s">
        <v>634</v>
      </c>
      <c r="F236" s="238" t="s">
        <v>1137</v>
      </c>
      <c r="G236" s="226"/>
      <c r="H236" s="223"/>
      <c r="I236" s="32"/>
      <c r="J236" s="239">
        <v>47</v>
      </c>
      <c r="K236" s="331" t="s">
        <v>643</v>
      </c>
      <c r="L236" s="332">
        <f>L94-L95-L92</f>
        <v>0</v>
      </c>
      <c r="N236" s="247" t="s">
        <v>651</v>
      </c>
      <c r="P236" s="203"/>
      <c r="Q236" s="318"/>
      <c r="X236" s="286" t="e">
        <v>#N/A</v>
      </c>
      <c r="Y236" s="386"/>
      <c r="AA236" s="386">
        <f t="shared" si="20"/>
        <v>0</v>
      </c>
      <c r="AB236" s="286" t="e">
        <f t="shared" si="21"/>
        <v>#VALUE!</v>
      </c>
    </row>
    <row r="237" spans="1:28" ht="152.25" customHeight="1" x14ac:dyDescent="0.3">
      <c r="A237" s="327">
        <v>48</v>
      </c>
      <c r="B237" s="237"/>
      <c r="C237" s="238" t="s">
        <v>645</v>
      </c>
      <c r="D237" s="329" t="s">
        <v>633</v>
      </c>
      <c r="E237" s="330" t="s">
        <v>635</v>
      </c>
      <c r="F237" s="238" t="s">
        <v>1137</v>
      </c>
      <c r="G237" s="226"/>
      <c r="H237" s="223"/>
      <c r="I237" s="32"/>
      <c r="J237" s="239">
        <v>48</v>
      </c>
      <c r="K237" s="331" t="s">
        <v>115</v>
      </c>
      <c r="L237" s="332">
        <f>L99-L100-L101-L102-L103-L104-L98</f>
        <v>0</v>
      </c>
      <c r="N237" s="247" t="s">
        <v>652</v>
      </c>
      <c r="P237" s="203"/>
      <c r="Q237" s="318"/>
      <c r="X237" s="286" t="e">
        <v>#N/A</v>
      </c>
      <c r="Y237" s="386"/>
      <c r="AA237" s="386">
        <f t="shared" si="20"/>
        <v>0</v>
      </c>
      <c r="AB237" s="286" t="e">
        <f t="shared" si="21"/>
        <v>#VALUE!</v>
      </c>
    </row>
    <row r="238" spans="1:28" ht="113.4" customHeight="1" x14ac:dyDescent="0.3">
      <c r="A238" s="334"/>
      <c r="B238" s="90"/>
      <c r="C238" s="335"/>
      <c r="D238" s="129"/>
      <c r="E238" s="137"/>
      <c r="F238" s="59"/>
      <c r="G238" s="131"/>
      <c r="H238" s="132"/>
      <c r="I238" s="32"/>
      <c r="J238" s="240">
        <v>998</v>
      </c>
      <c r="K238" s="241" t="s">
        <v>277</v>
      </c>
      <c r="L238" s="336" t="e">
        <f>VLOOKUP('Unit Data from Audit Worksheet'!D2,'Unit Names(H)'!$A$2:$C$95,3,FALSE)</f>
        <v>#N/A</v>
      </c>
      <c r="N238" s="247" t="s">
        <v>646</v>
      </c>
      <c r="P238" s="203"/>
      <c r="Q238" s="318"/>
      <c r="X238" s="286" t="e">
        <v>#N/A</v>
      </c>
      <c r="Y238" s="386"/>
      <c r="AA238" s="386">
        <f t="shared" si="20"/>
        <v>-998</v>
      </c>
      <c r="AB238" s="286" t="e">
        <f t="shared" si="21"/>
        <v>#N/A</v>
      </c>
    </row>
    <row r="239" spans="1:28" ht="119.4" customHeight="1" x14ac:dyDescent="0.3">
      <c r="A239" s="334"/>
      <c r="B239" s="90"/>
      <c r="C239" s="335"/>
      <c r="D239" s="337"/>
      <c r="E239" s="338"/>
      <c r="F239" s="339"/>
      <c r="G239" s="340"/>
      <c r="H239" s="341"/>
      <c r="I239" s="32"/>
      <c r="J239" s="242">
        <v>995</v>
      </c>
      <c r="K239" s="243" t="s">
        <v>275</v>
      </c>
      <c r="L239" s="736" t="e">
        <f>INDEX('PY1 Data(H)'!$A$1:$CZ$282,MATCH('PY1 Data(H)'!$A236,'PY1 Data(H)'!$A$1:$A$282,0),MATCH('Unit Data from Audit Worksheet'!$D$2,'PY1 Data(H)'!$A$1:$CZ$1,0))</f>
        <v>#N/A</v>
      </c>
      <c r="N239" s="247" t="s">
        <v>653</v>
      </c>
      <c r="P239" s="203"/>
      <c r="Q239" s="318"/>
      <c r="X239" s="286" t="e">
        <v>#N/A</v>
      </c>
      <c r="Y239" s="386"/>
      <c r="AA239" s="386">
        <f t="shared" si="20"/>
        <v>-995</v>
      </c>
      <c r="AB239" s="577" t="e">
        <f t="shared" si="21"/>
        <v>#N/A</v>
      </c>
    </row>
    <row r="240" spans="1:28" ht="104.4" customHeight="1" x14ac:dyDescent="0.3">
      <c r="A240" s="334"/>
      <c r="B240" s="90"/>
      <c r="C240" s="335"/>
      <c r="D240" s="337"/>
      <c r="E240" s="338"/>
      <c r="F240" s="339"/>
      <c r="G240" s="340"/>
      <c r="H240" s="341"/>
      <c r="I240" s="32"/>
      <c r="J240" s="242">
        <v>996</v>
      </c>
      <c r="K240" s="243" t="s">
        <v>276</v>
      </c>
      <c r="L240" s="736" t="e">
        <f>INDEX('PY1 Data(H)'!$A$1:$CZ$282,MATCH('PY1 Data(H)'!$A237,'PY1 Data(H)'!$A$1:$A$282,0),MATCH('Unit Data from Audit Worksheet'!$D$2,'PY1 Data(H)'!$A$1:$CZ$1,0))</f>
        <v>#N/A</v>
      </c>
      <c r="N240" s="247" t="s">
        <v>654</v>
      </c>
      <c r="P240" s="203"/>
      <c r="Q240" s="318"/>
      <c r="X240" s="286" t="e">
        <v>#N/A</v>
      </c>
      <c r="Y240" s="386"/>
      <c r="AA240" s="386">
        <f t="shared" si="20"/>
        <v>-996</v>
      </c>
      <c r="AB240" s="577" t="e">
        <f t="shared" si="21"/>
        <v>#N/A</v>
      </c>
    </row>
    <row r="241" spans="1:28" ht="43.2" x14ac:dyDescent="0.3">
      <c r="A241" s="334"/>
      <c r="B241" s="90"/>
      <c r="C241" s="335"/>
      <c r="D241" s="337"/>
      <c r="E241" s="338"/>
      <c r="F241" s="339"/>
      <c r="G241" s="340"/>
      <c r="H241" s="342"/>
      <c r="I241" s="32"/>
      <c r="J241" s="158">
        <v>554</v>
      </c>
      <c r="K241" s="343" t="s">
        <v>320</v>
      </c>
      <c r="L241" s="313"/>
      <c r="N241" s="344"/>
      <c r="P241" s="203"/>
      <c r="Q241" s="318"/>
      <c r="X241" s="286" t="e">
        <v>#N/A</v>
      </c>
      <c r="Y241" s="386"/>
      <c r="AA241" s="386">
        <f t="shared" si="20"/>
        <v>-554</v>
      </c>
      <c r="AB241" s="286">
        <f t="shared" si="21"/>
        <v>0</v>
      </c>
    </row>
    <row r="242" spans="1:28" ht="43.2" x14ac:dyDescent="0.3">
      <c r="A242" s="334"/>
      <c r="B242" s="90"/>
      <c r="C242" s="335"/>
      <c r="D242" s="337"/>
      <c r="E242" s="338"/>
      <c r="F242" s="339"/>
      <c r="G242" s="340"/>
      <c r="H242" s="342"/>
      <c r="I242" s="32"/>
      <c r="J242" s="158">
        <v>555</v>
      </c>
      <c r="K242" s="343" t="s">
        <v>321</v>
      </c>
      <c r="L242" s="313"/>
      <c r="N242" s="344"/>
      <c r="P242" s="203"/>
      <c r="Q242" s="318"/>
      <c r="X242" s="286" t="e">
        <v>#N/A</v>
      </c>
      <c r="Y242" s="386"/>
      <c r="AA242" s="386">
        <f t="shared" si="20"/>
        <v>-555</v>
      </c>
      <c r="AB242" s="286">
        <f t="shared" si="21"/>
        <v>0</v>
      </c>
    </row>
    <row r="243" spans="1:28" ht="43.2" x14ac:dyDescent="0.3">
      <c r="A243" s="334"/>
      <c r="B243" s="90"/>
      <c r="C243" s="335"/>
      <c r="D243" s="337"/>
      <c r="E243" s="338"/>
      <c r="F243" s="339"/>
      <c r="G243" s="340"/>
      <c r="H243" s="342"/>
      <c r="I243" s="32"/>
      <c r="J243" s="158">
        <v>556</v>
      </c>
      <c r="K243" s="343" t="s">
        <v>322</v>
      </c>
      <c r="L243" s="313"/>
      <c r="N243" s="344"/>
      <c r="P243" s="203"/>
      <c r="Q243" s="318"/>
      <c r="X243" s="286" t="e">
        <v>#N/A</v>
      </c>
      <c r="Y243" s="386"/>
      <c r="AA243" s="386">
        <f t="shared" si="20"/>
        <v>-556</v>
      </c>
      <c r="AB243" s="286">
        <f t="shared" si="21"/>
        <v>0</v>
      </c>
    </row>
    <row r="244" spans="1:28" ht="43.2" x14ac:dyDescent="0.3">
      <c r="A244" s="334"/>
      <c r="B244" s="90"/>
      <c r="C244" s="335"/>
      <c r="D244" s="337"/>
      <c r="E244" s="338"/>
      <c r="F244" s="339"/>
      <c r="G244" s="340"/>
      <c r="H244" s="342"/>
      <c r="I244" s="32"/>
      <c r="J244" s="158">
        <v>557</v>
      </c>
      <c r="K244" s="343" t="s">
        <v>323</v>
      </c>
      <c r="L244" s="313"/>
      <c r="N244" s="344"/>
      <c r="P244" s="204"/>
      <c r="X244" s="286" t="e">
        <v>#N/A</v>
      </c>
      <c r="Y244" s="386"/>
      <c r="AA244" s="386">
        <f t="shared" si="20"/>
        <v>-557</v>
      </c>
      <c r="AB244" s="286">
        <f t="shared" si="21"/>
        <v>0</v>
      </c>
    </row>
    <row r="245" spans="1:28" ht="43.2" x14ac:dyDescent="0.3">
      <c r="A245" s="334"/>
      <c r="B245" s="90"/>
      <c r="C245" s="335"/>
      <c r="D245" s="337"/>
      <c r="E245" s="338"/>
      <c r="F245" s="339"/>
      <c r="G245" s="340"/>
      <c r="H245" s="342"/>
      <c r="I245" s="32"/>
      <c r="J245" s="158">
        <v>606</v>
      </c>
      <c r="K245" s="343" t="s">
        <v>450</v>
      </c>
      <c r="L245" s="313"/>
      <c r="N245" s="344"/>
      <c r="P245" s="204"/>
      <c r="X245" s="286" t="e">
        <v>#N/A</v>
      </c>
      <c r="Y245" s="386"/>
      <c r="AA245" s="386">
        <f t="shared" si="20"/>
        <v>-606</v>
      </c>
      <c r="AB245" s="286">
        <f t="shared" si="21"/>
        <v>0</v>
      </c>
    </row>
    <row r="246" spans="1:28" s="18" customFormat="1" ht="22.5" customHeight="1" x14ac:dyDescent="0.3">
      <c r="A246" s="334"/>
      <c r="B246" s="90"/>
      <c r="C246" s="335"/>
      <c r="D246" s="129"/>
      <c r="E246" s="130"/>
      <c r="F246" s="59"/>
      <c r="G246" s="131"/>
      <c r="H246" s="132"/>
      <c r="I246" s="32"/>
      <c r="J246" s="133"/>
      <c r="K246" s="346"/>
      <c r="L246" s="347"/>
      <c r="M246"/>
      <c r="N246" s="246"/>
      <c r="P246" s="204"/>
      <c r="Q246" s="279"/>
      <c r="R246" s="3"/>
      <c r="S246" s="3"/>
      <c r="T246" s="3"/>
      <c r="U246" s="3"/>
      <c r="V246" s="3"/>
      <c r="W246" s="3"/>
      <c r="X246" s="286" t="e">
        <v>#N/A</v>
      </c>
      <c r="Y246" s="386"/>
      <c r="Z246" s="3"/>
      <c r="AA246" s="386">
        <f t="shared" si="20"/>
        <v>0</v>
      </c>
      <c r="AB246" s="286">
        <f t="shared" si="21"/>
        <v>0</v>
      </c>
    </row>
    <row r="247" spans="1:28" ht="99" customHeight="1" x14ac:dyDescent="0.3">
      <c r="A247" s="212">
        <f>'Unit Data from Audit Worksheet'!A269</f>
        <v>947</v>
      </c>
      <c r="B247" s="124"/>
      <c r="C247" s="211" t="str">
        <f>'Unit Data from Audit Worksheet'!D269</f>
        <v>First name of finance officer or interim finance officer (please enter “vacant” for first name if the position is currently vacant)</v>
      </c>
      <c r="D247" s="233"/>
      <c r="E247" s="172">
        <f>'Unit Data from Audit Worksheet'!F269</f>
        <v>0</v>
      </c>
      <c r="F247" s="224" t="str">
        <f>'Unit Data from Audit Worksheet'!G269</f>
        <v>Please do not leave blank</v>
      </c>
      <c r="G247" s="226"/>
      <c r="H247" s="223"/>
      <c r="I247" s="32"/>
      <c r="J247" s="161">
        <v>947</v>
      </c>
      <c r="K247" s="348" t="s">
        <v>409</v>
      </c>
      <c r="L247" s="349">
        <f t="shared" ref="L247:L258" si="24">IF(D247="",E247,D247)</f>
        <v>0</v>
      </c>
      <c r="N247" s="344"/>
      <c r="P247" s="204"/>
      <c r="Q247" s="78"/>
      <c r="X247" s="286">
        <v>947</v>
      </c>
      <c r="Y247" s="3">
        <v>947</v>
      </c>
      <c r="AA247" s="386">
        <f t="shared" si="20"/>
        <v>0</v>
      </c>
      <c r="AB247" s="286" t="b">
        <f>EXACT(E247,L247)</f>
        <v>1</v>
      </c>
    </row>
    <row r="248" spans="1:28" ht="128.25" customHeight="1" x14ac:dyDescent="0.3">
      <c r="A248" s="212">
        <f>'Unit Data from Audit Worksheet'!A270</f>
        <v>948</v>
      </c>
      <c r="B248" s="124"/>
      <c r="C248" s="211" t="str">
        <f>'Unit Data from Audit Worksheet'!D270</f>
        <v>Last name of finance officer or interim finance officer (please enter “vacant” for last name if the position is currently vacant)</v>
      </c>
      <c r="D248" s="233"/>
      <c r="E248" s="350">
        <f>'Unit Data from Audit Worksheet'!F270</f>
        <v>0</v>
      </c>
      <c r="F248" s="224" t="str">
        <f>'Unit Data from Audit Worksheet'!G270</f>
        <v>Please do not leave blank</v>
      </c>
      <c r="G248" s="226"/>
      <c r="H248" s="223"/>
      <c r="I248" s="32"/>
      <c r="J248" s="161">
        <v>948</v>
      </c>
      <c r="K248" s="348" t="s">
        <v>410</v>
      </c>
      <c r="L248" s="349">
        <f t="shared" si="24"/>
        <v>0</v>
      </c>
      <c r="N248" s="344"/>
      <c r="P248" s="204"/>
      <c r="X248" s="286">
        <v>948</v>
      </c>
      <c r="Y248" s="3">
        <v>948</v>
      </c>
      <c r="AA248" s="386">
        <f t="shared" si="20"/>
        <v>0</v>
      </c>
      <c r="AB248" s="286" t="b">
        <f t="shared" ref="AB248:AB260" si="25">EXACT(E248,L248)</f>
        <v>1</v>
      </c>
    </row>
    <row r="249" spans="1:28" ht="61.5" customHeight="1" x14ac:dyDescent="0.3">
      <c r="A249" s="212">
        <f>'Unit Data from Audit Worksheet'!A271</f>
        <v>949</v>
      </c>
      <c r="B249" s="124"/>
      <c r="C249" s="211" t="str">
        <f>'Unit Data from Audit Worksheet'!D271</f>
        <v>Is the finance officer serving in a permanent role or an interim role? (select permanent/interim/vacant)</v>
      </c>
      <c r="D249" s="233"/>
      <c r="E249" s="172">
        <f>'Unit Data from Audit Worksheet'!F271</f>
        <v>0</v>
      </c>
      <c r="F249" s="224" t="str">
        <f>'Unit Data from Audit Worksheet'!G271</f>
        <v>Please do not leave blank</v>
      </c>
      <c r="G249" s="226"/>
      <c r="H249" s="223"/>
      <c r="I249" s="32"/>
      <c r="J249" s="161">
        <v>949</v>
      </c>
      <c r="K249" s="348" t="s">
        <v>433</v>
      </c>
      <c r="L249" s="349">
        <f t="shared" si="24"/>
        <v>0</v>
      </c>
      <c r="N249" s="344"/>
      <c r="P249" s="204"/>
      <c r="X249" s="286">
        <v>949</v>
      </c>
      <c r="Y249" s="3">
        <v>949</v>
      </c>
      <c r="AA249" s="386">
        <f t="shared" si="20"/>
        <v>0</v>
      </c>
      <c r="AB249" s="286" t="b">
        <f t="shared" si="25"/>
        <v>1</v>
      </c>
    </row>
    <row r="250" spans="1:28" ht="93.75" customHeight="1" x14ac:dyDescent="0.3">
      <c r="A250" s="212">
        <f>'Unit Data from Audit Worksheet'!A272</f>
        <v>950</v>
      </c>
      <c r="B250" s="124"/>
      <c r="C250" s="211" t="str">
        <f>'Unit Data from Audit Worksheet'!D272</f>
        <v>Has the finance officer or interim finance officer been formally appointed by the local government, public authority, or designated official?  (Y/N)</v>
      </c>
      <c r="D250" s="233"/>
      <c r="E250" s="172">
        <f>'Unit Data from Audit Worksheet'!F272</f>
        <v>0</v>
      </c>
      <c r="F250" s="224" t="str">
        <f>'Unit Data from Audit Worksheet'!G272</f>
        <v>Please do not leave blank</v>
      </c>
      <c r="G250" s="226"/>
      <c r="H250" s="223"/>
      <c r="I250" s="32"/>
      <c r="J250" s="161">
        <v>950</v>
      </c>
      <c r="K250" s="348" t="s">
        <v>434</v>
      </c>
      <c r="L250" s="349">
        <f t="shared" si="24"/>
        <v>0</v>
      </c>
      <c r="N250" s="344"/>
      <c r="P250" s="204"/>
      <c r="X250" s="286">
        <v>950</v>
      </c>
      <c r="Y250" s="3">
        <v>950</v>
      </c>
      <c r="AA250" s="386">
        <f t="shared" si="20"/>
        <v>0</v>
      </c>
      <c r="AB250" s="286" t="b">
        <f t="shared" si="25"/>
        <v>1</v>
      </c>
    </row>
    <row r="251" spans="1:28" ht="153.75" customHeight="1" x14ac:dyDescent="0.3">
      <c r="A251" s="212">
        <f>'Unit Data from Audit Worksheet'!A273</f>
        <v>952</v>
      </c>
      <c r="B251" s="124"/>
      <c r="C251" s="211" t="str">
        <f>'Unit Data from Audit Worksheet'!D273</f>
        <v>Date on which the local government, public authority, or designated official appointed the finance officer?      Date Format  MM/DD/YYYY</v>
      </c>
      <c r="D251" s="233"/>
      <c r="E251" s="656" t="str">
        <f>IF('Unit Data from Audit Worksheet'!F273&gt;0,'Unit Data from Audit Worksheet'!F273," ")</f>
        <v xml:space="preserve"> </v>
      </c>
      <c r="F251" s="224" t="str">
        <f>'Unit Data from Audit Worksheet'!G273</f>
        <v>Leave blank if data not available</v>
      </c>
      <c r="G251" s="226"/>
      <c r="H251" s="223"/>
      <c r="I251" s="32"/>
      <c r="J251" s="161">
        <v>952</v>
      </c>
      <c r="K251" s="348" t="s">
        <v>435</v>
      </c>
      <c r="L251" s="351" t="str">
        <f t="shared" si="24"/>
        <v xml:space="preserve"> </v>
      </c>
      <c r="N251" s="344"/>
      <c r="P251" s="204"/>
      <c r="X251" s="286">
        <v>952</v>
      </c>
      <c r="Y251" s="3">
        <v>952</v>
      </c>
      <c r="AA251" s="386">
        <f t="shared" si="20"/>
        <v>0</v>
      </c>
      <c r="AB251" s="286" t="b">
        <f t="shared" si="25"/>
        <v>1</v>
      </c>
    </row>
    <row r="252" spans="1:28" ht="30.75" customHeight="1" x14ac:dyDescent="0.3">
      <c r="A252" s="352">
        <f>'Unit Data from Audit Worksheet'!A281</f>
        <v>960</v>
      </c>
      <c r="B252" s="168"/>
      <c r="C252" s="169" t="str">
        <f>'Unit Data from Audit Worksheet'!B281</f>
        <v>Name of Finance Officer</v>
      </c>
      <c r="D252" s="233"/>
      <c r="E252" s="353">
        <f>'Unit Data from Audit Worksheet'!D281</f>
        <v>0</v>
      </c>
      <c r="F252" s="354" t="str">
        <f>'Unit Data from Audit Worksheet'!F281</f>
        <v>Required</v>
      </c>
      <c r="G252" s="226"/>
      <c r="H252" s="223"/>
      <c r="I252" s="32"/>
      <c r="J252" s="171">
        <v>960</v>
      </c>
      <c r="K252" s="355" t="s">
        <v>429</v>
      </c>
      <c r="L252" s="356">
        <f t="shared" si="24"/>
        <v>0</v>
      </c>
      <c r="N252" s="311"/>
      <c r="P252" s="204"/>
      <c r="X252" s="286">
        <v>960</v>
      </c>
      <c r="Y252" s="3">
        <v>960</v>
      </c>
      <c r="AA252" s="386">
        <f t="shared" si="20"/>
        <v>0</v>
      </c>
      <c r="AB252" s="286" t="b">
        <f t="shared" si="25"/>
        <v>1</v>
      </c>
    </row>
    <row r="253" spans="1:28" ht="30.75" customHeight="1" x14ac:dyDescent="0.3">
      <c r="A253" s="352">
        <f>'Unit Data from Audit Worksheet'!A282</f>
        <v>962</v>
      </c>
      <c r="B253" s="168"/>
      <c r="C253" s="169" t="str">
        <f>'Unit Data from Audit Worksheet'!B282</f>
        <v>Title of Official</v>
      </c>
      <c r="D253" s="233"/>
      <c r="E253" s="353">
        <f>'Unit Data from Audit Worksheet'!D282</f>
        <v>0</v>
      </c>
      <c r="F253" s="354" t="str">
        <f>'Unit Data from Audit Worksheet'!F282</f>
        <v>Required</v>
      </c>
      <c r="G253" s="226"/>
      <c r="H253" s="223"/>
      <c r="I253" s="32"/>
      <c r="J253" s="171">
        <v>962</v>
      </c>
      <c r="K253" s="355" t="s">
        <v>405</v>
      </c>
      <c r="L253" s="356">
        <f t="shared" si="24"/>
        <v>0</v>
      </c>
      <c r="N253" s="311"/>
      <c r="P253" s="204"/>
      <c r="X253" s="286">
        <v>962</v>
      </c>
      <c r="Y253" s="3">
        <v>962</v>
      </c>
      <c r="AA253" s="386">
        <f t="shared" si="20"/>
        <v>0</v>
      </c>
      <c r="AB253" s="286" t="b">
        <f t="shared" si="25"/>
        <v>1</v>
      </c>
    </row>
    <row r="254" spans="1:28" ht="30.75" customHeight="1" x14ac:dyDescent="0.3">
      <c r="A254" s="352">
        <f>'Unit Data from Audit Worksheet'!A283</f>
        <v>964</v>
      </c>
      <c r="B254" s="168"/>
      <c r="C254" s="170" t="str">
        <f>'Unit Data from Audit Worksheet'!B283</f>
        <v>Date                        (Enter as "MM/DD/YYYY")</v>
      </c>
      <c r="D254" s="233"/>
      <c r="E254" s="357">
        <f>'Unit Data from Audit Worksheet'!D283</f>
        <v>0</v>
      </c>
      <c r="F254" s="354" t="str">
        <f>'Unit Data from Audit Worksheet'!F283</f>
        <v>Required</v>
      </c>
      <c r="G254" s="580"/>
      <c r="H254" s="223"/>
      <c r="I254" s="32"/>
      <c r="J254" s="171">
        <v>964</v>
      </c>
      <c r="K254" s="355" t="s">
        <v>460</v>
      </c>
      <c r="L254" s="358">
        <f t="shared" si="24"/>
        <v>0</v>
      </c>
      <c r="N254" s="311"/>
      <c r="P254" s="204"/>
      <c r="X254" s="286">
        <v>964</v>
      </c>
      <c r="Y254" s="3">
        <v>964</v>
      </c>
      <c r="AA254" s="386">
        <f t="shared" si="20"/>
        <v>0</v>
      </c>
      <c r="AB254" s="286" t="b">
        <f t="shared" si="25"/>
        <v>1</v>
      </c>
    </row>
    <row r="255" spans="1:28" ht="30.75" customHeight="1" x14ac:dyDescent="0.3">
      <c r="A255" s="352">
        <f>'Unit Data from Audit Worksheet'!A284</f>
        <v>966</v>
      </c>
      <c r="B255" s="168"/>
      <c r="C255" s="169" t="s">
        <v>1139</v>
      </c>
      <c r="D255" s="233"/>
      <c r="E255" s="579" t="str">
        <f>_xlfn.TEXTJOIN(",",,TEXT('Unit Data from Audit Worksheet'!D284,"###-###-####")," "&amp;'Unit Data from Audit Worksheet'!D285)</f>
        <v xml:space="preserve">--, </v>
      </c>
      <c r="F255" s="354" t="str">
        <f>'Unit Data from Audit Worksheet'!F284</f>
        <v>Required</v>
      </c>
      <c r="G255" s="226"/>
      <c r="H255" s="223"/>
      <c r="I255" s="32"/>
      <c r="J255" s="171">
        <v>966</v>
      </c>
      <c r="K255" s="355" t="s">
        <v>407</v>
      </c>
      <c r="L255" s="356" t="str">
        <f t="shared" si="24"/>
        <v xml:space="preserve">--, </v>
      </c>
      <c r="N255" s="311"/>
      <c r="P255" s="204"/>
      <c r="X255" s="286">
        <v>966</v>
      </c>
      <c r="Y255" s="3">
        <v>966</v>
      </c>
      <c r="AA255" s="386">
        <f t="shared" si="20"/>
        <v>0</v>
      </c>
      <c r="AB255" s="286" t="b">
        <f t="shared" si="25"/>
        <v>1</v>
      </c>
    </row>
    <row r="256" spans="1:28" ht="30.75" customHeight="1" x14ac:dyDescent="0.3">
      <c r="A256" s="352">
        <f>'Unit Data from Audit Worksheet'!A286</f>
        <v>968</v>
      </c>
      <c r="B256" s="168"/>
      <c r="C256" s="169" t="str">
        <f>'Unit Data from Audit Worksheet'!B286</f>
        <v>E-mail address</v>
      </c>
      <c r="D256" s="233"/>
      <c r="E256" s="353">
        <f>'Unit Data from Audit Worksheet'!D286</f>
        <v>0</v>
      </c>
      <c r="F256" s="354" t="str">
        <f>'Unit Data from Audit Worksheet'!F286</f>
        <v>Required</v>
      </c>
      <c r="G256" s="226"/>
      <c r="H256" s="223"/>
      <c r="I256" s="32"/>
      <c r="J256" s="171">
        <v>968</v>
      </c>
      <c r="K256" s="355" t="s">
        <v>408</v>
      </c>
      <c r="L256" s="356">
        <f t="shared" si="24"/>
        <v>0</v>
      </c>
      <c r="N256" s="311"/>
      <c r="P256" s="204"/>
      <c r="X256" s="286">
        <v>968</v>
      </c>
      <c r="Y256" s="3">
        <v>968</v>
      </c>
      <c r="AA256" s="386">
        <f t="shared" si="20"/>
        <v>0</v>
      </c>
      <c r="AB256" s="286" t="b">
        <f t="shared" si="25"/>
        <v>1</v>
      </c>
    </row>
    <row r="257" spans="1:28" ht="111" customHeight="1" x14ac:dyDescent="0.3">
      <c r="A257" s="359">
        <v>980</v>
      </c>
      <c r="B257" s="237" t="s">
        <v>600</v>
      </c>
      <c r="C257" s="248" t="str">
        <f>'TD Info Completed by Auditor'!B32</f>
        <v>Date the auditor presented or plans to present Financial Performance Indicators of Concern (FPIC) to the Governing Board.  If there are no FPICs to present to the governing board,  enter "7/1/2023" to indicate that an FPIC response is not required.</v>
      </c>
      <c r="D257" s="233"/>
      <c r="E257" s="635" t="str">
        <f>IF('TD Info Completed by Auditor'!C32&gt;0,'TD Info Completed by Auditor'!C32," ")</f>
        <v xml:space="preserve"> </v>
      </c>
      <c r="F257" s="360" t="s">
        <v>656</v>
      </c>
      <c r="G257" s="226"/>
      <c r="H257" s="223"/>
      <c r="I257" s="32"/>
      <c r="J257" s="249">
        <v>980</v>
      </c>
      <c r="K257" s="250" t="s">
        <v>592</v>
      </c>
      <c r="L257" s="361" t="str">
        <f t="shared" si="24"/>
        <v xml:space="preserve"> </v>
      </c>
      <c r="N257" s="389" t="s">
        <v>657</v>
      </c>
      <c r="P257" s="204"/>
      <c r="X257" s="286" t="e">
        <v>#N/A</v>
      </c>
      <c r="AA257" s="386">
        <f t="shared" si="20"/>
        <v>0</v>
      </c>
      <c r="AB257" s="286" t="b">
        <f t="shared" si="25"/>
        <v>1</v>
      </c>
    </row>
    <row r="258" spans="1:28" s="386" customFormat="1" ht="135.6" customHeight="1" x14ac:dyDescent="0.3">
      <c r="A258" s="212">
        <f>'Unit Data from Audit Worksheet'!A77</f>
        <v>590</v>
      </c>
      <c r="B258" s="212" t="str">
        <f>'Unit Data from Audit Worksheet'!B77</f>
        <v>Fiscal Review, UAL Determination, Financial Performance Indicator</v>
      </c>
      <c r="C258" s="74" t="str">
        <f>'Unit Data from Audit Worksheet'!D77</f>
        <v>If you appropriated General Fund Balance in your 2023 budget and your "change in fund balance": (account # 23 above) is negative, please select from the drop down box in column F either "operations" or "capital", whichever best describes what the fund balance was used for.  Briefly describe in column G to the right what the fund balance was used for.</v>
      </c>
      <c r="D258" s="233"/>
      <c r="E258" s="665" t="str">
        <f>CONCATENATE('Unit Data from Audit Worksheet'!F77," - ",'Unit Data from Audit Worksheet'!G77)</f>
        <v xml:space="preserve"> - </v>
      </c>
      <c r="F258" s="661"/>
      <c r="G258" s="226"/>
      <c r="H258" s="223"/>
      <c r="I258" s="32"/>
      <c r="J258" s="249">
        <v>590</v>
      </c>
      <c r="K258" s="250" t="s">
        <v>1551</v>
      </c>
      <c r="L258" s="666" t="str">
        <f t="shared" si="24"/>
        <v xml:space="preserve"> - </v>
      </c>
      <c r="M258"/>
      <c r="N258" s="389"/>
      <c r="P258" s="204"/>
      <c r="Q258" s="279"/>
      <c r="X258" s="286"/>
      <c r="AB258" s="286"/>
    </row>
    <row r="259" spans="1:28" s="386" customFormat="1" ht="135.6" customHeight="1" x14ac:dyDescent="0.3">
      <c r="A259" s="1036">
        <f>'TD Info Completed by Auditor'!A31</f>
        <v>1079</v>
      </c>
      <c r="B259" s="1036"/>
      <c r="C259" s="1037" t="str">
        <f>'TD Info Completed by Auditor'!B31</f>
        <v>What date was the audit report submitted to the LGC?  (Note audit reports are due four months after fiscal year end regardless of the contract submission date.)</v>
      </c>
      <c r="D259" s="233"/>
      <c r="E259" s="1038">
        <f>'TD Info Completed by Auditor'!C31</f>
        <v>0</v>
      </c>
      <c r="F259" s="1039"/>
      <c r="G259" s="226"/>
      <c r="H259" s="223"/>
      <c r="I259" s="1040"/>
      <c r="J259" s="1041">
        <v>1079</v>
      </c>
      <c r="K259" s="1042" t="s">
        <v>2732</v>
      </c>
      <c r="L259" s="1043">
        <f>E259</f>
        <v>0</v>
      </c>
      <c r="M259" s="180"/>
      <c r="N259" s="389"/>
      <c r="P259" s="204"/>
      <c r="Q259" s="279"/>
      <c r="X259" s="286"/>
      <c r="AB259" s="286"/>
    </row>
    <row r="260" spans="1:28" ht="83.4" customHeight="1" x14ac:dyDescent="0.3">
      <c r="A260" s="334"/>
      <c r="B260" s="90"/>
      <c r="C260" s="335"/>
      <c r="D260" s="337"/>
      <c r="E260" s="338"/>
      <c r="F260" s="339"/>
      <c r="G260" s="340"/>
      <c r="H260" s="341"/>
      <c r="I260" s="32"/>
      <c r="J260" s="161">
        <v>999</v>
      </c>
      <c r="K260" s="348" t="s">
        <v>278</v>
      </c>
      <c r="L260" s="362" t="e">
        <f>'Unit Data from Audit Worksheet'!D3</f>
        <v>#N/A</v>
      </c>
      <c r="N260" s="363" t="s">
        <v>2733</v>
      </c>
      <c r="O260" s="363" t="s">
        <v>655</v>
      </c>
      <c r="P260" s="204"/>
      <c r="X260" s="286" t="e">
        <v>#N/A</v>
      </c>
      <c r="AA260" s="386">
        <f t="shared" si="20"/>
        <v>-999</v>
      </c>
      <c r="AB260" s="286" t="e">
        <f t="shared" si="25"/>
        <v>#N/A</v>
      </c>
    </row>
    <row r="261" spans="1:28" x14ac:dyDescent="0.3">
      <c r="A261" s="187"/>
      <c r="B261" s="187"/>
      <c r="C261" s="187"/>
      <c r="D261" s="187"/>
      <c r="E261" s="187"/>
      <c r="F261" s="187"/>
      <c r="G261" s="187"/>
      <c r="H261" s="187"/>
      <c r="I261" s="187"/>
      <c r="J261" s="3"/>
      <c r="K261" s="3"/>
      <c r="L261" s="3"/>
      <c r="N261" s="4"/>
      <c r="P261" s="204"/>
      <c r="AA261" s="386"/>
    </row>
    <row r="262" spans="1:28" s="386" customFormat="1" x14ac:dyDescent="0.3">
      <c r="A262" s="187"/>
      <c r="B262" s="187"/>
      <c r="C262" s="187"/>
      <c r="D262" s="187"/>
      <c r="E262" s="187"/>
      <c r="F262" s="187"/>
      <c r="G262" s="187"/>
      <c r="H262" s="187"/>
      <c r="I262" s="187"/>
      <c r="M262"/>
      <c r="N262" s="4"/>
      <c r="P262" s="204"/>
      <c r="Q262" s="279"/>
    </row>
    <row r="263" spans="1:28" x14ac:dyDescent="0.3">
      <c r="C263" s="646"/>
      <c r="D263" s="365"/>
      <c r="E263" s="366"/>
      <c r="F263" s="366"/>
      <c r="G263" s="367"/>
      <c r="H263" s="366"/>
      <c r="I263" s="368"/>
      <c r="K263" s="729" t="s">
        <v>1552</v>
      </c>
      <c r="L263" s="731" t="e">
        <f>SUM(L4:L245)</f>
        <v>#N/A</v>
      </c>
      <c r="N263" s="4"/>
      <c r="P263" s="204"/>
      <c r="AA263" s="386"/>
    </row>
    <row r="264" spans="1:28" ht="19.2" customHeight="1" x14ac:dyDescent="0.3">
      <c r="A264"/>
      <c r="B264"/>
      <c r="C264"/>
      <c r="D264"/>
      <c r="E264"/>
      <c r="F264"/>
      <c r="G264" s="367"/>
      <c r="H264" s="366"/>
      <c r="I264" s="368"/>
      <c r="K264" s="730" t="s">
        <v>1536</v>
      </c>
      <c r="L264" s="731"/>
      <c r="N264" s="4"/>
      <c r="P264" s="204"/>
      <c r="AA264" s="386"/>
    </row>
    <row r="265" spans="1:28" ht="21.6" customHeight="1" x14ac:dyDescent="0.7">
      <c r="B265" s="3"/>
      <c r="C265" s="3"/>
      <c r="D265" s="73"/>
      <c r="E265" s="96"/>
      <c r="F265" s="73"/>
      <c r="G265" s="367"/>
      <c r="H265" s="366"/>
      <c r="I265" s="368"/>
      <c r="J265" s="148"/>
      <c r="K265" s="147"/>
      <c r="L265" s="731" t="e">
        <f>L263-L264</f>
        <v>#N/A</v>
      </c>
      <c r="N265" s="4"/>
      <c r="P265" s="204"/>
      <c r="Y265" s="386">
        <v>590</v>
      </c>
      <c r="AA265" s="386"/>
    </row>
    <row r="266" spans="1:28" ht="25.2" customHeight="1" x14ac:dyDescent="0.3">
      <c r="A266" s="187"/>
      <c r="B266" s="187"/>
      <c r="C266" s="187"/>
      <c r="D266" s="187"/>
      <c r="E266" s="187"/>
      <c r="F266" s="366"/>
      <c r="G266" s="367"/>
      <c r="H266" s="366"/>
      <c r="I266" s="368"/>
      <c r="K266" s="10"/>
      <c r="L266" s="369"/>
      <c r="P266" s="204"/>
      <c r="X266" s="286">
        <f>SUM(X5:X211)</f>
        <v>83710</v>
      </c>
      <c r="Y266" s="3">
        <v>96734</v>
      </c>
      <c r="AA266" s="386"/>
    </row>
    <row r="267" spans="1:28" x14ac:dyDescent="0.3">
      <c r="A267" s="187"/>
      <c r="B267" s="187"/>
      <c r="C267" s="187"/>
      <c r="D267" s="187"/>
      <c r="E267" s="187"/>
      <c r="F267" s="366"/>
      <c r="G267" s="367"/>
      <c r="H267" s="366"/>
      <c r="I267" s="368"/>
      <c r="K267" s="10"/>
      <c r="P267" s="204"/>
      <c r="X267" s="286">
        <f>SUM(X247:X256)</f>
        <v>9566</v>
      </c>
      <c r="AA267" s="386"/>
    </row>
    <row r="268" spans="1:28" ht="18.75" customHeight="1" x14ac:dyDescent="0.3">
      <c r="A268" s="187"/>
      <c r="B268" s="187"/>
      <c r="C268" s="187"/>
      <c r="D268" s="187"/>
      <c r="E268" s="187"/>
      <c r="F268" s="366"/>
      <c r="G268" s="367"/>
      <c r="H268" s="366"/>
      <c r="I268" s="368"/>
      <c r="K268" s="10"/>
      <c r="L268"/>
      <c r="P268" s="204"/>
      <c r="Y268" s="3" t="s">
        <v>892</v>
      </c>
      <c r="AA268" s="386"/>
    </row>
    <row r="269" spans="1:28" ht="30.75" customHeight="1" x14ac:dyDescent="0.3">
      <c r="A269" s="187"/>
      <c r="B269" s="187"/>
      <c r="C269" s="187"/>
      <c r="D269" s="187"/>
      <c r="E269" s="187"/>
      <c r="F269" s="366"/>
      <c r="G269" s="367"/>
      <c r="H269" s="366"/>
      <c r="I269" s="368"/>
      <c r="K269" s="10"/>
      <c r="L269" s="369"/>
      <c r="P269" s="204"/>
      <c r="X269" s="286">
        <f>SUM(X266:X268)</f>
        <v>93276</v>
      </c>
      <c r="Y269" s="3">
        <f>Y266</f>
        <v>96734</v>
      </c>
      <c r="Z269" s="286">
        <f>X269-Y269</f>
        <v>-3458</v>
      </c>
      <c r="AA269" s="386"/>
    </row>
    <row r="270" spans="1:28" ht="30.75" customHeight="1" x14ac:dyDescent="0.3">
      <c r="A270" s="187"/>
      <c r="B270" s="187"/>
      <c r="C270" s="187"/>
      <c r="D270" s="187"/>
      <c r="E270" s="187"/>
      <c r="F270" s="366"/>
      <c r="G270" s="367"/>
      <c r="H270" s="366"/>
      <c r="I270" s="368"/>
      <c r="K270" s="10"/>
      <c r="L270" s="369"/>
      <c r="P270" s="204"/>
      <c r="AA270" s="386"/>
    </row>
    <row r="271" spans="1:28" ht="30.75" customHeight="1" x14ac:dyDescent="0.3">
      <c r="A271" s="187"/>
      <c r="B271" s="187"/>
      <c r="C271" s="187"/>
      <c r="D271" s="187"/>
      <c r="E271" s="187"/>
      <c r="F271" s="366"/>
      <c r="G271" s="367"/>
      <c r="H271" s="366"/>
      <c r="I271" s="368"/>
      <c r="K271" s="10"/>
      <c r="L271" s="369"/>
      <c r="P271" s="204"/>
      <c r="AA271" s="386"/>
    </row>
    <row r="272" spans="1:28" ht="30.75" customHeight="1" x14ac:dyDescent="0.3">
      <c r="A272" s="187"/>
      <c r="B272" s="187"/>
      <c r="C272" s="187"/>
      <c r="D272" s="187"/>
      <c r="E272" s="187"/>
      <c r="F272" s="366"/>
      <c r="G272" s="367"/>
      <c r="H272" s="366"/>
      <c r="I272" s="368"/>
      <c r="K272" s="10"/>
      <c r="L272" s="369"/>
      <c r="P272" s="204"/>
      <c r="AA272" s="386"/>
    </row>
    <row r="273" spans="1:27" ht="30.75" customHeight="1" x14ac:dyDescent="0.3">
      <c r="A273" s="187"/>
      <c r="B273" s="187"/>
      <c r="C273" s="187"/>
      <c r="D273" s="187"/>
      <c r="E273" s="187"/>
      <c r="F273" s="366"/>
      <c r="G273" s="367"/>
      <c r="H273" s="366"/>
      <c r="I273" s="368"/>
      <c r="K273" s="10"/>
      <c r="L273" s="369"/>
      <c r="P273" s="204"/>
      <c r="AA273" s="386"/>
    </row>
    <row r="274" spans="1:27" x14ac:dyDescent="0.3">
      <c r="A274" s="187"/>
      <c r="B274" s="187"/>
      <c r="C274" s="187"/>
      <c r="D274" s="187"/>
      <c r="E274" s="187"/>
      <c r="I274" s="368"/>
      <c r="K274" s="10"/>
      <c r="L274" s="369"/>
      <c r="P274" s="204"/>
      <c r="AA274" s="386"/>
    </row>
    <row r="275" spans="1:27" x14ac:dyDescent="0.3">
      <c r="A275" s="187"/>
      <c r="B275" s="187"/>
      <c r="C275" s="187"/>
      <c r="D275" s="187"/>
      <c r="E275" s="187"/>
      <c r="I275" s="368"/>
      <c r="L275" s="369"/>
      <c r="P275" s="204"/>
      <c r="AA275" s="386"/>
    </row>
    <row r="276" spans="1:27" x14ac:dyDescent="0.3">
      <c r="A276" s="5"/>
      <c r="B276" s="370"/>
      <c r="C276" s="23"/>
      <c r="D276" s="72"/>
      <c r="I276" s="368"/>
      <c r="L276" s="369"/>
      <c r="P276" s="204"/>
      <c r="AA276" s="386"/>
    </row>
    <row r="277" spans="1:27" x14ac:dyDescent="0.3">
      <c r="A277" s="5"/>
      <c r="B277" s="370"/>
      <c r="C277" s="23"/>
      <c r="D277" s="72"/>
      <c r="L277" s="369"/>
      <c r="P277" s="204"/>
      <c r="AA277" s="386"/>
    </row>
    <row r="278" spans="1:27" x14ac:dyDescent="0.3">
      <c r="D278" s="72"/>
      <c r="P278" s="204"/>
      <c r="AA278" s="386"/>
    </row>
    <row r="279" spans="1:27" x14ac:dyDescent="0.3">
      <c r="D279" s="72"/>
      <c r="P279" s="204"/>
      <c r="AA279" s="386"/>
    </row>
    <row r="280" spans="1:27" x14ac:dyDescent="0.3">
      <c r="D280" s="72"/>
      <c r="P280" s="204"/>
      <c r="AA280" s="386"/>
    </row>
    <row r="281" spans="1:27" x14ac:dyDescent="0.3">
      <c r="D281" s="72"/>
      <c r="P281" s="204"/>
      <c r="AA281" s="386"/>
    </row>
    <row r="282" spans="1:27" x14ac:dyDescent="0.3">
      <c r="A282" s="5"/>
      <c r="B282" s="370"/>
      <c r="C282" s="23"/>
      <c r="D282" s="72"/>
      <c r="P282" s="204"/>
      <c r="AA282" s="386"/>
    </row>
    <row r="283" spans="1:27" x14ac:dyDescent="0.3">
      <c r="A283" s="5"/>
      <c r="B283" s="370"/>
      <c r="C283" s="23"/>
      <c r="D283" s="72"/>
      <c r="P283" s="204"/>
      <c r="AA283" s="386"/>
    </row>
    <row r="284" spans="1:27" x14ac:dyDescent="0.3">
      <c r="D284" s="72"/>
      <c r="P284" s="204"/>
      <c r="AA284" s="386"/>
    </row>
    <row r="285" spans="1:27" x14ac:dyDescent="0.3">
      <c r="D285" s="72"/>
      <c r="P285" s="204"/>
      <c r="AA285" s="386"/>
    </row>
    <row r="286" spans="1:27" x14ac:dyDescent="0.3">
      <c r="D286" s="72"/>
      <c r="P286" s="204"/>
      <c r="AA286" s="386"/>
    </row>
    <row r="287" spans="1:27" x14ac:dyDescent="0.3">
      <c r="D287" s="72"/>
      <c r="P287" s="204"/>
      <c r="AA287" s="386"/>
    </row>
    <row r="288" spans="1:27" x14ac:dyDescent="0.3">
      <c r="A288" s="5"/>
      <c r="B288" s="370"/>
      <c r="C288" s="23"/>
      <c r="D288" s="72"/>
      <c r="P288" s="204"/>
      <c r="AA288" s="386"/>
    </row>
    <row r="289" spans="1:27" x14ac:dyDescent="0.3">
      <c r="A289" s="5"/>
      <c r="B289" s="370"/>
      <c r="C289" s="23"/>
      <c r="D289" s="72"/>
      <c r="P289" s="204"/>
      <c r="AA289" s="386"/>
    </row>
    <row r="290" spans="1:27" x14ac:dyDescent="0.3">
      <c r="D290" s="72"/>
      <c r="P290" s="204"/>
      <c r="AA290" s="386"/>
    </row>
    <row r="291" spans="1:27" x14ac:dyDescent="0.3">
      <c r="D291" s="72"/>
      <c r="P291" s="204"/>
      <c r="AA291" s="386"/>
    </row>
    <row r="292" spans="1:27" x14ac:dyDescent="0.3">
      <c r="D292" s="72"/>
      <c r="P292" s="204"/>
      <c r="AA292" s="386"/>
    </row>
    <row r="293" spans="1:27" x14ac:dyDescent="0.3">
      <c r="D293" s="72"/>
      <c r="P293" s="204"/>
      <c r="AA293" s="386"/>
    </row>
    <row r="294" spans="1:27" x14ac:dyDescent="0.3">
      <c r="A294" s="5"/>
      <c r="B294" s="370"/>
      <c r="C294" s="23"/>
      <c r="D294" s="72"/>
      <c r="P294" s="204"/>
      <c r="AA294" s="386"/>
    </row>
    <row r="295" spans="1:27" x14ac:dyDescent="0.3">
      <c r="A295" s="5"/>
      <c r="B295" s="370"/>
      <c r="C295" s="23"/>
      <c r="D295" s="72"/>
      <c r="P295" s="204"/>
      <c r="AA295" s="386"/>
    </row>
    <row r="296" spans="1:27" x14ac:dyDescent="0.3">
      <c r="A296" s="5"/>
      <c r="B296" s="370"/>
      <c r="C296" s="23"/>
      <c r="D296" s="72"/>
      <c r="P296" s="204"/>
      <c r="AA296" s="386"/>
    </row>
    <row r="297" spans="1:27" x14ac:dyDescent="0.3">
      <c r="A297" s="5"/>
      <c r="B297" s="370"/>
      <c r="C297" s="23"/>
      <c r="D297" s="72"/>
      <c r="P297" s="204"/>
      <c r="AA297" s="386"/>
    </row>
    <row r="298" spans="1:27" x14ac:dyDescent="0.3">
      <c r="D298" s="72"/>
      <c r="P298" s="204"/>
      <c r="AA298" s="386"/>
    </row>
    <row r="299" spans="1:27" x14ac:dyDescent="0.3">
      <c r="D299" s="72"/>
      <c r="P299" s="204"/>
      <c r="AA299" s="386"/>
    </row>
    <row r="300" spans="1:27" x14ac:dyDescent="0.3">
      <c r="D300" s="72"/>
      <c r="P300" s="204"/>
      <c r="AA300" s="386"/>
    </row>
    <row r="301" spans="1:27" x14ac:dyDescent="0.3">
      <c r="A301" s="5"/>
      <c r="B301" s="370"/>
      <c r="C301" s="23"/>
      <c r="D301" s="72"/>
      <c r="P301" s="204"/>
      <c r="AA301" s="386"/>
    </row>
    <row r="302" spans="1:27" x14ac:dyDescent="0.3">
      <c r="A302" s="5"/>
      <c r="B302" s="370"/>
      <c r="C302" s="23"/>
      <c r="D302" s="72"/>
      <c r="P302" s="204"/>
      <c r="AA302" s="386"/>
    </row>
    <row r="303" spans="1:27" x14ac:dyDescent="0.3">
      <c r="A303" s="5"/>
      <c r="B303" s="370"/>
      <c r="C303" s="23"/>
      <c r="D303" s="72"/>
      <c r="P303" s="204"/>
      <c r="AA303" s="386"/>
    </row>
    <row r="304" spans="1:27" x14ac:dyDescent="0.3">
      <c r="A304" s="5"/>
      <c r="B304" s="370"/>
      <c r="C304" s="23"/>
      <c r="D304" s="72"/>
      <c r="P304" s="204"/>
      <c r="AA304" s="386"/>
    </row>
    <row r="305" spans="1:27" x14ac:dyDescent="0.3">
      <c r="A305" s="5"/>
      <c r="B305" s="370"/>
      <c r="C305" s="23"/>
      <c r="D305" s="72"/>
      <c r="P305" s="204"/>
      <c r="AA305" s="386"/>
    </row>
    <row r="306" spans="1:27" x14ac:dyDescent="0.3">
      <c r="A306" s="5"/>
      <c r="B306" s="370"/>
      <c r="C306" s="23"/>
      <c r="D306" s="72"/>
      <c r="P306" s="204"/>
      <c r="AA306" s="386"/>
    </row>
    <row r="307" spans="1:27" x14ac:dyDescent="0.3">
      <c r="A307" s="5"/>
      <c r="B307" s="370"/>
      <c r="C307" s="23"/>
      <c r="D307" s="72"/>
      <c r="P307" s="204"/>
      <c r="AA307" s="386"/>
    </row>
    <row r="308" spans="1:27" x14ac:dyDescent="0.3">
      <c r="A308" s="5"/>
      <c r="B308" s="370"/>
      <c r="C308" s="23"/>
      <c r="D308" s="72"/>
      <c r="P308" s="204"/>
      <c r="AA308" s="386"/>
    </row>
    <row r="309" spans="1:27" x14ac:dyDescent="0.3">
      <c r="A309" s="5"/>
      <c r="B309" s="370"/>
      <c r="C309" s="23"/>
      <c r="D309" s="72"/>
      <c r="P309" s="204"/>
      <c r="AA309" s="386"/>
    </row>
    <row r="310" spans="1:27" x14ac:dyDescent="0.3">
      <c r="A310" s="5"/>
      <c r="B310" s="370"/>
      <c r="C310" s="23"/>
      <c r="D310" s="72"/>
      <c r="P310" s="204"/>
      <c r="AA310" s="386"/>
    </row>
    <row r="311" spans="1:27" x14ac:dyDescent="0.3">
      <c r="A311" s="5"/>
      <c r="B311" s="370"/>
      <c r="C311" s="23"/>
      <c r="D311" s="72"/>
      <c r="P311" s="204"/>
      <c r="AA311" s="386"/>
    </row>
    <row r="312" spans="1:27" x14ac:dyDescent="0.3">
      <c r="A312" s="5"/>
      <c r="B312" s="370"/>
      <c r="C312" s="23"/>
      <c r="D312" s="72"/>
      <c r="P312" s="204"/>
      <c r="AA312" s="386"/>
    </row>
    <row r="313" spans="1:27" x14ac:dyDescent="0.3">
      <c r="A313" s="5"/>
      <c r="B313" s="370"/>
      <c r="C313" s="23"/>
      <c r="D313" s="72"/>
      <c r="P313" s="204"/>
      <c r="AA313" s="386"/>
    </row>
    <row r="314" spans="1:27" x14ac:dyDescent="0.3">
      <c r="A314" s="5"/>
      <c r="B314" s="370"/>
      <c r="C314" s="23"/>
      <c r="D314" s="72"/>
      <c r="P314" s="204"/>
      <c r="AA314" s="386"/>
    </row>
    <row r="315" spans="1:27" x14ac:dyDescent="0.3">
      <c r="A315" s="5"/>
      <c r="B315" s="370"/>
      <c r="C315" s="23"/>
      <c r="D315" s="72"/>
      <c r="P315" s="204"/>
      <c r="AA315" s="386"/>
    </row>
    <row r="316" spans="1:27" x14ac:dyDescent="0.3">
      <c r="A316" s="5"/>
      <c r="B316" s="370"/>
      <c r="C316" s="23"/>
      <c r="D316" s="72"/>
      <c r="P316" s="204"/>
      <c r="AA316" s="386"/>
    </row>
    <row r="317" spans="1:27" x14ac:dyDescent="0.3">
      <c r="A317" s="5"/>
      <c r="B317" s="370"/>
      <c r="C317" s="23"/>
      <c r="D317" s="72"/>
      <c r="P317" s="204"/>
      <c r="AA317" s="386"/>
    </row>
    <row r="318" spans="1:27" x14ac:dyDescent="0.3">
      <c r="A318" s="5"/>
      <c r="B318" s="370"/>
      <c r="C318" s="23"/>
      <c r="D318" s="72"/>
      <c r="P318" s="204"/>
      <c r="AA318" s="386"/>
    </row>
    <row r="319" spans="1:27" x14ac:dyDescent="0.3">
      <c r="A319" s="5"/>
      <c r="B319" s="370"/>
      <c r="C319" s="23"/>
      <c r="D319" s="72"/>
      <c r="P319" s="204"/>
      <c r="AA319" s="386"/>
    </row>
    <row r="320" spans="1:27" x14ac:dyDescent="0.3">
      <c r="A320" s="5"/>
      <c r="B320" s="370"/>
      <c r="C320" s="23"/>
      <c r="D320" s="72"/>
      <c r="P320" s="204"/>
    </row>
    <row r="321" spans="1:16" x14ac:dyDescent="0.3">
      <c r="A321" s="5"/>
      <c r="B321" s="370"/>
      <c r="C321" s="23"/>
      <c r="D321" s="72"/>
      <c r="P321" s="204"/>
    </row>
    <row r="322" spans="1:16" x14ac:dyDescent="0.3">
      <c r="A322" s="5"/>
      <c r="B322" s="370"/>
      <c r="C322" s="23"/>
      <c r="D322" s="72"/>
      <c r="P322" s="204"/>
    </row>
    <row r="323" spans="1:16" x14ac:dyDescent="0.3">
      <c r="A323" s="5"/>
      <c r="B323" s="370"/>
      <c r="C323" s="23"/>
      <c r="D323" s="72"/>
      <c r="P323" s="204"/>
    </row>
    <row r="324" spans="1:16" x14ac:dyDescent="0.3">
      <c r="A324" s="5"/>
      <c r="B324" s="370"/>
      <c r="C324" s="23"/>
      <c r="D324" s="72"/>
      <c r="P324" s="204"/>
    </row>
    <row r="325" spans="1:16" x14ac:dyDescent="0.3">
      <c r="A325" s="5"/>
      <c r="B325" s="370"/>
      <c r="C325" s="23"/>
      <c r="D325" s="72"/>
      <c r="P325" s="204"/>
    </row>
    <row r="326" spans="1:16" x14ac:dyDescent="0.3">
      <c r="A326" s="5"/>
      <c r="B326" s="370"/>
      <c r="C326" s="23"/>
      <c r="D326" s="72"/>
      <c r="P326" s="204"/>
    </row>
    <row r="327" spans="1:16" x14ac:dyDescent="0.3">
      <c r="A327" s="5"/>
      <c r="B327" s="370"/>
      <c r="C327" s="23"/>
      <c r="D327" s="72"/>
      <c r="P327" s="204"/>
    </row>
    <row r="328" spans="1:16" x14ac:dyDescent="0.3">
      <c r="A328" s="5"/>
      <c r="B328" s="370"/>
      <c r="C328" s="23"/>
      <c r="D328" s="72"/>
      <c r="P328" s="204"/>
    </row>
    <row r="329" spans="1:16" x14ac:dyDescent="0.3">
      <c r="A329" s="5"/>
      <c r="B329" s="370"/>
      <c r="C329" s="23"/>
      <c r="D329" s="72"/>
      <c r="P329" s="204"/>
    </row>
    <row r="330" spans="1:16" x14ac:dyDescent="0.3">
      <c r="A330" s="5"/>
      <c r="B330" s="370"/>
      <c r="C330" s="23"/>
      <c r="D330" s="72"/>
      <c r="P330" s="204"/>
    </row>
    <row r="331" spans="1:16" x14ac:dyDescent="0.3">
      <c r="A331" s="5"/>
      <c r="B331" s="370"/>
      <c r="C331" s="23"/>
      <c r="D331" s="72"/>
      <c r="P331" s="204"/>
    </row>
    <row r="332" spans="1:16" x14ac:dyDescent="0.3">
      <c r="A332" s="5"/>
      <c r="B332" s="370"/>
      <c r="C332" s="23"/>
      <c r="D332" s="72"/>
      <c r="P332" s="204"/>
    </row>
    <row r="333" spans="1:16" x14ac:dyDescent="0.3">
      <c r="A333" s="5"/>
      <c r="B333" s="370"/>
      <c r="C333" s="23"/>
      <c r="D333" s="72"/>
      <c r="P333" s="204"/>
    </row>
    <row r="334" spans="1:16" x14ac:dyDescent="0.3">
      <c r="A334" s="5"/>
      <c r="B334" s="370"/>
      <c r="C334" s="23"/>
      <c r="D334" s="72"/>
      <c r="P334" s="204"/>
    </row>
    <row r="335" spans="1:16" x14ac:dyDescent="0.3">
      <c r="A335" s="5"/>
      <c r="B335" s="370"/>
      <c r="C335" s="23"/>
      <c r="D335" s="72"/>
      <c r="P335" s="204"/>
    </row>
    <row r="336" spans="1:16" x14ac:dyDescent="0.3">
      <c r="A336" s="5"/>
      <c r="B336" s="370"/>
      <c r="C336" s="23"/>
      <c r="D336" s="72"/>
      <c r="P336" s="204"/>
    </row>
    <row r="337" spans="1:16" x14ac:dyDescent="0.3">
      <c r="A337" s="5"/>
      <c r="B337" s="370"/>
      <c r="C337" s="23"/>
      <c r="D337" s="72"/>
      <c r="P337" s="204"/>
    </row>
    <row r="338" spans="1:16" x14ac:dyDescent="0.3">
      <c r="A338" s="5"/>
      <c r="B338" s="370"/>
      <c r="C338" s="23"/>
      <c r="D338" s="72"/>
      <c r="P338" s="204"/>
    </row>
    <row r="339" spans="1:16" x14ac:dyDescent="0.3">
      <c r="A339" s="5"/>
      <c r="B339" s="370"/>
      <c r="C339" s="23"/>
      <c r="D339" s="72"/>
      <c r="P339" s="204"/>
    </row>
    <row r="340" spans="1:16" x14ac:dyDescent="0.3">
      <c r="A340" s="5"/>
      <c r="B340" s="370"/>
      <c r="C340" s="23"/>
      <c r="D340" s="72"/>
      <c r="P340" s="204"/>
    </row>
    <row r="341" spans="1:16" x14ac:dyDescent="0.3">
      <c r="A341" s="5"/>
      <c r="B341" s="370"/>
      <c r="C341" s="23"/>
      <c r="D341" s="72"/>
      <c r="P341" s="204"/>
    </row>
    <row r="342" spans="1:16" x14ac:dyDescent="0.3">
      <c r="A342" s="5"/>
      <c r="B342" s="370"/>
      <c r="C342" s="23"/>
      <c r="D342" s="72"/>
      <c r="P342" s="204"/>
    </row>
    <row r="343" spans="1:16" x14ac:dyDescent="0.3">
      <c r="A343" s="5"/>
      <c r="B343" s="370"/>
      <c r="C343" s="23"/>
      <c r="D343" s="72"/>
      <c r="P343" s="204"/>
    </row>
    <row r="344" spans="1:16" x14ac:dyDescent="0.3">
      <c r="A344" s="5"/>
      <c r="B344" s="370"/>
      <c r="C344" s="23"/>
      <c r="D344" s="72"/>
      <c r="P344" s="204"/>
    </row>
    <row r="345" spans="1:16" x14ac:dyDescent="0.3">
      <c r="A345" s="5"/>
      <c r="B345" s="370"/>
      <c r="C345" s="23"/>
      <c r="D345" s="72"/>
      <c r="P345" s="204"/>
    </row>
    <row r="346" spans="1:16" x14ac:dyDescent="0.3">
      <c r="A346" s="5"/>
      <c r="B346" s="370"/>
      <c r="C346" s="23"/>
      <c r="D346" s="72"/>
      <c r="P346" s="204"/>
    </row>
    <row r="347" spans="1:16" x14ac:dyDescent="0.3">
      <c r="A347" s="5"/>
      <c r="B347" s="370"/>
      <c r="C347" s="23"/>
      <c r="D347" s="72"/>
      <c r="P347" s="204"/>
    </row>
    <row r="348" spans="1:16" x14ac:dyDescent="0.3">
      <c r="A348" s="5"/>
      <c r="B348" s="370"/>
      <c r="C348" s="23"/>
      <c r="D348" s="72"/>
      <c r="P348" s="204"/>
    </row>
    <row r="349" spans="1:16" x14ac:dyDescent="0.3">
      <c r="A349" s="5"/>
      <c r="B349" s="370"/>
      <c r="C349" s="23"/>
      <c r="D349" s="72"/>
      <c r="P349" s="204"/>
    </row>
    <row r="350" spans="1:16" x14ac:dyDescent="0.3">
      <c r="A350" s="5"/>
      <c r="B350" s="370"/>
      <c r="C350" s="23"/>
      <c r="D350" s="72"/>
      <c r="P350" s="204"/>
    </row>
    <row r="351" spans="1:16" x14ac:dyDescent="0.3">
      <c r="A351" s="5"/>
      <c r="B351" s="370"/>
      <c r="C351" s="23"/>
      <c r="D351" s="72"/>
      <c r="P351" s="204"/>
    </row>
    <row r="352" spans="1:16" x14ac:dyDescent="0.3">
      <c r="A352" s="5"/>
      <c r="B352" s="370"/>
      <c r="C352" s="23"/>
      <c r="D352" s="72"/>
      <c r="P352" s="204"/>
    </row>
    <row r="353" spans="1:16" x14ac:dyDescent="0.3">
      <c r="A353" s="5"/>
      <c r="B353" s="370"/>
      <c r="C353" s="23"/>
      <c r="D353" s="72"/>
      <c r="P353" s="204"/>
    </row>
    <row r="354" spans="1:16" x14ac:dyDescent="0.3">
      <c r="A354" s="5"/>
      <c r="B354" s="370"/>
      <c r="C354" s="23"/>
      <c r="D354" s="72"/>
      <c r="P354" s="204"/>
    </row>
    <row r="355" spans="1:16" x14ac:dyDescent="0.3">
      <c r="A355" s="5"/>
      <c r="B355" s="370"/>
      <c r="C355" s="23"/>
      <c r="D355" s="72"/>
      <c r="P355" s="204"/>
    </row>
    <row r="356" spans="1:16" x14ac:dyDescent="0.3">
      <c r="A356" s="5"/>
      <c r="B356" s="370"/>
      <c r="C356" s="23"/>
      <c r="D356" s="72"/>
      <c r="P356" s="204"/>
    </row>
    <row r="357" spans="1:16" x14ac:dyDescent="0.3">
      <c r="A357" s="5"/>
      <c r="B357" s="370"/>
      <c r="C357" s="23"/>
      <c r="D357" s="72"/>
      <c r="P357" s="204"/>
    </row>
    <row r="358" spans="1:16" x14ac:dyDescent="0.3">
      <c r="A358" s="5"/>
      <c r="B358" s="370"/>
      <c r="C358" s="23"/>
      <c r="D358" s="72"/>
      <c r="P358" s="204"/>
    </row>
    <row r="359" spans="1:16" x14ac:dyDescent="0.3">
      <c r="A359" s="5"/>
      <c r="B359" s="370"/>
      <c r="C359" s="23"/>
      <c r="D359" s="72"/>
      <c r="P359" s="204"/>
    </row>
    <row r="360" spans="1:16" x14ac:dyDescent="0.3">
      <c r="A360" s="5"/>
      <c r="B360" s="370"/>
      <c r="C360" s="23"/>
      <c r="D360" s="72"/>
      <c r="P360" s="204"/>
    </row>
    <row r="361" spans="1:16" x14ac:dyDescent="0.3">
      <c r="A361" s="5"/>
      <c r="B361" s="370"/>
      <c r="C361" s="23"/>
      <c r="D361" s="72"/>
      <c r="P361" s="204"/>
    </row>
    <row r="362" spans="1:16" x14ac:dyDescent="0.3">
      <c r="A362" s="5"/>
      <c r="B362" s="370"/>
      <c r="C362" s="23"/>
      <c r="D362" s="72"/>
      <c r="P362" s="204"/>
    </row>
    <row r="363" spans="1:16" x14ac:dyDescent="0.3">
      <c r="A363" s="5"/>
      <c r="B363" s="370"/>
      <c r="C363" s="23"/>
      <c r="D363" s="72"/>
      <c r="P363" s="204"/>
    </row>
    <row r="364" spans="1:16" x14ac:dyDescent="0.3">
      <c r="A364" s="5"/>
      <c r="B364" s="370"/>
      <c r="C364" s="23"/>
      <c r="D364" s="72"/>
      <c r="P364" s="204"/>
    </row>
    <row r="365" spans="1:16" x14ac:dyDescent="0.3">
      <c r="A365" s="5"/>
      <c r="B365" s="370"/>
      <c r="C365" s="23"/>
      <c r="D365" s="72"/>
      <c r="P365" s="204"/>
    </row>
    <row r="366" spans="1:16" x14ac:dyDescent="0.3">
      <c r="A366" s="5"/>
      <c r="B366" s="370"/>
      <c r="C366" s="23"/>
      <c r="D366" s="72"/>
      <c r="P366" s="204"/>
    </row>
    <row r="367" spans="1:16" x14ac:dyDescent="0.3">
      <c r="A367" s="5"/>
      <c r="B367" s="370"/>
      <c r="C367" s="23"/>
      <c r="D367" s="72"/>
      <c r="P367" s="204"/>
    </row>
    <row r="368" spans="1:16" x14ac:dyDescent="0.3">
      <c r="A368" s="5"/>
      <c r="B368" s="370"/>
      <c r="C368" s="23"/>
      <c r="D368" s="72"/>
      <c r="P368" s="204"/>
    </row>
    <row r="369" spans="1:16" x14ac:dyDescent="0.3">
      <c r="A369" s="5"/>
      <c r="B369" s="370"/>
      <c r="C369" s="23"/>
      <c r="D369" s="72"/>
      <c r="P369" s="204"/>
    </row>
    <row r="370" spans="1:16" x14ac:dyDescent="0.3">
      <c r="A370" s="5"/>
      <c r="B370" s="370"/>
      <c r="C370" s="23"/>
      <c r="D370" s="72"/>
      <c r="P370" s="204"/>
    </row>
    <row r="371" spans="1:16" x14ac:dyDescent="0.3">
      <c r="A371" s="5"/>
      <c r="B371" s="370"/>
      <c r="C371" s="23"/>
      <c r="D371" s="72"/>
      <c r="P371" s="204"/>
    </row>
    <row r="372" spans="1:16" x14ac:dyDescent="0.3">
      <c r="A372" s="5"/>
      <c r="B372" s="370"/>
      <c r="C372" s="23"/>
      <c r="D372" s="72"/>
      <c r="P372" s="204"/>
    </row>
    <row r="373" spans="1:16" x14ac:dyDescent="0.3">
      <c r="A373" s="5"/>
      <c r="B373" s="370"/>
      <c r="C373" s="23"/>
      <c r="D373" s="72"/>
      <c r="P373" s="204"/>
    </row>
    <row r="374" spans="1:16" x14ac:dyDescent="0.3">
      <c r="A374" s="5"/>
      <c r="B374" s="370"/>
      <c r="C374" s="23"/>
      <c r="D374" s="72"/>
      <c r="P374" s="204"/>
    </row>
    <row r="375" spans="1:16" x14ac:dyDescent="0.3">
      <c r="A375" s="5"/>
      <c r="B375" s="370"/>
      <c r="C375" s="23"/>
      <c r="D375" s="72"/>
      <c r="P375" s="204"/>
    </row>
    <row r="376" spans="1:16" x14ac:dyDescent="0.3">
      <c r="A376" s="5"/>
      <c r="B376" s="370"/>
      <c r="C376" s="23"/>
      <c r="D376" s="72"/>
      <c r="P376" s="204"/>
    </row>
    <row r="377" spans="1:16" x14ac:dyDescent="0.3">
      <c r="A377" s="5"/>
      <c r="B377" s="370"/>
      <c r="C377" s="23"/>
      <c r="D377" s="72"/>
      <c r="P377" s="204"/>
    </row>
    <row r="378" spans="1:16" x14ac:dyDescent="0.3">
      <c r="A378" s="5"/>
      <c r="B378" s="370"/>
      <c r="C378" s="23"/>
      <c r="D378" s="72"/>
      <c r="P378" s="204"/>
    </row>
    <row r="379" spans="1:16" x14ac:dyDescent="0.3">
      <c r="A379" s="5"/>
      <c r="B379" s="370"/>
      <c r="C379" s="23"/>
      <c r="D379" s="72"/>
    </row>
    <row r="380" spans="1:16" x14ac:dyDescent="0.3">
      <c r="A380" s="5"/>
      <c r="B380" s="370"/>
      <c r="C380" s="23"/>
      <c r="D380" s="72"/>
      <c r="P380" s="204"/>
    </row>
    <row r="381" spans="1:16" x14ac:dyDescent="0.3">
      <c r="A381" s="5"/>
      <c r="B381" s="370"/>
      <c r="C381" s="23"/>
      <c r="D381" s="72"/>
    </row>
    <row r="382" spans="1:16" x14ac:dyDescent="0.3">
      <c r="A382" s="5"/>
      <c r="B382" s="370"/>
      <c r="C382" s="23"/>
      <c r="D382" s="72"/>
    </row>
    <row r="383" spans="1:16" x14ac:dyDescent="0.3">
      <c r="A383" s="5"/>
      <c r="B383" s="370"/>
      <c r="C383" s="23"/>
      <c r="D383" s="72"/>
    </row>
    <row r="384" spans="1:16" x14ac:dyDescent="0.3">
      <c r="A384" s="5"/>
      <c r="B384" s="370"/>
      <c r="C384" s="23"/>
      <c r="D384" s="72"/>
    </row>
    <row r="385" spans="1:4" x14ac:dyDescent="0.3">
      <c r="A385" s="5"/>
      <c r="B385" s="370"/>
      <c r="C385" s="23"/>
      <c r="D385" s="72"/>
    </row>
    <row r="386" spans="1:4" x14ac:dyDescent="0.3">
      <c r="A386" s="5"/>
      <c r="B386" s="370"/>
      <c r="C386" s="23"/>
      <c r="D386" s="72"/>
    </row>
    <row r="387" spans="1:4" x14ac:dyDescent="0.3">
      <c r="A387" s="5"/>
      <c r="B387" s="370"/>
      <c r="C387" s="23"/>
      <c r="D387" s="72"/>
    </row>
    <row r="388" spans="1:4" x14ac:dyDescent="0.3">
      <c r="A388" s="5"/>
      <c r="B388" s="370"/>
      <c r="C388" s="23"/>
      <c r="D388" s="72"/>
    </row>
    <row r="389" spans="1:4" x14ac:dyDescent="0.3">
      <c r="A389" s="5"/>
      <c r="B389" s="370"/>
      <c r="C389" s="23"/>
      <c r="D389" s="72"/>
    </row>
    <row r="390" spans="1:4" x14ac:dyDescent="0.3">
      <c r="A390" s="5"/>
      <c r="B390" s="370"/>
      <c r="C390" s="23"/>
      <c r="D390" s="72"/>
    </row>
    <row r="391" spans="1:4" x14ac:dyDescent="0.3">
      <c r="A391" s="5"/>
      <c r="B391" s="370"/>
      <c r="C391" s="23"/>
      <c r="D391" s="72"/>
    </row>
    <row r="392" spans="1:4" x14ac:dyDescent="0.3">
      <c r="A392" s="5"/>
      <c r="B392" s="370"/>
      <c r="C392" s="23"/>
      <c r="D392" s="72"/>
    </row>
    <row r="393" spans="1:4" x14ac:dyDescent="0.3">
      <c r="A393" s="5"/>
      <c r="B393" s="370"/>
      <c r="C393" s="23"/>
      <c r="D393" s="72"/>
    </row>
    <row r="394" spans="1:4" x14ac:dyDescent="0.3">
      <c r="A394" s="5"/>
      <c r="B394" s="370"/>
      <c r="C394" s="23"/>
      <c r="D394" s="72"/>
    </row>
    <row r="395" spans="1:4" x14ac:dyDescent="0.3">
      <c r="A395" s="5"/>
      <c r="B395" s="370"/>
      <c r="C395" s="23"/>
      <c r="D395" s="72"/>
    </row>
    <row r="396" spans="1:4" x14ac:dyDescent="0.3">
      <c r="A396" s="5"/>
      <c r="B396" s="370"/>
      <c r="C396" s="23"/>
      <c r="D396" s="72"/>
    </row>
    <row r="397" spans="1:4" x14ac:dyDescent="0.3">
      <c r="A397" s="5"/>
      <c r="B397" s="370"/>
      <c r="C397" s="23"/>
      <c r="D397" s="72"/>
    </row>
    <row r="398" spans="1:4" x14ac:dyDescent="0.3">
      <c r="A398" s="5"/>
      <c r="B398" s="370"/>
      <c r="C398" s="23"/>
      <c r="D398" s="72"/>
    </row>
    <row r="399" spans="1:4" x14ac:dyDescent="0.3">
      <c r="A399" s="5"/>
      <c r="B399" s="370"/>
      <c r="C399" s="23"/>
      <c r="D399" s="72"/>
    </row>
    <row r="400" spans="1:4" x14ac:dyDescent="0.3">
      <c r="A400" s="5"/>
      <c r="B400" s="370"/>
      <c r="C400" s="23"/>
      <c r="D400" s="72"/>
    </row>
    <row r="401" spans="1:4" x14ac:dyDescent="0.3">
      <c r="A401" s="5"/>
      <c r="B401" s="370"/>
      <c r="C401" s="23"/>
      <c r="D401" s="72"/>
    </row>
    <row r="402" spans="1:4" x14ac:dyDescent="0.3">
      <c r="A402" s="5"/>
      <c r="B402" s="370"/>
      <c r="C402" s="23"/>
      <c r="D402" s="72"/>
    </row>
    <row r="403" spans="1:4" x14ac:dyDescent="0.3">
      <c r="A403" s="5"/>
      <c r="B403" s="370"/>
      <c r="C403" s="23"/>
      <c r="D403" s="72"/>
    </row>
    <row r="404" spans="1:4" x14ac:dyDescent="0.3">
      <c r="A404" s="5"/>
      <c r="B404" s="370"/>
      <c r="C404" s="23"/>
      <c r="D404" s="72"/>
    </row>
    <row r="405" spans="1:4" x14ac:dyDescent="0.3">
      <c r="A405" s="5"/>
      <c r="B405" s="370"/>
      <c r="C405" s="23"/>
      <c r="D405" s="72"/>
    </row>
    <row r="406" spans="1:4" x14ac:dyDescent="0.3">
      <c r="A406" s="5"/>
      <c r="B406" s="370"/>
      <c r="C406" s="23"/>
      <c r="D406" s="72"/>
    </row>
    <row r="407" spans="1:4" x14ac:dyDescent="0.3">
      <c r="A407" s="5"/>
      <c r="B407" s="370"/>
      <c r="C407" s="23"/>
      <c r="D407" s="72"/>
    </row>
    <row r="408" spans="1:4" x14ac:dyDescent="0.3">
      <c r="A408" s="5"/>
      <c r="B408" s="370"/>
      <c r="C408" s="23"/>
      <c r="D408" s="72"/>
    </row>
    <row r="409" spans="1:4" x14ac:dyDescent="0.3">
      <c r="A409" s="5"/>
      <c r="B409" s="370"/>
      <c r="C409" s="23"/>
      <c r="D409" s="72"/>
    </row>
    <row r="410" spans="1:4" x14ac:dyDescent="0.3">
      <c r="A410" s="5"/>
      <c r="B410" s="370"/>
      <c r="C410" s="23"/>
      <c r="D410" s="72"/>
    </row>
    <row r="411" spans="1:4" x14ac:dyDescent="0.3">
      <c r="A411" s="5"/>
      <c r="B411" s="370"/>
      <c r="C411" s="23"/>
      <c r="D411" s="72"/>
    </row>
    <row r="412" spans="1:4" x14ac:dyDescent="0.3">
      <c r="A412" s="5"/>
      <c r="B412" s="370"/>
      <c r="C412" s="23"/>
      <c r="D412" s="72"/>
    </row>
    <row r="413" spans="1:4" x14ac:dyDescent="0.3">
      <c r="D413" s="72"/>
    </row>
    <row r="414" spans="1:4" x14ac:dyDescent="0.3">
      <c r="D414" s="72"/>
    </row>
    <row r="415" spans="1:4" x14ac:dyDescent="0.3">
      <c r="D415" s="72"/>
    </row>
    <row r="416" spans="1:4" x14ac:dyDescent="0.3">
      <c r="D416" s="72"/>
    </row>
    <row r="417" spans="4:4" x14ac:dyDescent="0.3">
      <c r="D417" s="72"/>
    </row>
    <row r="418" spans="4:4" x14ac:dyDescent="0.3">
      <c r="D418" s="72"/>
    </row>
    <row r="419" spans="4:4" x14ac:dyDescent="0.3">
      <c r="D419" s="72"/>
    </row>
    <row r="420" spans="4:4" x14ac:dyDescent="0.3">
      <c r="D420" s="72"/>
    </row>
    <row r="421" spans="4:4" x14ac:dyDescent="0.3">
      <c r="D421" s="72"/>
    </row>
    <row r="422" spans="4:4" x14ac:dyDescent="0.3">
      <c r="D422" s="72"/>
    </row>
    <row r="423" spans="4:4" x14ac:dyDescent="0.3">
      <c r="D423" s="72"/>
    </row>
    <row r="424" spans="4:4" x14ac:dyDescent="0.3">
      <c r="D424" s="72"/>
    </row>
    <row r="425" spans="4:4" x14ac:dyDescent="0.3">
      <c r="D425" s="72"/>
    </row>
    <row r="426" spans="4:4" x14ac:dyDescent="0.3">
      <c r="D426" s="72"/>
    </row>
    <row r="427" spans="4:4" x14ac:dyDescent="0.3">
      <c r="D427" s="72"/>
    </row>
    <row r="428" spans="4:4" x14ac:dyDescent="0.3">
      <c r="D428" s="72"/>
    </row>
    <row r="429" spans="4:4" x14ac:dyDescent="0.3">
      <c r="D429" s="72"/>
    </row>
    <row r="430" spans="4:4" x14ac:dyDescent="0.3">
      <c r="D430" s="72"/>
    </row>
    <row r="431" spans="4:4" x14ac:dyDescent="0.3">
      <c r="D431" s="72"/>
    </row>
    <row r="432" spans="4:4" x14ac:dyDescent="0.3">
      <c r="D432" s="72"/>
    </row>
    <row r="433" spans="4:4" x14ac:dyDescent="0.3">
      <c r="D433" s="72"/>
    </row>
    <row r="434" spans="4:4" x14ac:dyDescent="0.3">
      <c r="D434" s="72"/>
    </row>
    <row r="435" spans="4:4" x14ac:dyDescent="0.3">
      <c r="D435" s="72"/>
    </row>
    <row r="436" spans="4:4" x14ac:dyDescent="0.3">
      <c r="D436" s="72"/>
    </row>
    <row r="437" spans="4:4" x14ac:dyDescent="0.3">
      <c r="D437" s="72"/>
    </row>
    <row r="438" spans="4:4" x14ac:dyDescent="0.3">
      <c r="D438" s="72"/>
    </row>
    <row r="439" spans="4:4" x14ac:dyDescent="0.3">
      <c r="D439" s="72"/>
    </row>
    <row r="440" spans="4:4" x14ac:dyDescent="0.3">
      <c r="D440" s="72"/>
    </row>
    <row r="441" spans="4:4" x14ac:dyDescent="0.3">
      <c r="D441" s="72"/>
    </row>
    <row r="442" spans="4:4" x14ac:dyDescent="0.3">
      <c r="D442" s="72"/>
    </row>
    <row r="443" spans="4:4" x14ac:dyDescent="0.3">
      <c r="D443" s="72"/>
    </row>
    <row r="444" spans="4:4" x14ac:dyDescent="0.3">
      <c r="D444" s="72"/>
    </row>
    <row r="445" spans="4:4" x14ac:dyDescent="0.3">
      <c r="D445" s="72"/>
    </row>
    <row r="446" spans="4:4" x14ac:dyDescent="0.3">
      <c r="D446" s="72"/>
    </row>
    <row r="447" spans="4:4" x14ac:dyDescent="0.3">
      <c r="D447" s="72"/>
    </row>
    <row r="448" spans="4:4" x14ac:dyDescent="0.3">
      <c r="D448" s="72"/>
    </row>
    <row r="449" spans="4:4" x14ac:dyDescent="0.3">
      <c r="D449" s="72"/>
    </row>
    <row r="450" spans="4:4" x14ac:dyDescent="0.3">
      <c r="D450" s="72"/>
    </row>
    <row r="451" spans="4:4" x14ac:dyDescent="0.3">
      <c r="D451" s="72"/>
    </row>
    <row r="452" spans="4:4" x14ac:dyDescent="0.3">
      <c r="D452" s="72"/>
    </row>
    <row r="453" spans="4:4" x14ac:dyDescent="0.3">
      <c r="D453" s="72"/>
    </row>
    <row r="454" spans="4:4" x14ac:dyDescent="0.3">
      <c r="D454" s="72"/>
    </row>
    <row r="455" spans="4:4" x14ac:dyDescent="0.3">
      <c r="D455" s="72"/>
    </row>
    <row r="456" spans="4:4" x14ac:dyDescent="0.3">
      <c r="D456" s="72"/>
    </row>
    <row r="457" spans="4:4" x14ac:dyDescent="0.3">
      <c r="D457" s="72"/>
    </row>
    <row r="458" spans="4:4" x14ac:dyDescent="0.3">
      <c r="D458" s="72"/>
    </row>
    <row r="459" spans="4:4" x14ac:dyDescent="0.3">
      <c r="D459" s="72"/>
    </row>
    <row r="460" spans="4:4" x14ac:dyDescent="0.3">
      <c r="D460" s="72"/>
    </row>
    <row r="461" spans="4:4" x14ac:dyDescent="0.3">
      <c r="D461" s="72"/>
    </row>
    <row r="462" spans="4:4" x14ac:dyDescent="0.3">
      <c r="D462" s="72"/>
    </row>
    <row r="463" spans="4:4" x14ac:dyDescent="0.3">
      <c r="D463" s="72"/>
    </row>
    <row r="464" spans="4:4" x14ac:dyDescent="0.3">
      <c r="D464" s="72"/>
    </row>
    <row r="465" spans="4:4" x14ac:dyDescent="0.3">
      <c r="D465" s="72"/>
    </row>
    <row r="466" spans="4:4" x14ac:dyDescent="0.3">
      <c r="D466" s="72"/>
    </row>
    <row r="467" spans="4:4" x14ac:dyDescent="0.3">
      <c r="D467" s="72"/>
    </row>
    <row r="468" spans="4:4" x14ac:dyDescent="0.3">
      <c r="D468" s="72"/>
    </row>
    <row r="469" spans="4:4" x14ac:dyDescent="0.3">
      <c r="D469" s="72"/>
    </row>
    <row r="470" spans="4:4" x14ac:dyDescent="0.3">
      <c r="D470" s="72"/>
    </row>
    <row r="471" spans="4:4" x14ac:dyDescent="0.3">
      <c r="D471" s="72"/>
    </row>
    <row r="472" spans="4:4" x14ac:dyDescent="0.3">
      <c r="D472" s="72"/>
    </row>
    <row r="473" spans="4:4" x14ac:dyDescent="0.3">
      <c r="D473" s="72"/>
    </row>
    <row r="474" spans="4:4" x14ac:dyDescent="0.3">
      <c r="D474" s="72"/>
    </row>
    <row r="475" spans="4:4" x14ac:dyDescent="0.3">
      <c r="D475" s="72"/>
    </row>
    <row r="476" spans="4:4" x14ac:dyDescent="0.3">
      <c r="D476" s="72"/>
    </row>
    <row r="477" spans="4:4" x14ac:dyDescent="0.3">
      <c r="D477" s="72"/>
    </row>
    <row r="478" spans="4:4" x14ac:dyDescent="0.3">
      <c r="D478" s="72"/>
    </row>
    <row r="479" spans="4:4" x14ac:dyDescent="0.3">
      <c r="D479" s="72"/>
    </row>
    <row r="480" spans="4:4" x14ac:dyDescent="0.3">
      <c r="D480" s="72"/>
    </row>
    <row r="481" spans="4:4" x14ac:dyDescent="0.3">
      <c r="D481" s="72"/>
    </row>
    <row r="482" spans="4:4" x14ac:dyDescent="0.3">
      <c r="D482" s="72"/>
    </row>
    <row r="483" spans="4:4" x14ac:dyDescent="0.3">
      <c r="D483" s="72"/>
    </row>
    <row r="484" spans="4:4" x14ac:dyDescent="0.3">
      <c r="D484" s="72"/>
    </row>
    <row r="485" spans="4:4" x14ac:dyDescent="0.3">
      <c r="D485" s="72"/>
    </row>
    <row r="486" spans="4:4" x14ac:dyDescent="0.3">
      <c r="D486" s="72"/>
    </row>
    <row r="487" spans="4:4" x14ac:dyDescent="0.3">
      <c r="D487" s="72"/>
    </row>
    <row r="488" spans="4:4" x14ac:dyDescent="0.3">
      <c r="D488" s="72"/>
    </row>
    <row r="489" spans="4:4" x14ac:dyDescent="0.3">
      <c r="D489" s="72"/>
    </row>
    <row r="490" spans="4:4" x14ac:dyDescent="0.3">
      <c r="D490" s="72"/>
    </row>
    <row r="491" spans="4:4" x14ac:dyDescent="0.3">
      <c r="D491" s="72"/>
    </row>
    <row r="492" spans="4:4" x14ac:dyDescent="0.3">
      <c r="D492" s="72"/>
    </row>
    <row r="493" spans="4:4" x14ac:dyDescent="0.3">
      <c r="D493" s="72"/>
    </row>
    <row r="494" spans="4:4" x14ac:dyDescent="0.3">
      <c r="D494" s="72"/>
    </row>
    <row r="495" spans="4:4" x14ac:dyDescent="0.3">
      <c r="D495" s="72"/>
    </row>
    <row r="496" spans="4:4" x14ac:dyDescent="0.3">
      <c r="D496" s="72"/>
    </row>
    <row r="497" spans="4:4" x14ac:dyDescent="0.3">
      <c r="D497" s="72"/>
    </row>
    <row r="498" spans="4:4" x14ac:dyDescent="0.3">
      <c r="D498" s="72"/>
    </row>
    <row r="499" spans="4:4" x14ac:dyDescent="0.3">
      <c r="D499" s="72"/>
    </row>
    <row r="500" spans="4:4" x14ac:dyDescent="0.3">
      <c r="D500" s="72"/>
    </row>
    <row r="501" spans="4:4" x14ac:dyDescent="0.3">
      <c r="D501" s="72"/>
    </row>
    <row r="502" spans="4:4" x14ac:dyDescent="0.3">
      <c r="D502" s="72"/>
    </row>
    <row r="503" spans="4:4" x14ac:dyDescent="0.3">
      <c r="D503" s="72"/>
    </row>
    <row r="504" spans="4:4" x14ac:dyDescent="0.3">
      <c r="D504" s="72"/>
    </row>
    <row r="505" spans="4:4" x14ac:dyDescent="0.3">
      <c r="D505" s="72"/>
    </row>
    <row r="506" spans="4:4" x14ac:dyDescent="0.3">
      <c r="D506" s="72"/>
    </row>
    <row r="507" spans="4:4" x14ac:dyDescent="0.3">
      <c r="D507" s="72"/>
    </row>
    <row r="508" spans="4:4" x14ac:dyDescent="0.3">
      <c r="D508" s="72"/>
    </row>
    <row r="509" spans="4:4" x14ac:dyDescent="0.3">
      <c r="D509" s="72"/>
    </row>
    <row r="510" spans="4:4" x14ac:dyDescent="0.3">
      <c r="D510" s="72"/>
    </row>
    <row r="511" spans="4:4" x14ac:dyDescent="0.3">
      <c r="D511" s="72"/>
    </row>
    <row r="512" spans="4:4" x14ac:dyDescent="0.3">
      <c r="D512" s="72"/>
    </row>
    <row r="513" spans="4:4" x14ac:dyDescent="0.3">
      <c r="D513" s="72"/>
    </row>
    <row r="514" spans="4:4" x14ac:dyDescent="0.3">
      <c r="D514" s="72"/>
    </row>
    <row r="515" spans="4:4" x14ac:dyDescent="0.3">
      <c r="D515" s="72"/>
    </row>
    <row r="516" spans="4:4" x14ac:dyDescent="0.3">
      <c r="D516" s="72"/>
    </row>
    <row r="517" spans="4:4" x14ac:dyDescent="0.3">
      <c r="D517" s="72"/>
    </row>
    <row r="518" spans="4:4" x14ac:dyDescent="0.3">
      <c r="D518" s="72"/>
    </row>
    <row r="519" spans="4:4" x14ac:dyDescent="0.3">
      <c r="D519" s="72"/>
    </row>
    <row r="520" spans="4:4" x14ac:dyDescent="0.3">
      <c r="D520" s="72"/>
    </row>
    <row r="521" spans="4:4" x14ac:dyDescent="0.3">
      <c r="D521" s="72"/>
    </row>
    <row r="522" spans="4:4" x14ac:dyDescent="0.3">
      <c r="D522" s="72"/>
    </row>
    <row r="523" spans="4:4" x14ac:dyDescent="0.3">
      <c r="D523" s="72"/>
    </row>
    <row r="524" spans="4:4" x14ac:dyDescent="0.3">
      <c r="D524" s="72"/>
    </row>
    <row r="525" spans="4:4" x14ac:dyDescent="0.3">
      <c r="D525" s="72"/>
    </row>
    <row r="526" spans="4:4" x14ac:dyDescent="0.3">
      <c r="D526" s="72"/>
    </row>
    <row r="527" spans="4:4" x14ac:dyDescent="0.3">
      <c r="D527" s="72"/>
    </row>
    <row r="528" spans="4:4" x14ac:dyDescent="0.3">
      <c r="D528" s="72"/>
    </row>
    <row r="529" spans="4:4" x14ac:dyDescent="0.3">
      <c r="D529" s="72"/>
    </row>
    <row r="530" spans="4:4" x14ac:dyDescent="0.3">
      <c r="D530" s="72"/>
    </row>
    <row r="531" spans="4:4" x14ac:dyDescent="0.3">
      <c r="D531" s="72"/>
    </row>
    <row r="532" spans="4:4" x14ac:dyDescent="0.3">
      <c r="D532" s="72"/>
    </row>
    <row r="533" spans="4:4" x14ac:dyDescent="0.3">
      <c r="D533" s="72"/>
    </row>
    <row r="534" spans="4:4" x14ac:dyDescent="0.3">
      <c r="D534" s="72"/>
    </row>
    <row r="535" spans="4:4" x14ac:dyDescent="0.3">
      <c r="D535" s="72"/>
    </row>
    <row r="536" spans="4:4" x14ac:dyDescent="0.3">
      <c r="D536" s="72"/>
    </row>
    <row r="537" spans="4:4" x14ac:dyDescent="0.3">
      <c r="D537" s="72"/>
    </row>
    <row r="538" spans="4:4" x14ac:dyDescent="0.3">
      <c r="D538" s="72"/>
    </row>
    <row r="539" spans="4:4" x14ac:dyDescent="0.3">
      <c r="D539" s="72"/>
    </row>
    <row r="540" spans="4:4" x14ac:dyDescent="0.3">
      <c r="D540" s="72"/>
    </row>
    <row r="541" spans="4:4" x14ac:dyDescent="0.3">
      <c r="D541" s="72"/>
    </row>
    <row r="542" spans="4:4" x14ac:dyDescent="0.3">
      <c r="D542" s="72"/>
    </row>
    <row r="543" spans="4:4" x14ac:dyDescent="0.3">
      <c r="D543" s="72"/>
    </row>
    <row r="544" spans="4:4" x14ac:dyDescent="0.3">
      <c r="D544" s="72"/>
    </row>
    <row r="545" spans="4:4" x14ac:dyDescent="0.3">
      <c r="D545" s="72"/>
    </row>
    <row r="546" spans="4:4" x14ac:dyDescent="0.3">
      <c r="D546" s="72"/>
    </row>
    <row r="547" spans="4:4" x14ac:dyDescent="0.3">
      <c r="D547" s="72"/>
    </row>
    <row r="548" spans="4:4" x14ac:dyDescent="0.3">
      <c r="D548" s="72"/>
    </row>
    <row r="549" spans="4:4" x14ac:dyDescent="0.3">
      <c r="D549" s="72"/>
    </row>
    <row r="550" spans="4:4" x14ac:dyDescent="0.3">
      <c r="D550" s="72"/>
    </row>
    <row r="551" spans="4:4" x14ac:dyDescent="0.3">
      <c r="D551" s="72"/>
    </row>
    <row r="552" spans="4:4" x14ac:dyDescent="0.3">
      <c r="D552" s="72"/>
    </row>
    <row r="553" spans="4:4" x14ac:dyDescent="0.3">
      <c r="D553" s="72"/>
    </row>
    <row r="554" spans="4:4" x14ac:dyDescent="0.3">
      <c r="D554" s="72"/>
    </row>
    <row r="555" spans="4:4" x14ac:dyDescent="0.3">
      <c r="D555" s="72"/>
    </row>
    <row r="556" spans="4:4" x14ac:dyDescent="0.3">
      <c r="D556" s="72"/>
    </row>
    <row r="557" spans="4:4" x14ac:dyDescent="0.3">
      <c r="D557" s="72"/>
    </row>
    <row r="558" spans="4:4" x14ac:dyDescent="0.3">
      <c r="D558" s="72"/>
    </row>
    <row r="559" spans="4:4" x14ac:dyDescent="0.3">
      <c r="D559" s="72"/>
    </row>
    <row r="560" spans="4:4" x14ac:dyDescent="0.3">
      <c r="D560" s="72"/>
    </row>
    <row r="561" spans="4:4" x14ac:dyDescent="0.3">
      <c r="D561" s="72"/>
    </row>
    <row r="562" spans="4:4" x14ac:dyDescent="0.3">
      <c r="D562" s="72"/>
    </row>
    <row r="563" spans="4:4" x14ac:dyDescent="0.3">
      <c r="D563" s="72"/>
    </row>
    <row r="564" spans="4:4" x14ac:dyDescent="0.3">
      <c r="D564" s="72"/>
    </row>
    <row r="565" spans="4:4" x14ac:dyDescent="0.3">
      <c r="D565" s="72"/>
    </row>
    <row r="566" spans="4:4" x14ac:dyDescent="0.3">
      <c r="D566" s="72"/>
    </row>
    <row r="567" spans="4:4" x14ac:dyDescent="0.3">
      <c r="D567" s="72"/>
    </row>
    <row r="568" spans="4:4" x14ac:dyDescent="0.3">
      <c r="D568" s="72"/>
    </row>
    <row r="569" spans="4:4" x14ac:dyDescent="0.3">
      <c r="D569" s="72"/>
    </row>
    <row r="570" spans="4:4" x14ac:dyDescent="0.3">
      <c r="D570" s="72"/>
    </row>
    <row r="571" spans="4:4" x14ac:dyDescent="0.3">
      <c r="D571" s="72"/>
    </row>
    <row r="572" spans="4:4" x14ac:dyDescent="0.3">
      <c r="D572" s="72"/>
    </row>
    <row r="573" spans="4:4" x14ac:dyDescent="0.3">
      <c r="D573" s="72"/>
    </row>
    <row r="574" spans="4:4" x14ac:dyDescent="0.3">
      <c r="D574" s="72"/>
    </row>
    <row r="575" spans="4:4" x14ac:dyDescent="0.3">
      <c r="D575" s="72"/>
    </row>
    <row r="576" spans="4:4" x14ac:dyDescent="0.3">
      <c r="D576" s="72"/>
    </row>
    <row r="577" spans="4:4" x14ac:dyDescent="0.3">
      <c r="D577" s="72"/>
    </row>
    <row r="578" spans="4:4" x14ac:dyDescent="0.3">
      <c r="D578" s="72"/>
    </row>
    <row r="579" spans="4:4" x14ac:dyDescent="0.3">
      <c r="D579" s="72"/>
    </row>
    <row r="580" spans="4:4" x14ac:dyDescent="0.3">
      <c r="D580" s="72"/>
    </row>
    <row r="581" spans="4:4" x14ac:dyDescent="0.3">
      <c r="D581" s="72"/>
    </row>
    <row r="582" spans="4:4" x14ac:dyDescent="0.3">
      <c r="D582" s="72"/>
    </row>
    <row r="583" spans="4:4" x14ac:dyDescent="0.3">
      <c r="D583" s="72"/>
    </row>
    <row r="584" spans="4:4" x14ac:dyDescent="0.3">
      <c r="D584" s="72"/>
    </row>
    <row r="585" spans="4:4" x14ac:dyDescent="0.3">
      <c r="D585" s="72"/>
    </row>
    <row r="586" spans="4:4" x14ac:dyDescent="0.3">
      <c r="D586" s="72"/>
    </row>
    <row r="587" spans="4:4" x14ac:dyDescent="0.3">
      <c r="D587" s="72"/>
    </row>
    <row r="588" spans="4:4" x14ac:dyDescent="0.3">
      <c r="D588" s="72"/>
    </row>
    <row r="589" spans="4:4" x14ac:dyDescent="0.3">
      <c r="D589" s="72"/>
    </row>
    <row r="590" spans="4:4" x14ac:dyDescent="0.3">
      <c r="D590" s="72"/>
    </row>
    <row r="591" spans="4:4" x14ac:dyDescent="0.3">
      <c r="D591" s="72"/>
    </row>
    <row r="592" spans="4:4" x14ac:dyDescent="0.3">
      <c r="D592" s="72"/>
    </row>
    <row r="593" spans="4:4" x14ac:dyDescent="0.3">
      <c r="D593" s="72"/>
    </row>
    <row r="594" spans="4:4" x14ac:dyDescent="0.3">
      <c r="D594" s="72"/>
    </row>
    <row r="595" spans="4:4" x14ac:dyDescent="0.3">
      <c r="D595" s="72"/>
    </row>
    <row r="596" spans="4:4" x14ac:dyDescent="0.3">
      <c r="D596" s="72"/>
    </row>
    <row r="597" spans="4:4" x14ac:dyDescent="0.3">
      <c r="D597" s="72"/>
    </row>
    <row r="598" spans="4:4" x14ac:dyDescent="0.3">
      <c r="D598" s="72"/>
    </row>
    <row r="599" spans="4:4" x14ac:dyDescent="0.3">
      <c r="D599" s="72"/>
    </row>
    <row r="600" spans="4:4" x14ac:dyDescent="0.3">
      <c r="D600" s="72"/>
    </row>
    <row r="601" spans="4:4" x14ac:dyDescent="0.3">
      <c r="D601" s="72"/>
    </row>
    <row r="602" spans="4:4" x14ac:dyDescent="0.3">
      <c r="D602" s="72"/>
    </row>
    <row r="603" spans="4:4" x14ac:dyDescent="0.3">
      <c r="D603" s="72"/>
    </row>
    <row r="604" spans="4:4" x14ac:dyDescent="0.3">
      <c r="D604" s="72"/>
    </row>
    <row r="605" spans="4:4" x14ac:dyDescent="0.3">
      <c r="D605" s="72"/>
    </row>
    <row r="606" spans="4:4" x14ac:dyDescent="0.3">
      <c r="D606" s="72"/>
    </row>
    <row r="607" spans="4:4" x14ac:dyDescent="0.3">
      <c r="D607" s="72"/>
    </row>
    <row r="608" spans="4:4" x14ac:dyDescent="0.3">
      <c r="D608" s="72"/>
    </row>
    <row r="609" spans="4:4" x14ac:dyDescent="0.3">
      <c r="D609" s="72"/>
    </row>
    <row r="610" spans="4:4" x14ac:dyDescent="0.3">
      <c r="D610" s="72"/>
    </row>
    <row r="611" spans="4:4" x14ac:dyDescent="0.3">
      <c r="D611" s="72"/>
    </row>
    <row r="612" spans="4:4" x14ac:dyDescent="0.3">
      <c r="D612" s="72"/>
    </row>
    <row r="613" spans="4:4" x14ac:dyDescent="0.3">
      <c r="D613" s="72"/>
    </row>
    <row r="614" spans="4:4" x14ac:dyDescent="0.3">
      <c r="D614" s="72"/>
    </row>
    <row r="615" spans="4:4" x14ac:dyDescent="0.3">
      <c r="D615" s="72"/>
    </row>
    <row r="616" spans="4:4" x14ac:dyDescent="0.3">
      <c r="D616" s="72"/>
    </row>
    <row r="617" spans="4:4" x14ac:dyDescent="0.3">
      <c r="D617" s="72"/>
    </row>
    <row r="618" spans="4:4" x14ac:dyDescent="0.3">
      <c r="D618" s="72"/>
    </row>
    <row r="619" spans="4:4" x14ac:dyDescent="0.3">
      <c r="D619" s="72"/>
    </row>
    <row r="620" spans="4:4" x14ac:dyDescent="0.3">
      <c r="D620" s="72"/>
    </row>
    <row r="621" spans="4:4" x14ac:dyDescent="0.3">
      <c r="D621" s="72"/>
    </row>
    <row r="622" spans="4:4" x14ac:dyDescent="0.3">
      <c r="D622" s="72"/>
    </row>
    <row r="623" spans="4:4" x14ac:dyDescent="0.3">
      <c r="D623" s="72"/>
    </row>
    <row r="624" spans="4:4" x14ac:dyDescent="0.3">
      <c r="D624" s="72"/>
    </row>
    <row r="625" spans="4:4" x14ac:dyDescent="0.3">
      <c r="D625" s="72"/>
    </row>
    <row r="626" spans="4:4" x14ac:dyDescent="0.3">
      <c r="D626" s="72"/>
    </row>
    <row r="627" spans="4:4" x14ac:dyDescent="0.3">
      <c r="D627" s="72"/>
    </row>
    <row r="628" spans="4:4" x14ac:dyDescent="0.3">
      <c r="D628" s="72"/>
    </row>
    <row r="629" spans="4:4" x14ac:dyDescent="0.3">
      <c r="D629" s="72"/>
    </row>
    <row r="630" spans="4:4" x14ac:dyDescent="0.3">
      <c r="D630" s="72"/>
    </row>
    <row r="631" spans="4:4" x14ac:dyDescent="0.3">
      <c r="D631" s="72"/>
    </row>
    <row r="632" spans="4:4" x14ac:dyDescent="0.3">
      <c r="D632" s="72"/>
    </row>
    <row r="633" spans="4:4" x14ac:dyDescent="0.3">
      <c r="D633" s="72"/>
    </row>
    <row r="634" spans="4:4" x14ac:dyDescent="0.3">
      <c r="D634" s="72"/>
    </row>
    <row r="635" spans="4:4" x14ac:dyDescent="0.3">
      <c r="D635" s="72"/>
    </row>
    <row r="636" spans="4:4" x14ac:dyDescent="0.3">
      <c r="D636" s="72"/>
    </row>
    <row r="637" spans="4:4" x14ac:dyDescent="0.3">
      <c r="D637" s="72"/>
    </row>
    <row r="638" spans="4:4" x14ac:dyDescent="0.3">
      <c r="D638" s="72"/>
    </row>
    <row r="639" spans="4:4" x14ac:dyDescent="0.3">
      <c r="D639" s="72"/>
    </row>
    <row r="640" spans="4:4" x14ac:dyDescent="0.3">
      <c r="D640" s="72"/>
    </row>
    <row r="641" spans="4:4" x14ac:dyDescent="0.3">
      <c r="D641" s="72"/>
    </row>
    <row r="642" spans="4:4" x14ac:dyDescent="0.3">
      <c r="D642" s="72"/>
    </row>
    <row r="643" spans="4:4" x14ac:dyDescent="0.3">
      <c r="D643" s="72"/>
    </row>
    <row r="644" spans="4:4" x14ac:dyDescent="0.3">
      <c r="D644" s="72"/>
    </row>
    <row r="645" spans="4:4" x14ac:dyDescent="0.3">
      <c r="D645" s="72"/>
    </row>
    <row r="646" spans="4:4" x14ac:dyDescent="0.3">
      <c r="D646" s="72"/>
    </row>
    <row r="647" spans="4:4" x14ac:dyDescent="0.3">
      <c r="D647" s="72"/>
    </row>
    <row r="648" spans="4:4" x14ac:dyDescent="0.3">
      <c r="D648" s="72"/>
    </row>
    <row r="649" spans="4:4" x14ac:dyDescent="0.3">
      <c r="D649" s="72"/>
    </row>
    <row r="650" spans="4:4" x14ac:dyDescent="0.3">
      <c r="D650" s="72"/>
    </row>
    <row r="651" spans="4:4" x14ac:dyDescent="0.3">
      <c r="D651" s="72"/>
    </row>
    <row r="652" spans="4:4" x14ac:dyDescent="0.3">
      <c r="D652" s="72"/>
    </row>
    <row r="653" spans="4:4" x14ac:dyDescent="0.3">
      <c r="D653" s="72"/>
    </row>
    <row r="654" spans="4:4" x14ac:dyDescent="0.3">
      <c r="D654" s="72"/>
    </row>
    <row r="655" spans="4:4" x14ac:dyDescent="0.3">
      <c r="D655" s="72"/>
    </row>
    <row r="656" spans="4:4" x14ac:dyDescent="0.3">
      <c r="D656" s="72"/>
    </row>
    <row r="657" spans="4:4" x14ac:dyDescent="0.3">
      <c r="D657" s="72"/>
    </row>
    <row r="658" spans="4:4" x14ac:dyDescent="0.3">
      <c r="D658" s="72"/>
    </row>
    <row r="659" spans="4:4" x14ac:dyDescent="0.3">
      <c r="D659" s="72"/>
    </row>
    <row r="660" spans="4:4" x14ac:dyDescent="0.3">
      <c r="D660" s="72"/>
    </row>
    <row r="661" spans="4:4" x14ac:dyDescent="0.3">
      <c r="D661" s="72"/>
    </row>
    <row r="662" spans="4:4" x14ac:dyDescent="0.3">
      <c r="D662" s="72"/>
    </row>
    <row r="663" spans="4:4" x14ac:dyDescent="0.3">
      <c r="D663" s="72"/>
    </row>
    <row r="664" spans="4:4" x14ac:dyDescent="0.3">
      <c r="D664" s="72"/>
    </row>
    <row r="665" spans="4:4" x14ac:dyDescent="0.3">
      <c r="D665" s="72"/>
    </row>
    <row r="666" spans="4:4" x14ac:dyDescent="0.3">
      <c r="D666" s="72"/>
    </row>
    <row r="667" spans="4:4" x14ac:dyDescent="0.3">
      <c r="D667" s="72"/>
    </row>
    <row r="668" spans="4:4" x14ac:dyDescent="0.3">
      <c r="D668" s="72"/>
    </row>
    <row r="669" spans="4:4" x14ac:dyDescent="0.3">
      <c r="D669" s="72"/>
    </row>
    <row r="670" spans="4:4" x14ac:dyDescent="0.3">
      <c r="D670" s="72"/>
    </row>
    <row r="671" spans="4:4" x14ac:dyDescent="0.3">
      <c r="D671" s="72"/>
    </row>
    <row r="672" spans="4:4" x14ac:dyDescent="0.3">
      <c r="D672" s="72"/>
    </row>
    <row r="673" spans="4:4" x14ac:dyDescent="0.3">
      <c r="D673" s="72"/>
    </row>
    <row r="674" spans="4:4" x14ac:dyDescent="0.3">
      <c r="D674" s="72"/>
    </row>
    <row r="675" spans="4:4" x14ac:dyDescent="0.3">
      <c r="D675" s="72"/>
    </row>
    <row r="676" spans="4:4" x14ac:dyDescent="0.3">
      <c r="D676" s="72"/>
    </row>
    <row r="677" spans="4:4" x14ac:dyDescent="0.3">
      <c r="D677" s="72"/>
    </row>
    <row r="678" spans="4:4" x14ac:dyDescent="0.3">
      <c r="D678" s="72"/>
    </row>
    <row r="679" spans="4:4" x14ac:dyDescent="0.3">
      <c r="D679" s="72"/>
    </row>
    <row r="680" spans="4:4" x14ac:dyDescent="0.3">
      <c r="D680" s="72"/>
    </row>
    <row r="681" spans="4:4" x14ac:dyDescent="0.3">
      <c r="D681" s="72"/>
    </row>
    <row r="682" spans="4:4" x14ac:dyDescent="0.3">
      <c r="D682" s="72"/>
    </row>
    <row r="683" spans="4:4" x14ac:dyDescent="0.3">
      <c r="D683" s="72"/>
    </row>
    <row r="684" spans="4:4" x14ac:dyDescent="0.3">
      <c r="D684" s="72"/>
    </row>
    <row r="685" spans="4:4" x14ac:dyDescent="0.3">
      <c r="D685" s="72"/>
    </row>
    <row r="686" spans="4:4" x14ac:dyDescent="0.3">
      <c r="D686" s="72"/>
    </row>
    <row r="687" spans="4:4" x14ac:dyDescent="0.3">
      <c r="D687" s="72"/>
    </row>
    <row r="688" spans="4:4" x14ac:dyDescent="0.3">
      <c r="D688" s="72"/>
    </row>
    <row r="689" spans="4:4" x14ac:dyDescent="0.3">
      <c r="D689" s="72"/>
    </row>
    <row r="690" spans="4:4" x14ac:dyDescent="0.3">
      <c r="D690" s="72"/>
    </row>
    <row r="691" spans="4:4" x14ac:dyDescent="0.3">
      <c r="D691" s="72"/>
    </row>
    <row r="692" spans="4:4" x14ac:dyDescent="0.3">
      <c r="D692" s="72"/>
    </row>
    <row r="693" spans="4:4" x14ac:dyDescent="0.3">
      <c r="D693" s="72"/>
    </row>
    <row r="694" spans="4:4" x14ac:dyDescent="0.3">
      <c r="D694" s="72"/>
    </row>
    <row r="695" spans="4:4" x14ac:dyDescent="0.3">
      <c r="D695" s="72"/>
    </row>
    <row r="696" spans="4:4" x14ac:dyDescent="0.3">
      <c r="D696" s="72"/>
    </row>
    <row r="697" spans="4:4" x14ac:dyDescent="0.3">
      <c r="D697" s="72"/>
    </row>
    <row r="698" spans="4:4" x14ac:dyDescent="0.3">
      <c r="D698" s="72"/>
    </row>
    <row r="699" spans="4:4" x14ac:dyDescent="0.3">
      <c r="D699" s="72"/>
    </row>
    <row r="700" spans="4:4" x14ac:dyDescent="0.3">
      <c r="D700" s="72"/>
    </row>
    <row r="701" spans="4:4" x14ac:dyDescent="0.3">
      <c r="D701" s="72"/>
    </row>
    <row r="702" spans="4:4" x14ac:dyDescent="0.3">
      <c r="D702" s="72"/>
    </row>
    <row r="703" spans="4:4" x14ac:dyDescent="0.3">
      <c r="D703" s="72"/>
    </row>
    <row r="704" spans="4:4" x14ac:dyDescent="0.3">
      <c r="D704" s="72"/>
    </row>
    <row r="705" spans="4:4" x14ac:dyDescent="0.3">
      <c r="D705" s="72"/>
    </row>
    <row r="706" spans="4:4" x14ac:dyDescent="0.3">
      <c r="D706" s="72"/>
    </row>
    <row r="707" spans="4:4" x14ac:dyDescent="0.3">
      <c r="D707" s="72"/>
    </row>
    <row r="708" spans="4:4" x14ac:dyDescent="0.3">
      <c r="D708" s="72"/>
    </row>
    <row r="709" spans="4:4" x14ac:dyDescent="0.3">
      <c r="D709" s="72"/>
    </row>
    <row r="710" spans="4:4" x14ac:dyDescent="0.3">
      <c r="D710" s="72"/>
    </row>
    <row r="711" spans="4:4" x14ac:dyDescent="0.3">
      <c r="D711" s="72"/>
    </row>
    <row r="712" spans="4:4" x14ac:dyDescent="0.3">
      <c r="D712" s="72"/>
    </row>
    <row r="713" spans="4:4" x14ac:dyDescent="0.3">
      <c r="D713" s="72"/>
    </row>
    <row r="714" spans="4:4" x14ac:dyDescent="0.3">
      <c r="D714" s="72"/>
    </row>
  </sheetData>
  <sheetProtection formatCells="0" formatColumns="0" formatRows="0"/>
  <conditionalFormatting sqref="G33 G68:G69">
    <cfRule type="cellIs" dxfId="35" priority="93" stopIfTrue="1" operator="notEqual">
      <formula>0</formula>
    </cfRule>
  </conditionalFormatting>
  <conditionalFormatting sqref="G34">
    <cfRule type="cellIs" dxfId="34" priority="92" stopIfTrue="1" operator="notEqual">
      <formula>0</formula>
    </cfRule>
  </conditionalFormatting>
  <conditionalFormatting sqref="G51">
    <cfRule type="cellIs" dxfId="33" priority="91" stopIfTrue="1" operator="notEqual">
      <formula>0</formula>
    </cfRule>
  </conditionalFormatting>
  <conditionalFormatting sqref="G67">
    <cfRule type="cellIs" dxfId="32" priority="90" stopIfTrue="1" operator="notEqual">
      <formula>0</formula>
    </cfRule>
  </conditionalFormatting>
  <conditionalFormatting sqref="G89">
    <cfRule type="cellIs" dxfId="31" priority="88" stopIfTrue="1" operator="notEqual">
      <formula>0</formula>
    </cfRule>
  </conditionalFormatting>
  <conditionalFormatting sqref="G107">
    <cfRule type="cellIs" dxfId="30" priority="87" stopIfTrue="1" operator="notEqual">
      <formula>0</formula>
    </cfRule>
  </conditionalFormatting>
  <conditionalFormatting sqref="G120">
    <cfRule type="cellIs" dxfId="29" priority="86" stopIfTrue="1" operator="notEqual">
      <formula>0</formula>
    </cfRule>
  </conditionalFormatting>
  <conditionalFormatting sqref="G121">
    <cfRule type="cellIs" dxfId="28" priority="85" stopIfTrue="1" operator="notEqual">
      <formula>0</formula>
    </cfRule>
  </conditionalFormatting>
  <conditionalFormatting sqref="G136">
    <cfRule type="cellIs" dxfId="27" priority="84" stopIfTrue="1" operator="notEqual">
      <formula>0</formula>
    </cfRule>
  </conditionalFormatting>
  <conditionalFormatting sqref="G137">
    <cfRule type="cellIs" dxfId="26" priority="83" stopIfTrue="1" operator="notEqual">
      <formula>0</formula>
    </cfRule>
  </conditionalFormatting>
  <conditionalFormatting sqref="H203:H205">
    <cfRule type="cellIs" priority="79" stopIfTrue="1" operator="equal">
      <formula>";;;"</formula>
    </cfRule>
  </conditionalFormatting>
  <conditionalFormatting sqref="H203">
    <cfRule type="cellIs" dxfId="25" priority="78" stopIfTrue="1" operator="equal">
      <formula>0</formula>
    </cfRule>
  </conditionalFormatting>
  <conditionalFormatting sqref="H204">
    <cfRule type="cellIs" dxfId="24" priority="77" stopIfTrue="1" operator="equal">
      <formula>0</formula>
    </cfRule>
  </conditionalFormatting>
  <conditionalFormatting sqref="H205">
    <cfRule type="cellIs" dxfId="23" priority="76" stopIfTrue="1" operator="equal">
      <formula>0</formula>
    </cfRule>
  </conditionalFormatting>
  <conditionalFormatting sqref="H205">
    <cfRule type="cellIs" dxfId="22" priority="75" stopIfTrue="1" operator="equal">
      <formula>0</formula>
    </cfRule>
  </conditionalFormatting>
  <conditionalFormatting sqref="H203">
    <cfRule type="cellIs" dxfId="21" priority="74" stopIfTrue="1" operator="equal">
      <formula>0</formula>
    </cfRule>
  </conditionalFormatting>
  <conditionalFormatting sqref="G21">
    <cfRule type="cellIs" dxfId="20" priority="73" stopIfTrue="1" operator="notEqual">
      <formula>0</formula>
    </cfRule>
  </conditionalFormatting>
  <conditionalFormatting sqref="G7">
    <cfRule type="containsText" dxfId="19" priority="71" stopIfTrue="1" operator="containsText" text="Included in error count">
      <formula>NOT(ISERROR(SEARCH("Included in error count",G7)))</formula>
    </cfRule>
    <cfRule type="cellIs" dxfId="18" priority="72" stopIfTrue="1" operator="equal">
      <formula>1</formula>
    </cfRule>
  </conditionalFormatting>
  <conditionalFormatting sqref="G41">
    <cfRule type="containsText" dxfId="17" priority="69" stopIfTrue="1" operator="containsText" text="Included in error count">
      <formula>NOT(ISERROR(SEARCH("Included in error count",G41)))</formula>
    </cfRule>
    <cfRule type="cellIs" dxfId="16" priority="70" stopIfTrue="1" operator="equal">
      <formula>1</formula>
    </cfRule>
  </conditionalFormatting>
  <conditionalFormatting sqref="G76:G77">
    <cfRule type="containsText" dxfId="15" priority="67" stopIfTrue="1" operator="containsText" text="Included in error count">
      <formula>NOT(ISERROR(SEARCH("Included in error count",G76)))</formula>
    </cfRule>
    <cfRule type="cellIs" dxfId="14" priority="68" stopIfTrue="1" operator="equal">
      <formula>1</formula>
    </cfRule>
  </conditionalFormatting>
  <conditionalFormatting sqref="G78">
    <cfRule type="containsText" dxfId="13" priority="65" stopIfTrue="1" operator="containsText" text="Included in error count">
      <formula>NOT(ISERROR(SEARCH("Included in error count",G78)))</formula>
    </cfRule>
    <cfRule type="cellIs" dxfId="12" priority="66" stopIfTrue="1" operator="equal">
      <formula>1</formula>
    </cfRule>
  </conditionalFormatting>
  <conditionalFormatting sqref="G87">
    <cfRule type="containsText" dxfId="11" priority="61" stopIfTrue="1" operator="containsText" text="Included in error count">
      <formula>NOT(ISERROR(SEARCH("Included in error count",G87)))</formula>
    </cfRule>
    <cfRule type="cellIs" dxfId="10" priority="62" stopIfTrue="1" operator="equal">
      <formula>1</formula>
    </cfRule>
  </conditionalFormatting>
  <conditionalFormatting sqref="G109">
    <cfRule type="containsText" dxfId="9" priority="57" stopIfTrue="1" operator="containsText" text="Included in error count">
      <formula>NOT(ISERROR(SEARCH("Included in error count",G109)))</formula>
    </cfRule>
    <cfRule type="cellIs" dxfId="8" priority="58" stopIfTrue="1" operator="equal">
      <formula>1</formula>
    </cfRule>
  </conditionalFormatting>
  <conditionalFormatting sqref="G203">
    <cfRule type="containsText" dxfId="7" priority="46" stopIfTrue="1" operator="containsText" text="Included in error count">
      <formula>NOT(ISERROR(SEARCH("Included in error count",G203)))</formula>
    </cfRule>
    <cfRule type="cellIs" dxfId="6" priority="47" stopIfTrue="1" operator="equal">
      <formula>1</formula>
    </cfRule>
  </conditionalFormatting>
  <conditionalFormatting sqref="G204">
    <cfRule type="containsText" dxfId="5" priority="44" stopIfTrue="1" operator="containsText" text="Included in error count">
      <formula>NOT(ISERROR(SEARCH("Included in error count",G204)))</formula>
    </cfRule>
    <cfRule type="cellIs" dxfId="4" priority="45" stopIfTrue="1" operator="equal">
      <formula>1</formula>
    </cfRule>
  </conditionalFormatting>
  <conditionalFormatting sqref="G205">
    <cfRule type="containsText" dxfId="3" priority="42" stopIfTrue="1" operator="containsText" text="Included in error count">
      <formula>NOT(ISERROR(SEARCH("Included in error count",G205)))</formula>
    </cfRule>
    <cfRule type="cellIs" dxfId="2" priority="43" stopIfTrue="1" operator="equal">
      <formula>1</formula>
    </cfRule>
  </conditionalFormatting>
  <conditionalFormatting sqref="G125">
    <cfRule type="containsText" dxfId="1" priority="40" stopIfTrue="1" operator="containsText" text="Included in error count">
      <formula>NOT(ISERROR(SEARCH("Included in error count",G125)))</formula>
    </cfRule>
    <cfRule type="cellIs" dxfId="0" priority="41"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F2351-DC4A-4941-82DA-8C63291B538C}">
  <sheetPr codeName="Sheet7">
    <pageSetUpPr fitToPage="1"/>
  </sheetPr>
  <dimension ref="B1:R32"/>
  <sheetViews>
    <sheetView showGridLines="0" zoomScaleNormal="100" workbookViewId="0">
      <selection activeCell="D26" sqref="D26"/>
    </sheetView>
  </sheetViews>
  <sheetFormatPr defaultColWidth="9.109375" defaultRowHeight="14.4" x14ac:dyDescent="0.3"/>
  <cols>
    <col min="1" max="1" width="2" style="180" customWidth="1"/>
    <col min="2" max="2" width="96.33203125" style="180" customWidth="1"/>
    <col min="3" max="3" width="2" style="180" customWidth="1"/>
    <col min="4" max="4" width="17.6640625" style="180" customWidth="1"/>
    <col min="5" max="5" width="9.33203125" style="180" customWidth="1"/>
    <col min="6" max="6" width="14.109375" style="155" customWidth="1"/>
    <col min="7" max="7" width="50.44140625" style="527" customWidth="1"/>
    <col min="8" max="8" width="44.33203125" style="180" customWidth="1"/>
    <col min="9" max="9" width="9.109375" style="180"/>
    <col min="10" max="10" width="36.6640625" style="180" customWidth="1"/>
    <col min="11" max="12" width="28.88671875" style="180" customWidth="1"/>
    <col min="13" max="13" width="9.109375" style="180"/>
    <col min="14" max="14" width="16.6640625" style="180" customWidth="1"/>
    <col min="15" max="15" width="22.5546875" style="180" customWidth="1"/>
    <col min="16" max="16" width="23.44140625" style="180" customWidth="1"/>
    <col min="17" max="17" width="9.109375" style="180"/>
    <col min="18" max="18" width="26.33203125" style="180" customWidth="1"/>
    <col min="19" max="16384" width="9.109375" style="180"/>
  </cols>
  <sheetData>
    <row r="1" spans="2:8" ht="42.6" customHeight="1" x14ac:dyDescent="0.35">
      <c r="B1" s="709" t="s">
        <v>1598</v>
      </c>
      <c r="C1" s="709"/>
      <c r="D1" s="709"/>
    </row>
    <row r="2" spans="2:8" ht="27" customHeight="1" x14ac:dyDescent="0.3">
      <c r="B2" s="1158"/>
      <c r="C2" s="1158"/>
      <c r="D2" s="1158"/>
    </row>
    <row r="3" spans="2:8" ht="26.4" customHeight="1" x14ac:dyDescent="0.35">
      <c r="B3" s="698" t="str">
        <f>'Unit Data from Audit Worksheet'!D2</f>
        <v>Select Unit Name from Drop Down List</v>
      </c>
      <c r="C3" s="568"/>
      <c r="D3" s="699">
        <v>2023</v>
      </c>
      <c r="F3" s="712" t="s">
        <v>1599</v>
      </c>
      <c r="G3" s="713" t="s">
        <v>41</v>
      </c>
    </row>
    <row r="4" spans="2:8" ht="18.600000000000001" customHeight="1" x14ac:dyDescent="0.3">
      <c r="B4" s="700" t="s">
        <v>71</v>
      </c>
      <c r="C4" s="265"/>
    </row>
    <row r="5" spans="2:8" ht="19.2" customHeight="1" x14ac:dyDescent="0.3">
      <c r="B5" s="607" t="s">
        <v>1577</v>
      </c>
      <c r="C5" s="607"/>
      <c r="D5" s="268"/>
    </row>
    <row r="6" spans="2:8" ht="19.95" customHeight="1" x14ac:dyDescent="0.3">
      <c r="B6" s="686" t="s">
        <v>1593</v>
      </c>
      <c r="C6" s="686"/>
      <c r="D6" s="702">
        <f>Import!L38</f>
        <v>0</v>
      </c>
      <c r="F6" s="682">
        <v>506</v>
      </c>
      <c r="G6" s="527" t="s">
        <v>189</v>
      </c>
    </row>
    <row r="7" spans="2:8" ht="19.95" customHeight="1" x14ac:dyDescent="0.3">
      <c r="B7" s="686" t="s">
        <v>1578</v>
      </c>
      <c r="C7" s="686"/>
      <c r="D7" s="703">
        <f>Import!L39</f>
        <v>0</v>
      </c>
      <c r="F7" s="682">
        <v>536</v>
      </c>
      <c r="G7" s="527" t="s">
        <v>190</v>
      </c>
    </row>
    <row r="8" spans="2:8" ht="19.95" customHeight="1" x14ac:dyDescent="0.3">
      <c r="B8" s="686" t="s">
        <v>1579</v>
      </c>
      <c r="C8" s="686"/>
      <c r="D8" s="703">
        <f>Import!L69</f>
        <v>0</v>
      </c>
      <c r="F8" s="561">
        <v>647</v>
      </c>
      <c r="G8" s="624" t="s">
        <v>808</v>
      </c>
    </row>
    <row r="9" spans="2:8" ht="19.95" customHeight="1" x14ac:dyDescent="0.3">
      <c r="B9" s="692" t="s">
        <v>1597</v>
      </c>
      <c r="C9" s="693"/>
      <c r="D9" s="703">
        <f>-Import!L48</f>
        <v>0</v>
      </c>
      <c r="F9" s="694">
        <v>11</v>
      </c>
      <c r="G9" s="695" t="s">
        <v>194</v>
      </c>
    </row>
    <row r="10" spans="2:8" ht="19.95" customHeight="1" x14ac:dyDescent="0.3">
      <c r="B10" s="608" t="s">
        <v>1496</v>
      </c>
      <c r="C10" s="608"/>
      <c r="D10" s="704"/>
    </row>
    <row r="11" spans="2:8" ht="19.95" customHeight="1" x14ac:dyDescent="0.3">
      <c r="B11" s="686" t="s">
        <v>1580</v>
      </c>
      <c r="C11" s="686"/>
      <c r="D11" s="705">
        <f>Import!L43</f>
        <v>0</v>
      </c>
      <c r="F11" s="155">
        <v>4</v>
      </c>
      <c r="G11" s="527" t="s">
        <v>1581</v>
      </c>
    </row>
    <row r="12" spans="2:8" ht="19.95" customHeight="1" x14ac:dyDescent="0.3">
      <c r="B12" s="686" t="s">
        <v>1497</v>
      </c>
      <c r="C12" s="686"/>
      <c r="D12" s="705">
        <f>Import!L196</f>
        <v>0</v>
      </c>
      <c r="F12" s="155">
        <v>6</v>
      </c>
      <c r="G12" s="527" t="s">
        <v>251</v>
      </c>
    </row>
    <row r="13" spans="2:8" ht="19.95" customHeight="1" x14ac:dyDescent="0.3">
      <c r="B13" s="686" t="s">
        <v>1582</v>
      </c>
      <c r="C13" s="686"/>
      <c r="D13" s="706">
        <f>Import!L44</f>
        <v>0</v>
      </c>
      <c r="F13" s="155">
        <v>5</v>
      </c>
      <c r="G13" s="527" t="s">
        <v>1583</v>
      </c>
    </row>
    <row r="14" spans="2:8" ht="24.6" customHeight="1" thickBot="1" x14ac:dyDescent="0.35">
      <c r="B14" s="687" t="s">
        <v>1595</v>
      </c>
      <c r="C14" s="686"/>
      <c r="D14" s="710">
        <f>SUM(D6:D9)-SUM(D11:D13)</f>
        <v>0</v>
      </c>
      <c r="E14" s="688"/>
      <c r="F14" s="155" t="s">
        <v>1569</v>
      </c>
      <c r="G14" s="696" t="s">
        <v>1943</v>
      </c>
      <c r="H14" s="727"/>
    </row>
    <row r="15" spans="2:8" ht="19.95" customHeight="1" thickTop="1" x14ac:dyDescent="0.3">
      <c r="B15" s="19"/>
      <c r="C15" s="19"/>
      <c r="D15" s="610"/>
    </row>
    <row r="16" spans="2:8" ht="19.95" customHeight="1" x14ac:dyDescent="0.3">
      <c r="B16" s="607"/>
      <c r="C16" s="607"/>
      <c r="D16" s="611"/>
    </row>
    <row r="17" spans="2:18" ht="19.95" customHeight="1" x14ac:dyDescent="0.3">
      <c r="B17" s="19" t="s">
        <v>1498</v>
      </c>
      <c r="C17" s="19"/>
      <c r="D17" s="268"/>
    </row>
    <row r="18" spans="2:18" ht="19.95" customHeight="1" x14ac:dyDescent="0.3">
      <c r="B18" s="686" t="s">
        <v>1584</v>
      </c>
      <c r="C18" s="686"/>
      <c r="D18" s="707">
        <f>Import!L59</f>
        <v>0</v>
      </c>
      <c r="F18" s="155">
        <v>532</v>
      </c>
      <c r="G18" s="527" t="s">
        <v>926</v>
      </c>
    </row>
    <row r="19" spans="2:18" ht="13.95" customHeight="1" x14ac:dyDescent="0.3">
      <c r="C19" s="19"/>
      <c r="D19" s="705"/>
    </row>
    <row r="20" spans="2:18" ht="16.95" customHeight="1" x14ac:dyDescent="0.3">
      <c r="B20" s="19" t="s">
        <v>1499</v>
      </c>
      <c r="C20" s="19"/>
      <c r="D20" s="705"/>
    </row>
    <row r="21" spans="2:18" ht="19.95" customHeight="1" x14ac:dyDescent="0.3">
      <c r="B21" s="686" t="s">
        <v>1585</v>
      </c>
      <c r="C21" s="686"/>
      <c r="D21" s="708">
        <f>Import!L62</f>
        <v>0</v>
      </c>
      <c r="F21" s="155">
        <v>20</v>
      </c>
      <c r="G21" s="527" t="s">
        <v>1586</v>
      </c>
    </row>
    <row r="22" spans="2:18" ht="33.6" customHeight="1" x14ac:dyDescent="0.3">
      <c r="B22" s="686" t="s">
        <v>1587</v>
      </c>
      <c r="C22" s="686"/>
      <c r="D22" s="705">
        <f>Import!L65</f>
        <v>0</v>
      </c>
      <c r="F22" s="155">
        <v>509</v>
      </c>
      <c r="G22" s="527" t="s">
        <v>290</v>
      </c>
    </row>
    <row r="23" spans="2:18" ht="28.95" customHeight="1" x14ac:dyDescent="0.3">
      <c r="B23" s="686" t="s">
        <v>1588</v>
      </c>
      <c r="C23" s="686"/>
      <c r="D23" s="708">
        <f>Import!L63</f>
        <v>0</v>
      </c>
      <c r="F23" s="155">
        <v>533</v>
      </c>
      <c r="G23" s="527" t="s">
        <v>927</v>
      </c>
    </row>
    <row r="24" spans="2:18" ht="38.4" customHeight="1" x14ac:dyDescent="0.3">
      <c r="B24" s="686" t="s">
        <v>1589</v>
      </c>
      <c r="C24" s="686"/>
      <c r="D24" s="708">
        <f>Import!L64</f>
        <v>0</v>
      </c>
      <c r="F24" s="155">
        <v>508</v>
      </c>
      <c r="G24" s="527" t="s">
        <v>292</v>
      </c>
    </row>
    <row r="25" spans="2:18" ht="39" customHeight="1" x14ac:dyDescent="0.3">
      <c r="B25" s="692" t="s">
        <v>1594</v>
      </c>
      <c r="C25" s="686"/>
      <c r="D25" s="726">
        <f>Import!L60</f>
        <v>0</v>
      </c>
      <c r="F25" s="694">
        <v>1050</v>
      </c>
      <c r="G25" s="701" t="s">
        <v>1512</v>
      </c>
    </row>
    <row r="26" spans="2:18" ht="25.95" customHeight="1" thickBot="1" x14ac:dyDescent="0.35">
      <c r="B26" s="687" t="s">
        <v>1590</v>
      </c>
      <c r="C26" s="689"/>
      <c r="D26" s="711">
        <f>D18+D21+D22-D23-D24-D25</f>
        <v>0</v>
      </c>
      <c r="F26" s="155" t="s">
        <v>1569</v>
      </c>
      <c r="G26" s="696" t="s">
        <v>1596</v>
      </c>
    </row>
    <row r="27" spans="2:18" ht="19.95" customHeight="1" thickTop="1" x14ac:dyDescent="0.3">
      <c r="B27" s="268"/>
      <c r="C27" s="268"/>
      <c r="D27" s="268"/>
    </row>
    <row r="28" spans="2:18" s="528" customFormat="1" ht="40.950000000000003" customHeight="1" thickBot="1" x14ac:dyDescent="0.35">
      <c r="B28" s="687" t="s">
        <v>1591</v>
      </c>
      <c r="C28" s="689"/>
      <c r="D28" s="612" t="e">
        <f>D14/D26</f>
        <v>#DIV/0!</v>
      </c>
      <c r="F28" s="155" t="s">
        <v>1569</v>
      </c>
      <c r="G28" s="697" t="s">
        <v>1592</v>
      </c>
      <c r="I28" s="180"/>
      <c r="J28" s="180"/>
      <c r="K28" s="180"/>
      <c r="L28" s="180"/>
      <c r="M28" s="180"/>
      <c r="N28" s="180"/>
      <c r="O28" s="180"/>
      <c r="P28" s="180"/>
      <c r="Q28" s="180"/>
      <c r="R28" s="180"/>
    </row>
    <row r="29" spans="2:18" s="528" customFormat="1" ht="15" thickTop="1" x14ac:dyDescent="0.3">
      <c r="B29" s="608"/>
      <c r="C29" s="608"/>
      <c r="D29" s="690"/>
      <c r="F29" s="155"/>
      <c r="G29" s="697"/>
      <c r="I29" s="180"/>
      <c r="J29" s="180"/>
      <c r="K29" s="180"/>
      <c r="L29" s="180"/>
      <c r="M29" s="180"/>
      <c r="N29" s="180"/>
      <c r="O29" s="180"/>
      <c r="P29" s="180"/>
      <c r="Q29" s="180"/>
      <c r="R29" s="180"/>
    </row>
    <row r="30" spans="2:18" s="528" customFormat="1" x14ac:dyDescent="0.3">
      <c r="B30" s="608"/>
      <c r="C30" s="608"/>
      <c r="D30" s="690"/>
      <c r="F30" s="155"/>
      <c r="G30" s="697"/>
      <c r="I30" s="180"/>
      <c r="J30" s="180"/>
      <c r="K30" s="180"/>
      <c r="L30" s="180"/>
      <c r="M30" s="180"/>
      <c r="N30" s="180"/>
      <c r="O30" s="180"/>
      <c r="P30" s="180"/>
      <c r="Q30" s="180"/>
      <c r="R30" s="180"/>
    </row>
    <row r="31" spans="2:18" s="528" customFormat="1" x14ac:dyDescent="0.3">
      <c r="B31" s="691"/>
      <c r="C31" s="691"/>
      <c r="D31" s="690"/>
      <c r="F31" s="155"/>
      <c r="G31" s="697"/>
      <c r="I31" s="180"/>
      <c r="J31" s="180"/>
      <c r="K31" s="180"/>
      <c r="L31" s="180"/>
      <c r="M31" s="180"/>
      <c r="N31" s="180"/>
      <c r="O31" s="180"/>
      <c r="P31" s="180"/>
      <c r="Q31" s="180"/>
      <c r="R31" s="180"/>
    </row>
    <row r="32" spans="2:18" x14ac:dyDescent="0.3">
      <c r="B32" s="584"/>
      <c r="C32" s="584"/>
      <c r="D32" s="609"/>
    </row>
  </sheetData>
  <sheetProtection algorithmName="SHA-512" hashValue="BtYvTbfBbXUT14Ur4BBbkrCUkb5mk+maFsPT4ERtBS/GIO/xnV5+kHPJn4RauQ5LkkP6FWxznntU8+/qOYumyw==" saltValue="U9mujrAd9PaQ2XaRwB7RfA==" spinCount="100000" sheet="1" formatCells="0" formatColumns="0" formatRows="0"/>
  <mergeCells count="1">
    <mergeCell ref="B2:D2"/>
  </mergeCells>
  <pageMargins left="0.7" right="0.7" top="0.75" bottom="0.75" header="0.3" footer="0.3"/>
  <pageSetup scale="3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C0C6-2C11-4A6E-9750-DEA167FE6AF6}">
  <sheetPr codeName="Sheet14">
    <pageSetUpPr fitToPage="1"/>
  </sheetPr>
  <dimension ref="A2:K43"/>
  <sheetViews>
    <sheetView workbookViewId="0">
      <selection activeCell="C7" sqref="C7"/>
    </sheetView>
  </sheetViews>
  <sheetFormatPr defaultColWidth="9.109375" defaultRowHeight="14.4" x14ac:dyDescent="0.3"/>
  <cols>
    <col min="1" max="1" width="4.6640625" style="180" customWidth="1"/>
    <col min="2" max="2" width="77.33203125" style="180" customWidth="1"/>
    <col min="3" max="3" width="20.33203125" style="180" customWidth="1"/>
    <col min="4" max="4" width="3.6640625" style="180" customWidth="1"/>
    <col min="5" max="5" width="20.33203125" style="180" customWidth="1"/>
    <col min="6" max="6" width="6.33203125" style="180" customWidth="1"/>
    <col min="7" max="7" width="17.33203125" style="180" customWidth="1"/>
    <col min="8" max="8" width="34.6640625" style="180" customWidth="1"/>
    <col min="9" max="9" width="17.109375" style="155" customWidth="1"/>
    <col min="10" max="10" width="21.109375" style="180" customWidth="1"/>
    <col min="11" max="11" width="18.33203125" style="180" customWidth="1"/>
    <col min="12" max="12" width="19.88671875" style="180" customWidth="1"/>
    <col min="13" max="13" width="17.6640625" style="180" customWidth="1"/>
    <col min="14" max="16384" width="9.109375" style="180"/>
  </cols>
  <sheetData>
    <row r="2" spans="1:11" ht="14.4" customHeight="1" x14ac:dyDescent="0.3">
      <c r="B2" s="1159" t="s">
        <v>104</v>
      </c>
      <c r="C2" s="1159"/>
      <c r="D2" s="1159"/>
      <c r="E2" s="1159"/>
      <c r="F2" s="606"/>
      <c r="G2" s="261"/>
    </row>
    <row r="4" spans="1:11" ht="15.6" x14ac:dyDescent="0.3">
      <c r="A4" s="261"/>
      <c r="B4" s="262" t="str">
        <f>'Unit Data from Audit Worksheet'!D2</f>
        <v>Select Unit Name from Drop Down List</v>
      </c>
      <c r="C4" s="684">
        <f>'Unit Data from Audit Worksheet'!F5</f>
        <v>2023</v>
      </c>
      <c r="E4" s="674">
        <f>'Unit Data from Audit Worksheet'!F5</f>
        <v>2023</v>
      </c>
    </row>
    <row r="5" spans="1:11" ht="27.6" x14ac:dyDescent="0.4">
      <c r="A5" s="264"/>
      <c r="B5" s="265" t="s">
        <v>71</v>
      </c>
      <c r="C5" s="263" t="s">
        <v>72</v>
      </c>
      <c r="D5" s="264"/>
      <c r="E5" s="266" t="s">
        <v>73</v>
      </c>
      <c r="G5" s="155"/>
      <c r="I5" s="180"/>
    </row>
    <row r="6" spans="1:11" x14ac:dyDescent="0.3">
      <c r="A6" s="261"/>
      <c r="B6" s="267" t="s">
        <v>74</v>
      </c>
      <c r="C6" s="268"/>
      <c r="D6" s="268"/>
      <c r="E6" s="268"/>
      <c r="G6" s="155"/>
      <c r="I6" s="180"/>
    </row>
    <row r="7" spans="1:11" x14ac:dyDescent="0.3">
      <c r="A7" s="261"/>
      <c r="B7" s="675" t="s">
        <v>1566</v>
      </c>
      <c r="C7" s="702">
        <f>Import!L38</f>
        <v>0</v>
      </c>
      <c r="D7" s="269"/>
      <c r="E7" s="702">
        <f>C7</f>
        <v>0</v>
      </c>
      <c r="G7" s="676">
        <v>506</v>
      </c>
      <c r="H7" s="677" t="s">
        <v>189</v>
      </c>
      <c r="I7" s="180"/>
    </row>
    <row r="8" spans="1:11" x14ac:dyDescent="0.3">
      <c r="A8" s="261"/>
      <c r="B8" s="675" t="s">
        <v>1567</v>
      </c>
      <c r="C8" s="704">
        <f>Import!L39</f>
        <v>0</v>
      </c>
      <c r="D8" s="270"/>
      <c r="E8" s="270"/>
      <c r="G8" s="676">
        <v>536</v>
      </c>
      <c r="H8" s="677" t="s">
        <v>190</v>
      </c>
      <c r="I8" s="180"/>
    </row>
    <row r="9" spans="1:11" x14ac:dyDescent="0.3">
      <c r="A9" s="261"/>
      <c r="B9" s="675" t="s">
        <v>173</v>
      </c>
      <c r="C9" s="741">
        <f>Import!L43</f>
        <v>0</v>
      </c>
      <c r="D9" s="270"/>
      <c r="E9" s="741">
        <f>C9</f>
        <v>0</v>
      </c>
      <c r="G9" s="676">
        <v>4</v>
      </c>
      <c r="H9" s="677" t="s">
        <v>111</v>
      </c>
      <c r="I9" s="180"/>
    </row>
    <row r="10" spans="1:11" x14ac:dyDescent="0.3">
      <c r="A10" s="261"/>
      <c r="B10" s="675" t="s">
        <v>75</v>
      </c>
      <c r="C10" s="705">
        <f>Import!L196</f>
        <v>0</v>
      </c>
      <c r="D10" s="270"/>
      <c r="E10" s="741">
        <f>C10</f>
        <v>0</v>
      </c>
      <c r="G10" s="676">
        <v>6</v>
      </c>
      <c r="H10" s="677" t="s">
        <v>251</v>
      </c>
      <c r="I10" s="180"/>
    </row>
    <row r="11" spans="1:11" x14ac:dyDescent="0.3">
      <c r="A11" s="261"/>
      <c r="B11" s="675" t="s">
        <v>76</v>
      </c>
      <c r="C11" s="706">
        <f>Import!L44</f>
        <v>0</v>
      </c>
      <c r="D11" s="271"/>
      <c r="E11" s="741">
        <f>C11</f>
        <v>0</v>
      </c>
      <c r="G11" s="676">
        <v>5</v>
      </c>
      <c r="H11" s="677" t="s">
        <v>112</v>
      </c>
      <c r="I11" s="180"/>
    </row>
    <row r="12" spans="1:11" x14ac:dyDescent="0.3">
      <c r="A12" s="19"/>
      <c r="B12" s="675" t="s">
        <v>77</v>
      </c>
      <c r="C12" s="742">
        <f>C7+C8-SUM(C9:C11)</f>
        <v>0</v>
      </c>
      <c r="E12" s="742">
        <f>E7-SUM(E9:E11)</f>
        <v>0</v>
      </c>
      <c r="G12" s="676" t="s">
        <v>1576</v>
      </c>
      <c r="H12" s="678" t="s">
        <v>1614</v>
      </c>
      <c r="I12" s="677" t="s">
        <v>1617</v>
      </c>
      <c r="J12" s="678" t="s">
        <v>1618</v>
      </c>
      <c r="K12" s="679"/>
    </row>
    <row r="13" spans="1:11" x14ac:dyDescent="0.3">
      <c r="A13" s="261"/>
      <c r="B13" s="261"/>
      <c r="C13" s="268"/>
      <c r="D13" s="268"/>
      <c r="E13" s="268"/>
      <c r="G13" s="676"/>
      <c r="H13" s="677"/>
      <c r="I13" s="180"/>
    </row>
    <row r="14" spans="1:11" x14ac:dyDescent="0.3">
      <c r="A14" s="261"/>
      <c r="B14" s="675" t="s">
        <v>1568</v>
      </c>
      <c r="C14" s="743">
        <f>Import!L51</f>
        <v>0</v>
      </c>
      <c r="D14" s="268"/>
      <c r="E14" s="268"/>
      <c r="G14" s="676">
        <v>9</v>
      </c>
      <c r="H14" s="677" t="s">
        <v>195</v>
      </c>
      <c r="I14" s="180"/>
    </row>
    <row r="15" spans="1:11" x14ac:dyDescent="0.3">
      <c r="A15" s="261"/>
      <c r="B15" s="675" t="s">
        <v>78</v>
      </c>
      <c r="C15" s="744">
        <f>C14-C12</f>
        <v>0</v>
      </c>
      <c r="D15" s="268"/>
      <c r="E15" s="268"/>
      <c r="G15" s="676" t="s">
        <v>1576</v>
      </c>
      <c r="H15" s="678" t="s">
        <v>1615</v>
      </c>
      <c r="I15" s="680"/>
    </row>
    <row r="16" spans="1:11" x14ac:dyDescent="0.3">
      <c r="A16" s="261"/>
      <c r="B16" s="272" t="s">
        <v>79</v>
      </c>
      <c r="C16" s="268"/>
      <c r="D16" s="268"/>
      <c r="E16" s="268"/>
      <c r="G16" s="676"/>
      <c r="H16" s="677"/>
      <c r="I16" s="180"/>
    </row>
    <row r="17" spans="1:9" x14ac:dyDescent="0.3">
      <c r="A17" s="273" t="s">
        <v>80</v>
      </c>
      <c r="B17" s="675" t="s">
        <v>1570</v>
      </c>
      <c r="C17" s="744">
        <f>Import!L47</f>
        <v>0</v>
      </c>
      <c r="D17" s="268"/>
      <c r="E17" s="268"/>
      <c r="G17" s="676">
        <v>7</v>
      </c>
      <c r="H17" s="677" t="s">
        <v>193</v>
      </c>
      <c r="I17" s="180"/>
    </row>
    <row r="18" spans="1:9" ht="15" thickBot="1" x14ac:dyDescent="0.35">
      <c r="B18" s="675" t="s">
        <v>81</v>
      </c>
      <c r="C18" s="745">
        <f>(C15-SUM(C17:C17))</f>
        <v>0</v>
      </c>
      <c r="D18" s="268"/>
      <c r="E18" s="268"/>
      <c r="G18" s="676" t="s">
        <v>1576</v>
      </c>
      <c r="H18" s="678" t="s">
        <v>1616</v>
      </c>
      <c r="I18" s="180"/>
    </row>
    <row r="19" spans="1:9" ht="15" thickTop="1" x14ac:dyDescent="0.3">
      <c r="B19" s="261"/>
      <c r="C19" s="268"/>
      <c r="D19" s="268"/>
      <c r="E19" s="268"/>
      <c r="G19" s="676"/>
      <c r="H19" s="677"/>
      <c r="I19" s="180"/>
    </row>
    <row r="20" spans="1:9" ht="15" thickBot="1" x14ac:dyDescent="0.35">
      <c r="B20" s="675" t="s">
        <v>1571</v>
      </c>
      <c r="C20" s="746">
        <f>Import!L46</f>
        <v>0</v>
      </c>
      <c r="D20" s="268"/>
      <c r="E20" s="268"/>
      <c r="G20" s="676">
        <v>391</v>
      </c>
      <c r="H20" s="677" t="s">
        <v>192</v>
      </c>
      <c r="I20" s="180"/>
    </row>
    <row r="21" spans="1:9" ht="15.6" thickTop="1" thickBot="1" x14ac:dyDescent="0.35">
      <c r="B21" s="274" t="str">
        <f>IF(C18&gt;C20, "Restricted-Stabilization by State Statute understated by ",IF(C20&gt;C18, "Restricted-Stabilization by State Statute overstated by ","Restricted-Stabilization by State Statutue Reportedly Correctly. "))</f>
        <v xml:space="preserve">Restricted-Stabilization by State Statutue Reportedly Correctly. </v>
      </c>
      <c r="C21" s="747">
        <f>ABS(C18-C20)</f>
        <v>0</v>
      </c>
      <c r="D21" s="268"/>
      <c r="E21" s="268"/>
      <c r="G21" s="155"/>
      <c r="I21" s="180"/>
    </row>
    <row r="22" spans="1:9" ht="15" thickTop="1" x14ac:dyDescent="0.3">
      <c r="B22" s="681" t="str">
        <f>IF(C18&gt;C20,"Since Restricted-Stabilization by State Statute was understated, verfiy that the unit did not appropriate fund balance in excess of legal amount available in row 12 above.","")</f>
        <v/>
      </c>
      <c r="C22" s="681"/>
      <c r="D22" s="681"/>
      <c r="E22" s="681"/>
      <c r="F22" s="268"/>
      <c r="G22" s="268"/>
    </row>
    <row r="23" spans="1:9" x14ac:dyDescent="0.3">
      <c r="B23" s="272" t="s">
        <v>82</v>
      </c>
      <c r="C23" s="268"/>
      <c r="D23" s="268"/>
      <c r="E23" s="275" t="s">
        <v>83</v>
      </c>
      <c r="G23" s="155"/>
      <c r="I23" s="180"/>
    </row>
    <row r="24" spans="1:9" x14ac:dyDescent="0.3">
      <c r="B24" s="272"/>
      <c r="C24" s="263" t="s">
        <v>84</v>
      </c>
      <c r="D24" s="268"/>
      <c r="E24" s="263" t="s">
        <v>91</v>
      </c>
      <c r="G24" s="155"/>
      <c r="I24" s="180"/>
    </row>
    <row r="25" spans="1:9" x14ac:dyDescent="0.3">
      <c r="B25" s="267" t="s">
        <v>85</v>
      </c>
      <c r="C25" s="268"/>
      <c r="D25" s="268"/>
      <c r="E25" s="268"/>
      <c r="G25" s="155"/>
      <c r="I25" s="180"/>
    </row>
    <row r="26" spans="1:9" x14ac:dyDescent="0.3">
      <c r="B26" s="675" t="s">
        <v>86</v>
      </c>
      <c r="C26" s="702">
        <f>Import!L59</f>
        <v>0</v>
      </c>
      <c r="D26" s="269"/>
      <c r="E26" s="702">
        <f>C26</f>
        <v>0</v>
      </c>
      <c r="G26" s="682">
        <v>532</v>
      </c>
      <c r="H26" s="685" t="s">
        <v>199</v>
      </c>
      <c r="I26" s="180"/>
    </row>
    <row r="27" spans="1:9" x14ac:dyDescent="0.3">
      <c r="B27" s="267" t="s">
        <v>87</v>
      </c>
      <c r="C27" s="268"/>
      <c r="D27" s="268"/>
      <c r="E27" s="268"/>
      <c r="G27" s="155"/>
      <c r="H27" s="677"/>
      <c r="I27" s="180"/>
    </row>
    <row r="28" spans="1:9" x14ac:dyDescent="0.3">
      <c r="B28" s="675" t="s">
        <v>88</v>
      </c>
      <c r="C28" s="704">
        <f>Import!L62</f>
        <v>0</v>
      </c>
      <c r="D28" s="270"/>
      <c r="E28" s="704">
        <f>C28</f>
        <v>0</v>
      </c>
      <c r="G28" s="682">
        <v>20</v>
      </c>
      <c r="H28" s="677" t="s">
        <v>201</v>
      </c>
      <c r="I28" s="180"/>
    </row>
    <row r="29" spans="1:9" ht="41.4" x14ac:dyDescent="0.3">
      <c r="B29" s="675" t="s">
        <v>1572</v>
      </c>
      <c r="C29" s="704">
        <f>Import!L65</f>
        <v>0</v>
      </c>
      <c r="D29" s="270"/>
      <c r="E29" s="704">
        <f>C29</f>
        <v>0</v>
      </c>
      <c r="G29" s="953">
        <v>509</v>
      </c>
      <c r="H29" s="954" t="s">
        <v>290</v>
      </c>
      <c r="I29" s="180"/>
    </row>
    <row r="30" spans="1:9" ht="21" customHeight="1" x14ac:dyDescent="0.3">
      <c r="B30" s="675" t="s">
        <v>89</v>
      </c>
      <c r="C30" s="704">
        <f>Import!L63</f>
        <v>0</v>
      </c>
      <c r="D30" s="270"/>
      <c r="E30" s="704">
        <f>C30</f>
        <v>0</v>
      </c>
      <c r="G30" s="953">
        <v>533</v>
      </c>
      <c r="H30" s="954" t="s">
        <v>927</v>
      </c>
      <c r="I30" s="180"/>
    </row>
    <row r="31" spans="1:9" ht="41.4" x14ac:dyDescent="0.3">
      <c r="B31" s="675" t="s">
        <v>1573</v>
      </c>
      <c r="C31" s="704">
        <f>Import!L64</f>
        <v>0</v>
      </c>
      <c r="D31" s="270"/>
      <c r="E31" s="704">
        <f>C31</f>
        <v>0</v>
      </c>
      <c r="G31" s="953">
        <v>508</v>
      </c>
      <c r="H31" s="954" t="s">
        <v>292</v>
      </c>
      <c r="I31" s="180"/>
    </row>
    <row r="32" spans="1:9" ht="16.95" customHeight="1" thickBot="1" x14ac:dyDescent="0.35">
      <c r="B32" s="683" t="s">
        <v>1574</v>
      </c>
      <c r="C32" s="748">
        <f>C26+C28+C29-C30-C31</f>
        <v>0</v>
      </c>
      <c r="D32" s="269"/>
      <c r="E32" s="748">
        <f>E26+E28+E29-E30-E31</f>
        <v>0</v>
      </c>
      <c r="G32" s="676" t="s">
        <v>1576</v>
      </c>
      <c r="H32" s="679" t="s">
        <v>1575</v>
      </c>
      <c r="I32" s="180"/>
    </row>
    <row r="33" spans="1:9" ht="15" thickTop="1" x14ac:dyDescent="0.3">
      <c r="B33" s="268"/>
      <c r="C33" s="268"/>
      <c r="D33" s="268"/>
      <c r="E33" s="268"/>
      <c r="G33" s="155"/>
      <c r="I33" s="180"/>
    </row>
    <row r="34" spans="1:9" ht="15" thickBot="1" x14ac:dyDescent="0.35">
      <c r="B34" s="683" t="s">
        <v>90</v>
      </c>
      <c r="C34" s="276" t="e">
        <f>C12/C32</f>
        <v>#DIV/0!</v>
      </c>
      <c r="D34" s="268"/>
      <c r="E34" s="276" t="e">
        <f>E12/E32</f>
        <v>#DIV/0!</v>
      </c>
      <c r="G34" s="155"/>
      <c r="I34" s="180"/>
    </row>
    <row r="35" spans="1:9" ht="15" thickTop="1" x14ac:dyDescent="0.3">
      <c r="C35" s="268"/>
      <c r="D35" s="268"/>
      <c r="E35" s="268"/>
      <c r="G35" s="155"/>
      <c r="I35" s="180"/>
    </row>
    <row r="36" spans="1:9" ht="15.6" x14ac:dyDescent="0.3">
      <c r="A36" s="20"/>
    </row>
    <row r="38" spans="1:9" x14ac:dyDescent="0.3">
      <c r="E38" s="530"/>
    </row>
    <row r="39" spans="1:9" x14ac:dyDescent="0.3">
      <c r="E39" s="122"/>
    </row>
    <row r="40" spans="1:9" x14ac:dyDescent="0.3">
      <c r="E40" s="122"/>
    </row>
    <row r="41" spans="1:9" x14ac:dyDescent="0.3">
      <c r="E41" s="122"/>
    </row>
    <row r="42" spans="1:9" x14ac:dyDescent="0.3">
      <c r="E42" s="122"/>
    </row>
    <row r="43" spans="1:9" x14ac:dyDescent="0.3">
      <c r="E43" s="122"/>
    </row>
  </sheetData>
  <sheetProtection algorithmName="SHA-512" hashValue="KPtZu+eKyo8dsa47S8JiNC+k0bg1xUJK3PWYv8f+VgOWowByldeTEly8crFXx/N81NmehFy+3qR0F3f4Lm32qQ==" saltValue="ae4wCEvSusGw5GVBeEei1g==" spinCount="100000" sheet="1" objects="1" scenarios="1"/>
  <mergeCells count="1">
    <mergeCell ref="B2:E2"/>
  </mergeCells>
  <pageMargins left="0.7" right="0.7" top="0.75" bottom="0.75" header="0.3" footer="0.3"/>
  <pageSetup scale="4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D7EE2-1BD6-4867-8235-E926794B3B2E}">
  <sheetPr codeName="Sheet16"/>
  <dimension ref="A1:UW555"/>
  <sheetViews>
    <sheetView zoomScale="85" zoomScaleNormal="85" workbookViewId="0">
      <pane ySplit="3" topLeftCell="A4" activePane="bottomLeft" state="frozen"/>
      <selection pane="bottomLeft"/>
    </sheetView>
  </sheetViews>
  <sheetFormatPr defaultColWidth="9.109375" defaultRowHeight="14.4" x14ac:dyDescent="0.3"/>
  <cols>
    <col min="1" max="1" width="45.109375" style="584" customWidth="1"/>
    <col min="2" max="2" width="36.44140625" style="584" customWidth="1"/>
    <col min="3" max="3" width="12.33203125" style="584" customWidth="1"/>
    <col min="4" max="4" width="1.33203125" style="584" customWidth="1"/>
    <col min="5" max="5" width="42.44140625" style="584" customWidth="1"/>
    <col min="6" max="6" width="19.88671875" style="584" customWidth="1"/>
    <col min="7" max="7" width="21.6640625" style="584" customWidth="1"/>
    <col min="8" max="8" width="6.6640625" style="584" customWidth="1"/>
    <col min="9" max="9" width="6.33203125" style="613" customWidth="1"/>
    <col min="10" max="10" width="11.6640625" style="613" hidden="1" customWidth="1"/>
    <col min="11" max="11" width="12" style="613" hidden="1" customWidth="1"/>
    <col min="12" max="12" width="17.109375" style="613" hidden="1" customWidth="1"/>
    <col min="13" max="13" width="15.109375" style="613" hidden="1" customWidth="1"/>
    <col min="14" max="14" width="15.5546875" style="613" hidden="1" customWidth="1"/>
    <col min="15" max="15" width="37.88671875" style="622" hidden="1" customWidth="1"/>
    <col min="16" max="16" width="15.109375" style="622" hidden="1" customWidth="1"/>
    <col min="17" max="17" width="26.6640625" style="613" customWidth="1"/>
    <col min="18" max="18" width="9.109375" style="613"/>
    <col min="19" max="19" width="11.44140625" style="613" customWidth="1"/>
    <col min="20" max="47" width="9.109375" style="613"/>
    <col min="48" max="16384" width="9.109375" style="584"/>
  </cols>
  <sheetData>
    <row r="1" spans="1:569" x14ac:dyDescent="0.3">
      <c r="A1" s="582"/>
      <c r="B1" s="596" t="str">
        <f>+'Unit Data from Audit Worksheet'!D2</f>
        <v>Select Unit Name from Drop Down List</v>
      </c>
      <c r="C1" s="583"/>
      <c r="D1" s="583"/>
      <c r="E1" s="639" t="s">
        <v>1531</v>
      </c>
      <c r="H1" s="583"/>
      <c r="J1" s="613" t="s">
        <v>1503</v>
      </c>
      <c r="K1" s="613" t="s">
        <v>1504</v>
      </c>
      <c r="M1" s="618" t="s">
        <v>1506</v>
      </c>
      <c r="N1" s="618" t="s">
        <v>1506</v>
      </c>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s="180"/>
      <c r="DO1" s="180"/>
      <c r="DP1" s="180"/>
      <c r="DQ1" s="180"/>
      <c r="DR1" s="180"/>
      <c r="DS1" s="180"/>
      <c r="DT1" s="180"/>
      <c r="DU1" s="180"/>
      <c r="DV1" s="180"/>
      <c r="DW1" s="180"/>
      <c r="DX1" s="180"/>
      <c r="DY1" s="180"/>
      <c r="DZ1" s="180"/>
      <c r="EA1" s="180"/>
      <c r="EB1" s="180"/>
      <c r="EC1" s="180"/>
      <c r="ED1" s="180"/>
      <c r="EE1" s="180"/>
      <c r="EF1" s="180"/>
      <c r="EG1" s="180"/>
      <c r="EH1" s="180"/>
      <c r="EI1" s="180"/>
      <c r="EJ1" s="180"/>
      <c r="EK1" s="180"/>
      <c r="EL1" s="180"/>
      <c r="EM1" s="180"/>
      <c r="EN1" s="180"/>
      <c r="EO1" s="180"/>
      <c r="EP1" s="180"/>
      <c r="EQ1" s="180"/>
      <c r="ER1" s="180"/>
      <c r="ES1" s="180"/>
      <c r="ET1" s="180"/>
      <c r="EU1" s="180"/>
      <c r="EV1" s="180"/>
      <c r="EW1" s="180"/>
      <c r="EX1" s="180"/>
      <c r="EY1" s="180"/>
      <c r="EZ1" s="180"/>
      <c r="FA1" s="180"/>
      <c r="FB1" s="180"/>
      <c r="FC1" s="180"/>
      <c r="FD1" s="180"/>
      <c r="FE1" s="180"/>
      <c r="FF1" s="180"/>
      <c r="FG1" s="180"/>
      <c r="FH1" s="180"/>
      <c r="FI1" s="180"/>
      <c r="FJ1" s="180"/>
      <c r="FK1" s="180"/>
      <c r="FL1" s="180"/>
      <c r="FM1" s="180"/>
      <c r="FN1" s="180"/>
      <c r="FO1" s="180"/>
      <c r="FP1" s="180"/>
      <c r="FQ1" s="180"/>
      <c r="FR1" s="180"/>
      <c r="FS1" s="180"/>
      <c r="FT1" s="180"/>
      <c r="FU1" s="180"/>
      <c r="FV1" s="180"/>
      <c r="FW1" s="180"/>
      <c r="FX1" s="180"/>
      <c r="FY1" s="180"/>
      <c r="FZ1" s="180"/>
      <c r="GA1" s="180"/>
      <c r="GB1" s="180"/>
      <c r="GC1" s="180"/>
      <c r="GD1" s="180"/>
      <c r="GE1" s="180"/>
      <c r="GF1" s="180"/>
      <c r="GG1" s="180"/>
      <c r="GH1" s="180"/>
      <c r="GI1" s="180"/>
      <c r="GJ1" s="180"/>
      <c r="GK1" s="180"/>
      <c r="GL1" s="180"/>
      <c r="GM1" s="180"/>
      <c r="GN1" s="180"/>
      <c r="GO1" s="180"/>
      <c r="GP1" s="180"/>
      <c r="GQ1" s="180"/>
      <c r="GR1" s="180"/>
      <c r="GS1" s="180"/>
      <c r="GT1" s="180"/>
      <c r="GU1" s="180"/>
      <c r="GV1" s="180"/>
      <c r="GW1" s="180"/>
      <c r="GX1" s="180"/>
      <c r="GY1" s="180"/>
      <c r="GZ1" s="180"/>
      <c r="HA1" s="180"/>
      <c r="HB1" s="180"/>
      <c r="HC1" s="180"/>
      <c r="HD1" s="180"/>
      <c r="HE1" s="180"/>
      <c r="HF1" s="180"/>
      <c r="HG1" s="180"/>
      <c r="HH1" s="180"/>
      <c r="HI1" s="180"/>
      <c r="HJ1" s="180"/>
      <c r="HK1" s="180"/>
      <c r="HL1" s="180"/>
      <c r="HM1" s="180"/>
      <c r="HN1" s="180"/>
      <c r="HO1" s="180"/>
      <c r="HP1" s="180"/>
      <c r="HQ1" s="180"/>
      <c r="HR1" s="180"/>
      <c r="HS1" s="180"/>
      <c r="HT1" s="180"/>
      <c r="HU1" s="180"/>
      <c r="HV1" s="180"/>
      <c r="HW1" s="180"/>
      <c r="HX1" s="180"/>
      <c r="HY1" s="180"/>
      <c r="HZ1" s="180"/>
      <c r="IA1" s="180"/>
      <c r="IB1" s="180"/>
      <c r="IC1" s="180"/>
      <c r="ID1" s="180"/>
      <c r="IE1" s="180"/>
      <c r="IF1" s="180"/>
      <c r="IG1" s="180"/>
      <c r="IH1" s="180"/>
      <c r="II1" s="180"/>
      <c r="IJ1" s="180"/>
      <c r="IK1" s="180"/>
      <c r="IL1" s="180"/>
      <c r="IM1" s="180"/>
      <c r="IN1" s="180"/>
      <c r="IO1" s="180"/>
      <c r="IP1" s="180"/>
      <c r="IQ1" s="180"/>
      <c r="IR1" s="180"/>
      <c r="IS1" s="180"/>
      <c r="IT1" s="180"/>
      <c r="IU1" s="180"/>
      <c r="IV1" s="180"/>
      <c r="IW1" s="180"/>
      <c r="IX1" s="180"/>
      <c r="IY1" s="180"/>
      <c r="IZ1" s="180"/>
      <c r="JA1" s="180"/>
      <c r="JB1" s="180"/>
      <c r="JC1" s="180"/>
      <c r="JD1" s="180"/>
      <c r="JE1" s="180"/>
      <c r="JF1" s="180"/>
      <c r="JG1" s="180"/>
      <c r="JH1" s="180"/>
      <c r="JI1" s="180"/>
      <c r="JJ1" s="180"/>
      <c r="JK1" s="180"/>
      <c r="JL1" s="180"/>
      <c r="JM1" s="180"/>
      <c r="JN1" s="180"/>
      <c r="JO1" s="180"/>
      <c r="JP1" s="180"/>
      <c r="JQ1" s="180"/>
      <c r="JR1" s="180"/>
      <c r="JS1" s="180"/>
      <c r="JT1" s="180"/>
      <c r="JU1" s="180"/>
      <c r="JV1" s="180"/>
      <c r="JW1" s="180"/>
      <c r="JX1" s="180"/>
      <c r="JY1" s="180"/>
      <c r="JZ1" s="180"/>
      <c r="KA1" s="180"/>
      <c r="KB1" s="180"/>
      <c r="KC1" s="180"/>
      <c r="KD1" s="180"/>
      <c r="KE1" s="180"/>
      <c r="KF1" s="180"/>
      <c r="KG1" s="180"/>
      <c r="KH1" s="180"/>
      <c r="KI1" s="180"/>
      <c r="KJ1" s="180"/>
      <c r="KK1" s="180"/>
      <c r="KL1" s="180"/>
      <c r="KM1" s="180"/>
      <c r="KN1" s="180"/>
      <c r="KO1" s="180"/>
      <c r="KP1" s="180"/>
      <c r="KQ1" s="180"/>
      <c r="KR1" s="180"/>
      <c r="KS1" s="180"/>
      <c r="KT1" s="180"/>
      <c r="KU1" s="180"/>
      <c r="KV1" s="180"/>
      <c r="KW1" s="180"/>
      <c r="KX1" s="180"/>
      <c r="KY1" s="180"/>
      <c r="KZ1" s="180"/>
      <c r="LA1" s="180"/>
      <c r="LB1" s="180"/>
      <c r="LC1" s="180"/>
      <c r="LD1" s="180"/>
      <c r="LE1" s="180"/>
      <c r="LF1" s="180"/>
      <c r="LG1" s="180"/>
      <c r="LH1" s="180"/>
      <c r="LI1" s="180"/>
      <c r="LJ1" s="180"/>
      <c r="LK1" s="180"/>
      <c r="LL1" s="180"/>
      <c r="LM1" s="180"/>
      <c r="LN1" s="180"/>
      <c r="LO1" s="180"/>
      <c r="LP1" s="180"/>
      <c r="LQ1" s="180"/>
      <c r="LR1" s="180"/>
      <c r="LS1" s="180"/>
      <c r="LT1" s="180"/>
      <c r="LU1" s="180"/>
      <c r="LV1" s="180"/>
      <c r="LW1" s="180"/>
      <c r="LX1" s="180"/>
      <c r="LY1" s="180"/>
      <c r="LZ1" s="180"/>
      <c r="MA1" s="180"/>
      <c r="MB1" s="180"/>
      <c r="MC1" s="180"/>
      <c r="MD1" s="180"/>
      <c r="ME1" s="180"/>
      <c r="MF1" s="180"/>
      <c r="MG1" s="180"/>
      <c r="MH1" s="180"/>
      <c r="MI1" s="180"/>
      <c r="MJ1" s="180"/>
      <c r="MK1" s="180"/>
      <c r="ML1" s="180"/>
      <c r="MM1" s="180"/>
      <c r="MN1" s="180"/>
      <c r="MO1" s="180"/>
      <c r="MP1" s="180"/>
      <c r="MQ1" s="180"/>
      <c r="MR1" s="180"/>
      <c r="MS1" s="180"/>
      <c r="MT1" s="180"/>
      <c r="MU1" s="180"/>
      <c r="MV1" s="180"/>
      <c r="MW1" s="180"/>
      <c r="MX1" s="180"/>
      <c r="MY1" s="180"/>
      <c r="MZ1" s="180"/>
      <c r="NA1" s="180"/>
      <c r="NB1" s="180"/>
      <c r="NC1" s="180"/>
      <c r="ND1" s="180"/>
      <c r="NE1" s="180"/>
      <c r="NF1" s="180"/>
      <c r="NG1" s="180"/>
      <c r="NH1" s="180"/>
      <c r="NI1" s="180"/>
      <c r="NJ1" s="180"/>
      <c r="NK1" s="180"/>
      <c r="NL1" s="180"/>
      <c r="NM1" s="180"/>
      <c r="NN1" s="180"/>
      <c r="NO1" s="180"/>
      <c r="NP1" s="180"/>
      <c r="NQ1" s="180"/>
      <c r="NR1" s="180"/>
      <c r="NS1" s="180"/>
      <c r="NT1" s="180"/>
      <c r="NU1" s="180"/>
      <c r="NV1" s="180"/>
      <c r="NW1" s="180"/>
      <c r="NX1" s="180"/>
      <c r="NY1" s="180"/>
      <c r="NZ1" s="180"/>
      <c r="OA1" s="180"/>
      <c r="OB1" s="180"/>
      <c r="OC1" s="180"/>
      <c r="OD1" s="180"/>
      <c r="OE1" s="180"/>
      <c r="OF1" s="180"/>
      <c r="OG1" s="180"/>
      <c r="OH1" s="180"/>
      <c r="OI1" s="180"/>
      <c r="OJ1" s="180"/>
      <c r="OK1" s="180"/>
      <c r="OL1" s="180"/>
      <c r="OM1" s="180"/>
      <c r="ON1" s="180"/>
      <c r="OO1" s="180"/>
      <c r="OP1" s="180"/>
      <c r="OQ1" s="180"/>
      <c r="OR1" s="180"/>
      <c r="OS1" s="180"/>
      <c r="OT1" s="180"/>
      <c r="OU1" s="180"/>
      <c r="OV1" s="180"/>
      <c r="OW1" s="180"/>
      <c r="OX1" s="180"/>
      <c r="OY1" s="180"/>
      <c r="OZ1" s="180"/>
      <c r="PA1" s="180"/>
      <c r="PB1" s="180"/>
      <c r="PC1" s="180"/>
      <c r="PD1" s="180"/>
      <c r="PE1" s="180"/>
      <c r="PF1" s="180"/>
      <c r="PG1" s="180"/>
      <c r="PH1" s="180"/>
      <c r="PI1" s="180"/>
      <c r="PJ1" s="180"/>
      <c r="PK1" s="180"/>
      <c r="PL1" s="180"/>
      <c r="PM1" s="180"/>
      <c r="PN1" s="180"/>
      <c r="PO1" s="180"/>
      <c r="PP1" s="180"/>
      <c r="PQ1" s="180"/>
      <c r="PR1" s="180"/>
      <c r="PS1" s="180"/>
      <c r="PT1" s="180"/>
      <c r="PU1" s="180"/>
      <c r="PV1" s="180"/>
      <c r="PW1" s="180"/>
      <c r="PX1" s="180"/>
      <c r="PY1" s="180"/>
      <c r="PZ1" s="180"/>
      <c r="QA1" s="180"/>
      <c r="QB1" s="180"/>
      <c r="QC1" s="180"/>
      <c r="QD1" s="180"/>
      <c r="QE1" s="180"/>
      <c r="QF1" s="180"/>
      <c r="QG1" s="180"/>
      <c r="QH1" s="180"/>
      <c r="QI1" s="180"/>
      <c r="QJ1" s="180"/>
      <c r="QK1" s="180"/>
      <c r="QL1" s="180"/>
      <c r="QM1" s="180"/>
      <c r="QN1" s="180"/>
      <c r="QO1" s="180"/>
      <c r="QP1" s="180"/>
      <c r="QQ1" s="180"/>
      <c r="QR1" s="180"/>
      <c r="QS1" s="180"/>
      <c r="QT1" s="180"/>
      <c r="QU1" s="180"/>
      <c r="QV1" s="180"/>
      <c r="QW1" s="180"/>
      <c r="QX1" s="180"/>
      <c r="QY1" s="180"/>
      <c r="QZ1" s="180"/>
      <c r="RA1" s="180"/>
      <c r="RB1" s="180"/>
      <c r="RC1" s="180"/>
      <c r="RD1" s="180"/>
      <c r="RE1" s="180"/>
      <c r="RF1" s="180"/>
      <c r="RG1" s="180"/>
      <c r="RH1" s="180"/>
      <c r="RI1" s="180"/>
      <c r="RJ1" s="180"/>
      <c r="RK1" s="180"/>
      <c r="RL1" s="180"/>
      <c r="RM1" s="180"/>
      <c r="RN1" s="180"/>
      <c r="RO1" s="180"/>
      <c r="RP1" s="180"/>
      <c r="RQ1" s="180"/>
      <c r="RR1" s="180"/>
      <c r="RS1" s="180"/>
      <c r="RT1" s="180"/>
      <c r="RU1" s="180"/>
      <c r="RV1" s="180"/>
      <c r="RW1" s="180"/>
      <c r="RX1" s="180"/>
      <c r="RY1" s="180"/>
      <c r="RZ1" s="180"/>
      <c r="SA1" s="180"/>
      <c r="SB1" s="180"/>
      <c r="SC1" s="180"/>
      <c r="SD1" s="180"/>
      <c r="SE1" s="180"/>
      <c r="SF1" s="180"/>
      <c r="SG1" s="180"/>
      <c r="SH1" s="180"/>
      <c r="SI1" s="180"/>
      <c r="SJ1" s="180"/>
      <c r="SK1" s="180"/>
      <c r="SL1" s="180"/>
      <c r="SM1" s="180"/>
      <c r="SN1" s="180"/>
      <c r="SO1" s="180"/>
      <c r="SP1" s="180"/>
      <c r="SQ1" s="180"/>
      <c r="SR1" s="180"/>
      <c r="SS1" s="180"/>
      <c r="ST1" s="180"/>
      <c r="SU1" s="180"/>
      <c r="SV1" s="180"/>
      <c r="SW1" s="180"/>
      <c r="SX1" s="180"/>
      <c r="SY1" s="180"/>
      <c r="SZ1" s="180"/>
      <c r="TA1" s="180"/>
      <c r="TB1" s="180"/>
      <c r="TC1" s="180"/>
      <c r="TD1" s="180"/>
      <c r="TE1" s="180"/>
      <c r="TF1" s="180"/>
      <c r="TG1" s="180"/>
      <c r="TH1" s="180"/>
      <c r="TI1" s="180"/>
      <c r="TJ1" s="180"/>
      <c r="TK1" s="180"/>
      <c r="TL1" s="180"/>
      <c r="TM1" s="180"/>
      <c r="TN1" s="180"/>
      <c r="TO1" s="180"/>
      <c r="TP1" s="180"/>
      <c r="TQ1" s="180"/>
      <c r="TR1" s="180"/>
      <c r="TS1" s="180"/>
      <c r="TT1" s="180"/>
      <c r="TU1" s="180"/>
      <c r="TV1" s="180"/>
      <c r="TW1" s="180"/>
      <c r="TX1" s="180"/>
      <c r="TY1" s="180"/>
      <c r="TZ1" s="180"/>
      <c r="UA1" s="180"/>
      <c r="UB1" s="180"/>
      <c r="UC1" s="180"/>
      <c r="UD1" s="180"/>
      <c r="UE1" s="180"/>
      <c r="UF1" s="180"/>
      <c r="UG1" s="180"/>
      <c r="UH1" s="180"/>
      <c r="UI1" s="180"/>
      <c r="UJ1" s="180"/>
      <c r="UK1" s="180"/>
      <c r="UL1" s="180"/>
      <c r="UM1" s="180"/>
      <c r="UN1" s="180"/>
      <c r="UO1" s="180"/>
      <c r="UP1" s="180"/>
      <c r="UQ1" s="180"/>
      <c r="UR1" s="180"/>
      <c r="US1" s="180"/>
      <c r="UT1" s="180"/>
      <c r="UU1" s="180"/>
      <c r="UV1" s="180"/>
      <c r="UW1" s="180"/>
    </row>
    <row r="2" spans="1:569" x14ac:dyDescent="0.3">
      <c r="A2" s="582" t="s">
        <v>1525</v>
      </c>
      <c r="B2" s="582" t="e">
        <f>+'Unit Data from Audit Worksheet'!D3</f>
        <v>#N/A</v>
      </c>
      <c r="C2" s="583"/>
      <c r="D2" s="583"/>
      <c r="E2" s="640" t="s">
        <v>1530</v>
      </c>
      <c r="H2" s="583"/>
      <c r="M2" s="619" t="s">
        <v>1507</v>
      </c>
      <c r="N2" s="619" t="s">
        <v>1511</v>
      </c>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c r="DY2" s="180"/>
      <c r="DZ2" s="180"/>
      <c r="EA2" s="180"/>
      <c r="EB2" s="180"/>
      <c r="EC2" s="180"/>
      <c r="ED2" s="180"/>
      <c r="EE2" s="180"/>
      <c r="EF2" s="180"/>
      <c r="EG2" s="180"/>
      <c r="EH2" s="180"/>
      <c r="EI2" s="180"/>
      <c r="EJ2" s="180"/>
      <c r="EK2" s="180"/>
      <c r="EL2" s="180"/>
      <c r="EM2" s="180"/>
      <c r="EN2" s="180"/>
      <c r="EO2" s="180"/>
      <c r="EP2" s="180"/>
      <c r="EQ2" s="180"/>
      <c r="ER2" s="180"/>
      <c r="ES2" s="180"/>
      <c r="ET2" s="180"/>
      <c r="EU2" s="180"/>
      <c r="EV2" s="180"/>
      <c r="EW2" s="180"/>
      <c r="EX2" s="180"/>
      <c r="EY2" s="180"/>
      <c r="EZ2" s="180"/>
      <c r="FA2" s="180"/>
      <c r="FB2" s="180"/>
      <c r="FC2" s="180"/>
      <c r="FD2" s="180"/>
      <c r="FE2" s="180"/>
      <c r="FF2" s="180"/>
      <c r="FG2" s="180"/>
      <c r="FH2" s="180"/>
      <c r="FI2" s="180"/>
      <c r="FJ2" s="180"/>
      <c r="FK2" s="180"/>
      <c r="FL2" s="180"/>
      <c r="FM2" s="180"/>
      <c r="FN2" s="180"/>
      <c r="FO2" s="180"/>
      <c r="FP2" s="180"/>
      <c r="FQ2" s="180"/>
      <c r="FR2" s="180"/>
      <c r="FS2" s="180"/>
      <c r="FT2" s="180"/>
      <c r="FU2" s="180"/>
      <c r="FV2" s="180"/>
      <c r="FW2" s="180"/>
      <c r="FX2" s="180"/>
      <c r="FY2" s="180"/>
      <c r="FZ2" s="180"/>
      <c r="GA2" s="180"/>
      <c r="GB2" s="180"/>
      <c r="GC2" s="180"/>
      <c r="GD2" s="180"/>
      <c r="GE2" s="180"/>
      <c r="GF2" s="180"/>
      <c r="GG2" s="180"/>
      <c r="GH2" s="180"/>
      <c r="GI2" s="180"/>
      <c r="GJ2" s="180"/>
      <c r="GK2" s="180"/>
      <c r="GL2" s="180"/>
      <c r="GM2" s="180"/>
      <c r="GN2" s="180"/>
      <c r="GO2" s="180"/>
      <c r="GP2" s="180"/>
      <c r="GQ2" s="180"/>
      <c r="GR2" s="180"/>
      <c r="GS2" s="180"/>
      <c r="GT2" s="180"/>
      <c r="GU2" s="180"/>
      <c r="GV2" s="180"/>
      <c r="GW2" s="180"/>
      <c r="GX2" s="180"/>
      <c r="GY2" s="180"/>
      <c r="GZ2" s="180"/>
      <c r="HA2" s="180"/>
      <c r="HB2" s="180"/>
      <c r="HC2" s="180"/>
      <c r="HD2" s="180"/>
      <c r="HE2" s="180"/>
      <c r="HF2" s="180"/>
      <c r="HG2" s="180"/>
      <c r="HH2" s="180"/>
      <c r="HI2" s="180"/>
      <c r="HJ2" s="180"/>
      <c r="HK2" s="180"/>
      <c r="HL2" s="180"/>
      <c r="HM2" s="180"/>
      <c r="HN2" s="180"/>
      <c r="HO2" s="180"/>
      <c r="HP2" s="180"/>
      <c r="HQ2" s="180"/>
      <c r="HR2" s="180"/>
      <c r="HS2" s="180"/>
      <c r="HT2" s="180"/>
      <c r="HU2" s="180"/>
      <c r="HV2" s="180"/>
      <c r="HW2" s="180"/>
      <c r="HX2" s="180"/>
      <c r="HY2" s="180"/>
      <c r="HZ2" s="180"/>
      <c r="IA2" s="180"/>
      <c r="IB2" s="180"/>
      <c r="IC2" s="180"/>
      <c r="ID2" s="180"/>
      <c r="IE2" s="180"/>
      <c r="IF2" s="180"/>
      <c r="IG2" s="180"/>
      <c r="IH2" s="180"/>
      <c r="II2" s="180"/>
      <c r="IJ2" s="180"/>
      <c r="IK2" s="180"/>
      <c r="IL2" s="180"/>
      <c r="IM2" s="180"/>
      <c r="IN2" s="180"/>
      <c r="IO2" s="180"/>
      <c r="IP2" s="180"/>
      <c r="IQ2" s="180"/>
      <c r="IR2" s="180"/>
      <c r="IS2" s="180"/>
      <c r="IT2" s="180"/>
      <c r="IU2" s="180"/>
      <c r="IV2" s="180"/>
      <c r="IW2" s="180"/>
      <c r="IX2" s="180"/>
      <c r="IY2" s="180"/>
      <c r="IZ2" s="180"/>
      <c r="JA2" s="180"/>
      <c r="JB2" s="180"/>
      <c r="JC2" s="180"/>
      <c r="JD2" s="180"/>
      <c r="JE2" s="180"/>
      <c r="JF2" s="180"/>
      <c r="JG2" s="180"/>
      <c r="JH2" s="180"/>
      <c r="JI2" s="180"/>
      <c r="JJ2" s="180"/>
      <c r="JK2" s="180"/>
      <c r="JL2" s="180"/>
      <c r="JM2" s="180"/>
      <c r="JN2" s="180"/>
      <c r="JO2" s="180"/>
      <c r="JP2" s="180"/>
      <c r="JQ2" s="180"/>
      <c r="JR2" s="180"/>
      <c r="JS2" s="180"/>
      <c r="JT2" s="180"/>
      <c r="JU2" s="180"/>
      <c r="JV2" s="180"/>
      <c r="JW2" s="180"/>
      <c r="JX2" s="180"/>
      <c r="JY2" s="180"/>
      <c r="JZ2" s="180"/>
      <c r="KA2" s="180"/>
      <c r="KB2" s="180"/>
      <c r="KC2" s="180"/>
      <c r="KD2" s="180"/>
      <c r="KE2" s="180"/>
      <c r="KF2" s="180"/>
      <c r="KG2" s="180"/>
      <c r="KH2" s="180"/>
      <c r="KI2" s="180"/>
      <c r="KJ2" s="180"/>
      <c r="KK2" s="180"/>
      <c r="KL2" s="180"/>
      <c r="KM2" s="180"/>
      <c r="KN2" s="180"/>
      <c r="KO2" s="180"/>
      <c r="KP2" s="180"/>
      <c r="KQ2" s="180"/>
      <c r="KR2" s="180"/>
      <c r="KS2" s="180"/>
      <c r="KT2" s="180"/>
      <c r="KU2" s="180"/>
      <c r="KV2" s="180"/>
      <c r="KW2" s="180"/>
      <c r="KX2" s="180"/>
      <c r="KY2" s="180"/>
      <c r="KZ2" s="180"/>
      <c r="LA2" s="180"/>
      <c r="LB2" s="180"/>
      <c r="LC2" s="180"/>
      <c r="LD2" s="180"/>
      <c r="LE2" s="180"/>
      <c r="LF2" s="180"/>
      <c r="LG2" s="180"/>
      <c r="LH2" s="180"/>
      <c r="LI2" s="180"/>
      <c r="LJ2" s="180"/>
      <c r="LK2" s="180"/>
      <c r="LL2" s="180"/>
      <c r="LM2" s="180"/>
      <c r="LN2" s="180"/>
      <c r="LO2" s="180"/>
      <c r="LP2" s="180"/>
      <c r="LQ2" s="180"/>
      <c r="LR2" s="180"/>
      <c r="LS2" s="180"/>
      <c r="LT2" s="180"/>
      <c r="LU2" s="180"/>
      <c r="LV2" s="180"/>
      <c r="LW2" s="180"/>
      <c r="LX2" s="180"/>
      <c r="LY2" s="180"/>
      <c r="LZ2" s="180"/>
      <c r="MA2" s="180"/>
      <c r="MB2" s="180"/>
      <c r="MC2" s="180"/>
      <c r="MD2" s="180"/>
      <c r="ME2" s="180"/>
      <c r="MF2" s="180"/>
      <c r="MG2" s="180"/>
      <c r="MH2" s="180"/>
      <c r="MI2" s="180"/>
      <c r="MJ2" s="180"/>
      <c r="MK2" s="180"/>
      <c r="ML2" s="180"/>
      <c r="MM2" s="180"/>
      <c r="MN2" s="180"/>
      <c r="MO2" s="180"/>
      <c r="MP2" s="180"/>
      <c r="MQ2" s="180"/>
      <c r="MR2" s="180"/>
      <c r="MS2" s="180"/>
      <c r="MT2" s="180"/>
      <c r="MU2" s="180"/>
      <c r="MV2" s="180"/>
      <c r="MW2" s="180"/>
      <c r="MX2" s="180"/>
      <c r="MY2" s="180"/>
      <c r="MZ2" s="180"/>
      <c r="NA2" s="180"/>
      <c r="NB2" s="180"/>
      <c r="NC2" s="180"/>
      <c r="ND2" s="180"/>
      <c r="NE2" s="180"/>
      <c r="NF2" s="180"/>
      <c r="NG2" s="180"/>
      <c r="NH2" s="180"/>
      <c r="NI2" s="180"/>
      <c r="NJ2" s="180"/>
      <c r="NK2" s="180"/>
      <c r="NL2" s="180"/>
      <c r="NM2" s="180"/>
      <c r="NN2" s="180"/>
      <c r="NO2" s="180"/>
      <c r="NP2" s="180"/>
      <c r="NQ2" s="180"/>
      <c r="NR2" s="180"/>
      <c r="NS2" s="180"/>
      <c r="NT2" s="180"/>
      <c r="NU2" s="180"/>
      <c r="NV2" s="180"/>
      <c r="NW2" s="180"/>
      <c r="NX2" s="180"/>
      <c r="NY2" s="180"/>
      <c r="NZ2" s="180"/>
      <c r="OA2" s="180"/>
      <c r="OB2" s="180"/>
      <c r="OC2" s="180"/>
      <c r="OD2" s="180"/>
      <c r="OE2" s="180"/>
      <c r="OF2" s="180"/>
      <c r="OG2" s="180"/>
      <c r="OH2" s="180"/>
      <c r="OI2" s="180"/>
      <c r="OJ2" s="180"/>
      <c r="OK2" s="180"/>
      <c r="OL2" s="180"/>
      <c r="OM2" s="180"/>
      <c r="ON2" s="180"/>
      <c r="OO2" s="180"/>
      <c r="OP2" s="180"/>
      <c r="OQ2" s="180"/>
      <c r="OR2" s="180"/>
      <c r="OS2" s="180"/>
      <c r="OT2" s="180"/>
      <c r="OU2" s="180"/>
      <c r="OV2" s="180"/>
      <c r="OW2" s="180"/>
      <c r="OX2" s="180"/>
      <c r="OY2" s="180"/>
      <c r="OZ2" s="180"/>
      <c r="PA2" s="180"/>
      <c r="PB2" s="180"/>
      <c r="PC2" s="180"/>
      <c r="PD2" s="180"/>
      <c r="PE2" s="180"/>
      <c r="PF2" s="180"/>
      <c r="PG2" s="180"/>
      <c r="PH2" s="180"/>
      <c r="PI2" s="180"/>
      <c r="PJ2" s="180"/>
      <c r="PK2" s="180"/>
      <c r="PL2" s="180"/>
      <c r="PM2" s="180"/>
      <c r="PN2" s="180"/>
      <c r="PO2" s="180"/>
      <c r="PP2" s="180"/>
      <c r="PQ2" s="180"/>
      <c r="PR2" s="180"/>
      <c r="PS2" s="180"/>
      <c r="PT2" s="180"/>
      <c r="PU2" s="180"/>
      <c r="PV2" s="180"/>
      <c r="PW2" s="180"/>
      <c r="PX2" s="180"/>
      <c r="PY2" s="180"/>
      <c r="PZ2" s="180"/>
      <c r="QA2" s="180"/>
      <c r="QB2" s="180"/>
      <c r="QC2" s="180"/>
      <c r="QD2" s="180"/>
      <c r="QE2" s="180"/>
      <c r="QF2" s="180"/>
      <c r="QG2" s="180"/>
      <c r="QH2" s="180"/>
      <c r="QI2" s="180"/>
      <c r="QJ2" s="180"/>
      <c r="QK2" s="180"/>
      <c r="QL2" s="180"/>
      <c r="QM2" s="180"/>
      <c r="QN2" s="180"/>
      <c r="QO2" s="180"/>
      <c r="QP2" s="180"/>
      <c r="QQ2" s="180"/>
      <c r="QR2" s="180"/>
      <c r="QS2" s="180"/>
      <c r="QT2" s="180"/>
      <c r="QU2" s="180"/>
      <c r="QV2" s="180"/>
      <c r="QW2" s="180"/>
      <c r="QX2" s="180"/>
      <c r="QY2" s="180"/>
      <c r="QZ2" s="180"/>
      <c r="RA2" s="180"/>
      <c r="RB2" s="180"/>
      <c r="RC2" s="180"/>
      <c r="RD2" s="180"/>
      <c r="RE2" s="180"/>
      <c r="RF2" s="180"/>
      <c r="RG2" s="180"/>
      <c r="RH2" s="180"/>
      <c r="RI2" s="180"/>
      <c r="RJ2" s="180"/>
      <c r="RK2" s="180"/>
      <c r="RL2" s="180"/>
      <c r="RM2" s="180"/>
      <c r="RN2" s="180"/>
      <c r="RO2" s="180"/>
      <c r="RP2" s="180"/>
      <c r="RQ2" s="180"/>
      <c r="RR2" s="180"/>
      <c r="RS2" s="180"/>
      <c r="RT2" s="180"/>
      <c r="RU2" s="180"/>
      <c r="RV2" s="180"/>
      <c r="RW2" s="180"/>
      <c r="RX2" s="180"/>
      <c r="RY2" s="180"/>
      <c r="RZ2" s="180"/>
      <c r="SA2" s="180"/>
      <c r="SB2" s="180"/>
      <c r="SC2" s="180"/>
      <c r="SD2" s="180"/>
      <c r="SE2" s="180"/>
      <c r="SF2" s="180"/>
      <c r="SG2" s="180"/>
      <c r="SH2" s="180"/>
      <c r="SI2" s="180"/>
      <c r="SJ2" s="180"/>
      <c r="SK2" s="180"/>
      <c r="SL2" s="180"/>
      <c r="SM2" s="180"/>
      <c r="SN2" s="180"/>
      <c r="SO2" s="180"/>
      <c r="SP2" s="180"/>
      <c r="SQ2" s="180"/>
      <c r="SR2" s="180"/>
      <c r="SS2" s="180"/>
      <c r="ST2" s="180"/>
      <c r="SU2" s="180"/>
      <c r="SV2" s="180"/>
      <c r="SW2" s="180"/>
      <c r="SX2" s="180"/>
      <c r="SY2" s="180"/>
      <c r="SZ2" s="180"/>
      <c r="TA2" s="180"/>
      <c r="TB2" s="180"/>
      <c r="TC2" s="180"/>
      <c r="TD2" s="180"/>
      <c r="TE2" s="180"/>
      <c r="TF2" s="180"/>
      <c r="TG2" s="180"/>
      <c r="TH2" s="180"/>
      <c r="TI2" s="180"/>
      <c r="TJ2" s="180"/>
      <c r="TK2" s="180"/>
      <c r="TL2" s="180"/>
      <c r="TM2" s="180"/>
      <c r="TN2" s="180"/>
      <c r="TO2" s="180"/>
      <c r="TP2" s="180"/>
      <c r="TQ2" s="180"/>
      <c r="TR2" s="180"/>
      <c r="TS2" s="180"/>
      <c r="TT2" s="180"/>
      <c r="TU2" s="180"/>
      <c r="TV2" s="180"/>
      <c r="TW2" s="180"/>
      <c r="TX2" s="180"/>
      <c r="TY2" s="180"/>
      <c r="TZ2" s="180"/>
      <c r="UA2" s="180"/>
      <c r="UB2" s="180"/>
      <c r="UC2" s="180"/>
      <c r="UD2" s="180"/>
      <c r="UE2" s="180"/>
      <c r="UF2" s="180"/>
      <c r="UG2" s="180"/>
      <c r="UH2" s="180"/>
      <c r="UI2" s="180"/>
      <c r="UJ2" s="180"/>
      <c r="UK2" s="180"/>
      <c r="UL2" s="180"/>
      <c r="UM2" s="180"/>
      <c r="UN2" s="180"/>
      <c r="UO2" s="180"/>
      <c r="UP2" s="180"/>
      <c r="UQ2" s="180"/>
      <c r="UR2" s="180"/>
      <c r="US2" s="180"/>
      <c r="UT2" s="180"/>
      <c r="UU2" s="180"/>
      <c r="UV2" s="180"/>
      <c r="UW2" s="180"/>
    </row>
    <row r="3" spans="1:569" x14ac:dyDescent="0.3">
      <c r="A3" s="582" t="e">
        <f>IF(LEN(VLOOKUP(B1,$L$4:$O$555,4,FALSE))=0,"",(VLOOKUP(B1,$L$4:$O$555,4,FALSE)))</f>
        <v>#N/A</v>
      </c>
      <c r="B3" s="582" t="s">
        <v>1526</v>
      </c>
      <c r="C3" s="583"/>
      <c r="D3" s="583"/>
      <c r="H3" s="583"/>
      <c r="J3" s="613" t="s">
        <v>385</v>
      </c>
      <c r="K3" s="613" t="s">
        <v>385</v>
      </c>
      <c r="M3" s="620" t="s">
        <v>1508</v>
      </c>
      <c r="N3" s="620" t="s">
        <v>1510</v>
      </c>
    </row>
    <row r="4" spans="1:569" x14ac:dyDescent="0.3">
      <c r="A4" s="1169" t="s">
        <v>565</v>
      </c>
      <c r="B4" s="1169"/>
      <c r="C4" s="1169"/>
      <c r="D4" s="583"/>
      <c r="E4" s="1170" t="s">
        <v>566</v>
      </c>
      <c r="F4" s="1170"/>
      <c r="G4" s="583"/>
      <c r="H4" s="583"/>
      <c r="L4" s="613" t="s">
        <v>476</v>
      </c>
      <c r="M4" s="613" t="s">
        <v>464</v>
      </c>
      <c r="N4" s="613" t="s">
        <v>464</v>
      </c>
      <c r="O4" s="613"/>
    </row>
    <row r="5" spans="1:569" ht="15" thickBot="1" x14ac:dyDescent="0.35">
      <c r="A5" s="585"/>
      <c r="B5" s="586"/>
      <c r="C5" s="585"/>
      <c r="D5" s="587"/>
      <c r="E5" s="585"/>
      <c r="F5" s="586"/>
      <c r="G5" s="586"/>
      <c r="H5" s="583"/>
      <c r="K5" s="622"/>
      <c r="L5" s="613" t="s">
        <v>1159</v>
      </c>
      <c r="M5" s="613" t="s">
        <v>464</v>
      </c>
      <c r="N5" s="613" t="s">
        <v>464</v>
      </c>
      <c r="O5" s="613"/>
    </row>
    <row r="6" spans="1:569" ht="15" thickBot="1" x14ac:dyDescent="0.35">
      <c r="A6" s="588" t="s">
        <v>567</v>
      </c>
      <c r="B6" s="589" t="e">
        <f>VLOOKUP(B1,$L$4:$M$555,2,FALSE)</f>
        <v>#N/A</v>
      </c>
      <c r="C6" s="589"/>
      <c r="D6" s="589"/>
      <c r="H6" s="589"/>
      <c r="L6" s="613" t="s">
        <v>1160</v>
      </c>
      <c r="M6" s="613" t="s">
        <v>464</v>
      </c>
      <c r="N6" s="613" t="s">
        <v>464</v>
      </c>
      <c r="O6" s="613"/>
    </row>
    <row r="7" spans="1:569" ht="15" thickBot="1" x14ac:dyDescent="0.35">
      <c r="A7" s="583" t="s">
        <v>665</v>
      </c>
      <c r="B7" s="254" t="e">
        <f>HLOOKUP(B1,'PY1 Data(H)'!D1:CZ282,127,FALSE)+HLOOKUP(B1,'PY1 Data(H)'!D1:CZ282,70,FALSE)</f>
        <v>#N/A</v>
      </c>
      <c r="C7" s="255"/>
      <c r="D7" s="255"/>
      <c r="E7" s="583" t="s">
        <v>571</v>
      </c>
      <c r="F7" s="642">
        <f>Import!L135</f>
        <v>0</v>
      </c>
      <c r="G7" s="589"/>
      <c r="H7" s="583"/>
      <c r="J7" s="613">
        <v>527</v>
      </c>
      <c r="K7" s="622">
        <v>366</v>
      </c>
      <c r="L7" s="616" t="s">
        <v>1161</v>
      </c>
      <c r="M7" s="616" t="s">
        <v>464</v>
      </c>
      <c r="N7" s="616">
        <v>0.05</v>
      </c>
      <c r="O7" s="613" t="s">
        <v>1527</v>
      </c>
    </row>
    <row r="8" spans="1:569" ht="15" thickBot="1" x14ac:dyDescent="0.35">
      <c r="A8" s="583" t="s">
        <v>569</v>
      </c>
      <c r="B8" s="636" t="e">
        <f>IF(B6="N/A","N/A",B6*B7)</f>
        <v>#N/A</v>
      </c>
      <c r="C8" s="256"/>
      <c r="D8" s="256"/>
      <c r="E8" s="638" t="s">
        <v>1163</v>
      </c>
      <c r="F8" s="642">
        <f>Import!L195</f>
        <v>0</v>
      </c>
      <c r="G8" s="582"/>
      <c r="H8" s="583"/>
      <c r="J8" s="621">
        <v>356</v>
      </c>
      <c r="K8" s="613">
        <v>1051</v>
      </c>
      <c r="L8" s="613" t="s">
        <v>1162</v>
      </c>
      <c r="M8" s="613" t="s">
        <v>464</v>
      </c>
      <c r="N8" s="613" t="s">
        <v>464</v>
      </c>
      <c r="O8" s="613"/>
    </row>
    <row r="9" spans="1:569" ht="15" thickBot="1" x14ac:dyDescent="0.35">
      <c r="A9" s="583"/>
      <c r="B9" s="583"/>
      <c r="C9" s="583"/>
      <c r="D9" s="583"/>
      <c r="E9" s="583"/>
      <c r="F9" s="583"/>
      <c r="G9" s="583"/>
      <c r="H9" s="583"/>
      <c r="L9" s="613" t="s">
        <v>477</v>
      </c>
      <c r="M9" s="613" t="s">
        <v>464</v>
      </c>
      <c r="N9" s="613" t="s">
        <v>464</v>
      </c>
      <c r="O9" s="613"/>
    </row>
    <row r="10" spans="1:569" ht="15" thickBot="1" x14ac:dyDescent="0.35">
      <c r="A10" s="588" t="s">
        <v>570</v>
      </c>
      <c r="B10" s="589" t="e">
        <f>VLOOKUP(B1,$L$4:$N$555,3,FALSE)</f>
        <v>#N/A</v>
      </c>
      <c r="C10" s="589"/>
      <c r="D10" s="589"/>
      <c r="E10" s="589"/>
      <c r="F10" s="589"/>
      <c r="G10" s="589"/>
      <c r="H10" s="589"/>
      <c r="L10" s="613" t="s">
        <v>1164</v>
      </c>
      <c r="M10" s="613" t="s">
        <v>464</v>
      </c>
      <c r="N10" s="613" t="s">
        <v>464</v>
      </c>
      <c r="O10" s="613"/>
    </row>
    <row r="11" spans="1:569" ht="15" thickBot="1" x14ac:dyDescent="0.35">
      <c r="A11" s="583" t="s">
        <v>666</v>
      </c>
      <c r="B11" s="590" t="e">
        <f>HLOOKUP(B1,'PY1 Data(H)'!D1:CZ282,35,FALSE)</f>
        <v>#N/A</v>
      </c>
      <c r="C11" s="591"/>
      <c r="D11" s="591"/>
      <c r="E11" s="637" t="s">
        <v>1529</v>
      </c>
      <c r="F11" s="636">
        <f>F7-F8</f>
        <v>0</v>
      </c>
      <c r="G11" s="583"/>
      <c r="H11" s="583"/>
      <c r="J11" s="613">
        <v>93</v>
      </c>
      <c r="L11" s="613" t="s">
        <v>1165</v>
      </c>
      <c r="M11" s="613" t="s">
        <v>464</v>
      </c>
      <c r="N11" s="613" t="s">
        <v>464</v>
      </c>
      <c r="O11" s="613"/>
    </row>
    <row r="12" spans="1:569" ht="15" thickBot="1" x14ac:dyDescent="0.35">
      <c r="A12" s="583" t="s">
        <v>569</v>
      </c>
      <c r="B12" s="636" t="e">
        <f>IF(B10="N/A","N/A",B10*B11)</f>
        <v>#N/A</v>
      </c>
      <c r="C12" s="256"/>
      <c r="D12" s="256"/>
      <c r="G12" s="583"/>
      <c r="H12" s="583"/>
      <c r="L12" s="615" t="s">
        <v>1166</v>
      </c>
      <c r="M12" s="615">
        <v>0.03</v>
      </c>
      <c r="N12" s="615">
        <v>0.05</v>
      </c>
      <c r="O12" s="613" t="s">
        <v>1532</v>
      </c>
      <c r="P12" s="622" t="s">
        <v>1528</v>
      </c>
    </row>
    <row r="13" spans="1:569" x14ac:dyDescent="0.3">
      <c r="A13" s="583"/>
      <c r="B13" s="592"/>
      <c r="C13" s="583"/>
      <c r="D13" s="583"/>
      <c r="E13" s="583"/>
      <c r="F13" s="583"/>
      <c r="G13" s="583"/>
      <c r="H13" s="583"/>
      <c r="L13" s="613" t="s">
        <v>1167</v>
      </c>
      <c r="M13" s="613" t="s">
        <v>464</v>
      </c>
      <c r="N13" s="613" t="s">
        <v>464</v>
      </c>
      <c r="O13" s="613"/>
    </row>
    <row r="14" spans="1:569" x14ac:dyDescent="0.3">
      <c r="A14" s="585"/>
      <c r="B14" s="586"/>
      <c r="C14" s="585"/>
      <c r="D14" s="587"/>
      <c r="E14" s="585"/>
      <c r="F14" s="586"/>
      <c r="G14" s="586"/>
      <c r="H14" s="257"/>
      <c r="L14" s="613" t="s">
        <v>1168</v>
      </c>
      <c r="M14" s="613" t="s">
        <v>464</v>
      </c>
      <c r="N14" s="613" t="s">
        <v>464</v>
      </c>
      <c r="O14" s="613"/>
    </row>
    <row r="15" spans="1:569" ht="15" thickBot="1" x14ac:dyDescent="0.35">
      <c r="A15" s="593" t="s">
        <v>572</v>
      </c>
      <c r="B15" s="583"/>
      <c r="C15" s="583"/>
      <c r="D15" s="583"/>
      <c r="E15" s="593" t="s">
        <v>572</v>
      </c>
      <c r="F15" s="582" t="s">
        <v>573</v>
      </c>
      <c r="G15" s="582" t="s">
        <v>574</v>
      </c>
      <c r="H15" s="583"/>
      <c r="L15" s="613" t="s">
        <v>1169</v>
      </c>
      <c r="M15" s="613" t="s">
        <v>464</v>
      </c>
      <c r="N15" s="613" t="s">
        <v>464</v>
      </c>
      <c r="O15" s="613"/>
    </row>
    <row r="16" spans="1:569" ht="15" thickBot="1" x14ac:dyDescent="0.35">
      <c r="A16" s="583" t="s">
        <v>568</v>
      </c>
      <c r="B16" s="254" t="e">
        <f>+B7</f>
        <v>#N/A</v>
      </c>
      <c r="C16" s="255"/>
      <c r="D16" s="255"/>
      <c r="E16" s="583" t="s">
        <v>575</v>
      </c>
      <c r="F16" s="643">
        <f>Import!L194</f>
        <v>0</v>
      </c>
      <c r="G16" s="601" t="e">
        <f>+B18</f>
        <v>#N/A</v>
      </c>
      <c r="H16" s="583"/>
      <c r="K16" s="613">
        <v>990</v>
      </c>
      <c r="L16" s="613" t="s">
        <v>1170</v>
      </c>
      <c r="M16" s="613" t="s">
        <v>464</v>
      </c>
      <c r="N16" s="613" t="s">
        <v>464</v>
      </c>
      <c r="O16" s="613"/>
    </row>
    <row r="17" spans="1:16" ht="15" thickBot="1" x14ac:dyDescent="0.35">
      <c r="A17" s="583" t="s">
        <v>576</v>
      </c>
      <c r="B17" s="673">
        <f>Import!L209</f>
        <v>0</v>
      </c>
      <c r="C17" s="583"/>
      <c r="D17" s="583"/>
      <c r="E17" s="583"/>
      <c r="F17" s="602"/>
      <c r="G17" s="602"/>
      <c r="H17" s="583"/>
      <c r="J17" s="613">
        <v>648</v>
      </c>
      <c r="L17" s="613" t="s">
        <v>1171</v>
      </c>
      <c r="M17" s="613" t="s">
        <v>464</v>
      </c>
      <c r="N17" s="613" t="s">
        <v>464</v>
      </c>
      <c r="O17" s="613"/>
    </row>
    <row r="18" spans="1:16" ht="29.4" thickBot="1" x14ac:dyDescent="0.35">
      <c r="A18" s="583" t="s">
        <v>569</v>
      </c>
      <c r="B18" s="600" t="e">
        <f>ROUND((B16/100)*B17,0)</f>
        <v>#N/A</v>
      </c>
      <c r="C18" s="258"/>
      <c r="D18" s="256"/>
      <c r="E18" s="594" t="s">
        <v>1173</v>
      </c>
      <c r="F18" s="600">
        <f>IF(F16=0,F11-F16,F11-MAX(F16,G16))</f>
        <v>0</v>
      </c>
      <c r="G18" s="602"/>
      <c r="H18" s="583"/>
      <c r="L18" s="613" t="s">
        <v>479</v>
      </c>
      <c r="M18" s="613" t="s">
        <v>464</v>
      </c>
      <c r="N18" s="613" t="s">
        <v>464</v>
      </c>
      <c r="O18" s="613"/>
    </row>
    <row r="19" spans="1:16" x14ac:dyDescent="0.3">
      <c r="A19" s="583"/>
      <c r="B19" s="583"/>
      <c r="C19" s="583"/>
      <c r="D19" s="595"/>
      <c r="E19" s="583"/>
      <c r="F19" s="529"/>
      <c r="G19" s="258"/>
      <c r="H19" s="583"/>
      <c r="L19" s="613" t="s">
        <v>1172</v>
      </c>
      <c r="M19" s="613" t="s">
        <v>464</v>
      </c>
      <c r="N19" s="613" t="s">
        <v>464</v>
      </c>
      <c r="O19" s="613"/>
    </row>
    <row r="20" spans="1:16" x14ac:dyDescent="0.3">
      <c r="A20" s="585"/>
      <c r="B20" s="586"/>
      <c r="C20" s="585"/>
      <c r="D20" s="583"/>
      <c r="E20" s="585"/>
      <c r="F20" s="586"/>
      <c r="G20" s="586"/>
      <c r="H20" s="583"/>
      <c r="L20" s="613" t="s">
        <v>1174</v>
      </c>
      <c r="M20" s="613" t="s">
        <v>464</v>
      </c>
      <c r="N20" s="613" t="s">
        <v>464</v>
      </c>
      <c r="O20" s="613"/>
    </row>
    <row r="21" spans="1:16" ht="15" thickBot="1" x14ac:dyDescent="0.35">
      <c r="A21" s="583"/>
      <c r="B21" s="583"/>
      <c r="C21" s="583"/>
      <c r="D21" s="583"/>
      <c r="E21" s="593" t="s">
        <v>577</v>
      </c>
      <c r="F21" s="593"/>
      <c r="G21" s="593"/>
      <c r="H21" s="583"/>
      <c r="L21" s="613" t="s">
        <v>816</v>
      </c>
      <c r="M21" s="613" t="s">
        <v>464</v>
      </c>
      <c r="N21" s="613" t="s">
        <v>464</v>
      </c>
      <c r="O21" s="613"/>
    </row>
    <row r="22" spans="1:16" ht="15" thickBot="1" x14ac:dyDescent="0.35">
      <c r="A22" s="583"/>
      <c r="B22" s="644"/>
      <c r="C22" s="583"/>
      <c r="D22" s="587"/>
      <c r="E22" s="583" t="s">
        <v>578</v>
      </c>
      <c r="F22" s="603" t="e">
        <f>MAX(B8,B12)</f>
        <v>#N/A</v>
      </c>
      <c r="G22" s="595"/>
      <c r="H22" s="256"/>
      <c r="L22" s="613" t="s">
        <v>1175</v>
      </c>
      <c r="M22" s="613" t="s">
        <v>464</v>
      </c>
      <c r="N22" s="613" t="s">
        <v>464</v>
      </c>
      <c r="O22" s="613"/>
    </row>
    <row r="23" spans="1:16" ht="15" thickBot="1" x14ac:dyDescent="0.35">
      <c r="A23" s="583"/>
      <c r="B23" s="644"/>
      <c r="C23" s="583"/>
      <c r="D23" s="593"/>
      <c r="E23" s="583"/>
      <c r="F23" s="657"/>
      <c r="G23" s="595"/>
      <c r="H23" s="256"/>
      <c r="L23" s="613" t="s">
        <v>1176</v>
      </c>
      <c r="M23" s="613" t="s">
        <v>464</v>
      </c>
      <c r="N23" s="613" t="s">
        <v>464</v>
      </c>
      <c r="O23" s="613"/>
    </row>
    <row r="24" spans="1:16" ht="15" thickBot="1" x14ac:dyDescent="0.35">
      <c r="B24" s="641"/>
      <c r="D24" s="595"/>
      <c r="E24" s="583" t="s">
        <v>579</v>
      </c>
      <c r="F24" s="604">
        <f>IF(F7=0,0,IF(F18&lt;=F22,"Yes", "No, unit exceeds limit by:"))</f>
        <v>0</v>
      </c>
      <c r="G24" s="583"/>
      <c r="H24" s="583"/>
      <c r="L24" s="615" t="s">
        <v>817</v>
      </c>
      <c r="M24" s="615">
        <v>0.03</v>
      </c>
      <c r="N24" s="615">
        <v>0.05</v>
      </c>
      <c r="O24" s="613" t="s">
        <v>1532</v>
      </c>
      <c r="P24" s="622" t="s">
        <v>1528</v>
      </c>
    </row>
    <row r="25" spans="1:16" ht="15" thickBot="1" x14ac:dyDescent="0.35">
      <c r="B25" s="641"/>
      <c r="C25" s="583"/>
      <c r="D25" s="595"/>
      <c r="E25" s="583"/>
      <c r="F25" s="604" t="e">
        <f>IF(F18-F22&lt;=0,0,F18-F22)</f>
        <v>#N/A</v>
      </c>
      <c r="G25" s="259"/>
      <c r="H25" s="593"/>
      <c r="L25" s="613" t="s">
        <v>480</v>
      </c>
      <c r="M25" s="613" t="s">
        <v>464</v>
      </c>
      <c r="N25" s="613" t="s">
        <v>464</v>
      </c>
      <c r="O25" s="613"/>
    </row>
    <row r="26" spans="1:16" ht="15" thickBot="1" x14ac:dyDescent="0.35">
      <c r="B26" s="641"/>
      <c r="C26" s="583"/>
      <c r="D26" s="596"/>
      <c r="E26" s="583"/>
      <c r="F26" s="602"/>
      <c r="G26" s="583"/>
      <c r="H26" s="583"/>
      <c r="L26" s="613" t="s">
        <v>818</v>
      </c>
      <c r="M26" s="613" t="s">
        <v>464</v>
      </c>
      <c r="N26" s="613" t="s">
        <v>464</v>
      </c>
      <c r="O26" s="613"/>
    </row>
    <row r="27" spans="1:16" x14ac:dyDescent="0.3">
      <c r="A27" s="583"/>
      <c r="B27" s="644"/>
      <c r="C27" s="583"/>
      <c r="D27" s="596"/>
      <c r="E27" s="597" t="s">
        <v>580</v>
      </c>
      <c r="F27" s="605">
        <f>IF(F16=0,0,F16-G16)</f>
        <v>0</v>
      </c>
      <c r="G27" s="583"/>
      <c r="H27" s="583"/>
      <c r="L27" s="613" t="s">
        <v>1177</v>
      </c>
      <c r="M27" s="613" t="s">
        <v>464</v>
      </c>
      <c r="N27" s="613" t="s">
        <v>464</v>
      </c>
      <c r="O27" s="613"/>
    </row>
    <row r="28" spans="1:16" ht="33.75" customHeight="1" thickBot="1" x14ac:dyDescent="0.35">
      <c r="A28" s="583"/>
      <c r="B28" s="644"/>
      <c r="C28" s="583"/>
      <c r="D28" s="583"/>
      <c r="E28" s="583"/>
      <c r="F28" s="260" t="str">
        <f>IF(F27=0,"","Investigate")</f>
        <v/>
      </c>
      <c r="G28" s="583"/>
      <c r="H28" s="583"/>
      <c r="L28" s="613" t="s">
        <v>1178</v>
      </c>
      <c r="M28" s="613" t="s">
        <v>464</v>
      </c>
      <c r="N28" s="613" t="s">
        <v>464</v>
      </c>
      <c r="O28" s="613"/>
    </row>
    <row r="29" spans="1:16" x14ac:dyDescent="0.3">
      <c r="A29" s="587"/>
      <c r="B29" s="583"/>
      <c r="C29" s="583"/>
      <c r="D29" s="583"/>
      <c r="E29" s="587" t="s">
        <v>581</v>
      </c>
      <c r="F29" s="583"/>
      <c r="G29" s="583"/>
      <c r="H29" s="583"/>
      <c r="L29" s="613" t="s">
        <v>1179</v>
      </c>
      <c r="M29" s="613" t="s">
        <v>464</v>
      </c>
      <c r="N29" s="613" t="s">
        <v>464</v>
      </c>
      <c r="O29" s="613"/>
    </row>
    <row r="30" spans="1:16" ht="14.4" customHeight="1" x14ac:dyDescent="0.3">
      <c r="A30" s="598"/>
      <c r="B30" s="598"/>
      <c r="C30" s="598"/>
      <c r="D30" s="583"/>
      <c r="E30" s="1171" t="s">
        <v>1564</v>
      </c>
      <c r="F30" s="1172"/>
      <c r="G30" s="1173"/>
      <c r="H30" s="583"/>
      <c r="L30" s="613" t="s">
        <v>481</v>
      </c>
      <c r="M30" s="613" t="s">
        <v>464</v>
      </c>
      <c r="N30" s="613" t="s">
        <v>464</v>
      </c>
      <c r="O30" s="613"/>
    </row>
    <row r="31" spans="1:16" x14ac:dyDescent="0.3">
      <c r="A31" s="583"/>
      <c r="B31" s="583"/>
      <c r="C31" s="598"/>
      <c r="D31" s="583"/>
      <c r="E31" s="1174"/>
      <c r="F31" s="1175"/>
      <c r="G31" s="1176"/>
      <c r="H31" s="583"/>
      <c r="L31" s="613" t="s">
        <v>1180</v>
      </c>
      <c r="M31" s="613" t="s">
        <v>464</v>
      </c>
      <c r="N31" s="613" t="s">
        <v>464</v>
      </c>
      <c r="O31" s="613"/>
    </row>
    <row r="32" spans="1:16" x14ac:dyDescent="0.3">
      <c r="A32" s="598"/>
      <c r="B32" s="598"/>
      <c r="C32" s="598"/>
      <c r="D32" s="583"/>
      <c r="E32" s="1174"/>
      <c r="F32" s="1175"/>
      <c r="G32" s="1176"/>
      <c r="L32" s="613" t="s">
        <v>1181</v>
      </c>
      <c r="M32" s="613" t="s">
        <v>464</v>
      </c>
      <c r="N32" s="613" t="s">
        <v>464</v>
      </c>
      <c r="O32" s="613"/>
    </row>
    <row r="33" spans="1:16" ht="30" customHeight="1" x14ac:dyDescent="0.3">
      <c r="A33" s="598"/>
      <c r="B33" s="598"/>
      <c r="C33" s="598"/>
      <c r="D33" s="583"/>
      <c r="E33" s="1177"/>
      <c r="F33" s="1178"/>
      <c r="G33" s="1179"/>
      <c r="L33" s="613" t="s">
        <v>1182</v>
      </c>
      <c r="M33" s="613" t="s">
        <v>464</v>
      </c>
      <c r="N33" s="613" t="s">
        <v>464</v>
      </c>
      <c r="O33" s="613"/>
    </row>
    <row r="34" spans="1:16" x14ac:dyDescent="0.3">
      <c r="A34" s="598"/>
      <c r="B34" s="598"/>
      <c r="C34" s="598"/>
      <c r="D34" s="583"/>
      <c r="E34" s="599"/>
      <c r="F34" s="599"/>
      <c r="G34" s="599"/>
      <c r="L34" s="613" t="s">
        <v>1183</v>
      </c>
      <c r="M34" s="613" t="s">
        <v>464</v>
      </c>
      <c r="N34" s="613" t="s">
        <v>464</v>
      </c>
      <c r="O34" s="613"/>
    </row>
    <row r="35" spans="1:16" x14ac:dyDescent="0.3">
      <c r="A35" s="598"/>
      <c r="B35" s="598"/>
      <c r="C35" s="598"/>
      <c r="D35" s="583"/>
      <c r="E35" s="1171" t="s">
        <v>1495</v>
      </c>
      <c r="F35" s="1172"/>
      <c r="G35" s="1173"/>
      <c r="L35" s="615" t="s">
        <v>482</v>
      </c>
      <c r="M35" s="615">
        <v>0.03</v>
      </c>
      <c r="N35" s="615">
        <v>0.05</v>
      </c>
      <c r="O35" s="613" t="s">
        <v>1532</v>
      </c>
      <c r="P35" s="622" t="s">
        <v>1528</v>
      </c>
    </row>
    <row r="36" spans="1:16" x14ac:dyDescent="0.3">
      <c r="A36" s="583"/>
      <c r="B36" s="583"/>
      <c r="C36" s="583"/>
      <c r="D36" s="583"/>
      <c r="E36" s="1174"/>
      <c r="F36" s="1180"/>
      <c r="G36" s="1176"/>
      <c r="L36" s="613" t="s">
        <v>819</v>
      </c>
      <c r="M36" s="613" t="s">
        <v>464</v>
      </c>
      <c r="N36" s="613" t="s">
        <v>464</v>
      </c>
      <c r="O36" s="613"/>
    </row>
    <row r="37" spans="1:16" x14ac:dyDescent="0.3">
      <c r="A37" s="583"/>
      <c r="B37" s="583"/>
      <c r="C37" s="583"/>
      <c r="D37" s="583"/>
      <c r="E37" s="1177"/>
      <c r="F37" s="1178"/>
      <c r="G37" s="1179"/>
      <c r="L37" s="613" t="s">
        <v>483</v>
      </c>
      <c r="M37" s="613" t="s">
        <v>464</v>
      </c>
      <c r="N37" s="613" t="s">
        <v>464</v>
      </c>
      <c r="O37" s="613"/>
    </row>
    <row r="38" spans="1:16" x14ac:dyDescent="0.3">
      <c r="A38" s="583"/>
      <c r="B38" s="583"/>
      <c r="C38" s="583"/>
      <c r="D38" s="583"/>
      <c r="E38" s="583"/>
      <c r="F38" s="583"/>
      <c r="G38" s="583"/>
      <c r="L38" s="613" t="s">
        <v>1185</v>
      </c>
      <c r="M38" s="613" t="s">
        <v>464</v>
      </c>
      <c r="N38" s="613" t="s">
        <v>464</v>
      </c>
      <c r="O38" s="613"/>
    </row>
    <row r="39" spans="1:16" ht="15" thickBot="1" x14ac:dyDescent="0.35">
      <c r="C39" s="583"/>
      <c r="D39" s="583"/>
      <c r="E39" s="1181" t="s">
        <v>582</v>
      </c>
      <c r="F39" s="1181"/>
      <c r="G39" s="1181"/>
      <c r="L39" s="615" t="s">
        <v>1186</v>
      </c>
      <c r="M39" s="615">
        <v>0.03</v>
      </c>
      <c r="N39" s="615">
        <v>0.05</v>
      </c>
      <c r="O39" s="613" t="s">
        <v>1532</v>
      </c>
      <c r="P39" s="622" t="s">
        <v>1528</v>
      </c>
    </row>
    <row r="40" spans="1:16" x14ac:dyDescent="0.3">
      <c r="A40" s="583"/>
      <c r="B40" s="583"/>
      <c r="C40" s="583"/>
      <c r="D40" s="583"/>
      <c r="E40" s="1160"/>
      <c r="F40" s="1161"/>
      <c r="G40" s="1162"/>
      <c r="L40" s="613" t="s">
        <v>1187</v>
      </c>
      <c r="M40" s="613" t="s">
        <v>464</v>
      </c>
      <c r="N40" s="613" t="s">
        <v>464</v>
      </c>
      <c r="O40" s="613"/>
    </row>
    <row r="41" spans="1:16" x14ac:dyDescent="0.3">
      <c r="A41" s="583"/>
      <c r="B41" s="583"/>
      <c r="C41" s="583"/>
      <c r="D41" s="583"/>
      <c r="E41" s="1163"/>
      <c r="F41" s="1164"/>
      <c r="G41" s="1165"/>
      <c r="L41" s="613" t="s">
        <v>1188</v>
      </c>
      <c r="M41" s="613" t="s">
        <v>464</v>
      </c>
      <c r="N41" s="613" t="s">
        <v>464</v>
      </c>
      <c r="O41" s="613"/>
    </row>
    <row r="42" spans="1:16" x14ac:dyDescent="0.3">
      <c r="A42" s="583"/>
      <c r="B42" s="583"/>
      <c r="C42" s="583"/>
      <c r="D42" s="583"/>
      <c r="E42" s="1163"/>
      <c r="F42" s="1164"/>
      <c r="G42" s="1165"/>
      <c r="L42" s="613" t="s">
        <v>1184</v>
      </c>
      <c r="M42" s="613" t="s">
        <v>464</v>
      </c>
      <c r="N42" s="613" t="s">
        <v>464</v>
      </c>
      <c r="O42" s="613"/>
    </row>
    <row r="43" spans="1:16" x14ac:dyDescent="0.3">
      <c r="A43" s="583"/>
      <c r="B43" s="583"/>
      <c r="C43" s="583"/>
      <c r="D43" s="583"/>
      <c r="E43" s="1163"/>
      <c r="F43" s="1164"/>
      <c r="G43" s="1165"/>
      <c r="L43" s="613" t="s">
        <v>485</v>
      </c>
      <c r="M43" s="613" t="s">
        <v>464</v>
      </c>
      <c r="N43" s="613" t="s">
        <v>464</v>
      </c>
      <c r="O43" s="613"/>
    </row>
    <row r="44" spans="1:16" x14ac:dyDescent="0.3">
      <c r="D44" s="583"/>
      <c r="E44" s="1163"/>
      <c r="F44" s="1164"/>
      <c r="G44" s="1165"/>
      <c r="L44" s="613" t="s">
        <v>1189</v>
      </c>
      <c r="M44" s="613" t="s">
        <v>464</v>
      </c>
      <c r="N44" s="613" t="s">
        <v>464</v>
      </c>
      <c r="O44" s="613"/>
    </row>
    <row r="45" spans="1:16" x14ac:dyDescent="0.3">
      <c r="D45" s="583"/>
      <c r="E45" s="1163"/>
      <c r="F45" s="1164"/>
      <c r="G45" s="1165"/>
      <c r="L45" s="613" t="s">
        <v>1190</v>
      </c>
      <c r="M45" s="613" t="s">
        <v>464</v>
      </c>
      <c r="N45" s="613" t="s">
        <v>464</v>
      </c>
      <c r="O45" s="613"/>
    </row>
    <row r="46" spans="1:16" x14ac:dyDescent="0.3">
      <c r="E46" s="1163"/>
      <c r="F46" s="1164"/>
      <c r="G46" s="1165"/>
      <c r="L46" s="613" t="s">
        <v>1191</v>
      </c>
      <c r="M46" s="613" t="s">
        <v>464</v>
      </c>
      <c r="N46" s="613" t="s">
        <v>464</v>
      </c>
      <c r="O46" s="613"/>
    </row>
    <row r="47" spans="1:16" x14ac:dyDescent="0.3">
      <c r="E47" s="1163"/>
      <c r="F47" s="1164"/>
      <c r="G47" s="1165"/>
      <c r="L47" s="613" t="s">
        <v>486</v>
      </c>
      <c r="M47" s="613" t="s">
        <v>464</v>
      </c>
      <c r="N47" s="613" t="s">
        <v>464</v>
      </c>
      <c r="O47" s="613" t="s">
        <v>1626</v>
      </c>
    </row>
    <row r="48" spans="1:16" x14ac:dyDescent="0.3">
      <c r="E48" s="1163"/>
      <c r="F48" s="1164"/>
      <c r="G48" s="1165"/>
      <c r="L48" s="613" t="s">
        <v>1192</v>
      </c>
      <c r="M48" s="613" t="s">
        <v>464</v>
      </c>
      <c r="N48" s="613" t="s">
        <v>464</v>
      </c>
      <c r="O48" s="613"/>
    </row>
    <row r="49" spans="5:15" x14ac:dyDescent="0.3">
      <c r="E49" s="1163"/>
      <c r="F49" s="1164"/>
      <c r="G49" s="1165"/>
      <c r="L49" s="613" t="s">
        <v>1193</v>
      </c>
      <c r="M49" s="613" t="s">
        <v>464</v>
      </c>
      <c r="N49" s="613" t="s">
        <v>464</v>
      </c>
      <c r="O49" s="613"/>
    </row>
    <row r="50" spans="5:15" x14ac:dyDescent="0.3">
      <c r="E50" s="1163"/>
      <c r="F50" s="1164"/>
      <c r="G50" s="1165"/>
      <c r="L50" s="613" t="s">
        <v>1194</v>
      </c>
      <c r="M50" s="613" t="s">
        <v>464</v>
      </c>
      <c r="N50" s="613" t="s">
        <v>464</v>
      </c>
      <c r="O50" s="613"/>
    </row>
    <row r="51" spans="5:15" ht="15" thickBot="1" x14ac:dyDescent="0.35">
      <c r="E51" s="1166"/>
      <c r="F51" s="1167"/>
      <c r="G51" s="1168"/>
      <c r="L51" s="613" t="s">
        <v>487</v>
      </c>
      <c r="M51" s="613" t="s">
        <v>464</v>
      </c>
      <c r="N51" s="613" t="s">
        <v>464</v>
      </c>
      <c r="O51" s="613"/>
    </row>
    <row r="52" spans="5:15" x14ac:dyDescent="0.3">
      <c r="L52" s="613" t="s">
        <v>1195</v>
      </c>
      <c r="M52" s="613" t="s">
        <v>464</v>
      </c>
      <c r="N52" s="613" t="s">
        <v>464</v>
      </c>
      <c r="O52" s="613"/>
    </row>
    <row r="53" spans="5:15" x14ac:dyDescent="0.3">
      <c r="L53" s="613" t="s">
        <v>1197</v>
      </c>
      <c r="M53" s="613" t="s">
        <v>464</v>
      </c>
      <c r="N53" s="613" t="s">
        <v>464</v>
      </c>
      <c r="O53" s="613"/>
    </row>
    <row r="54" spans="5:15" x14ac:dyDescent="0.3">
      <c r="L54" s="613" t="s">
        <v>1196</v>
      </c>
      <c r="M54" s="613" t="s">
        <v>464</v>
      </c>
      <c r="N54" s="613" t="s">
        <v>464</v>
      </c>
      <c r="O54" s="613"/>
    </row>
    <row r="55" spans="5:15" x14ac:dyDescent="0.3">
      <c r="L55" s="613" t="s">
        <v>1198</v>
      </c>
      <c r="M55" s="613" t="s">
        <v>464</v>
      </c>
      <c r="N55" s="613" t="s">
        <v>464</v>
      </c>
      <c r="O55" s="613"/>
    </row>
    <row r="56" spans="5:15" x14ac:dyDescent="0.3">
      <c r="L56" s="613" t="s">
        <v>488</v>
      </c>
      <c r="M56" s="613" t="s">
        <v>464</v>
      </c>
      <c r="N56" s="613" t="s">
        <v>464</v>
      </c>
      <c r="O56" s="613"/>
    </row>
    <row r="57" spans="5:15" x14ac:dyDescent="0.3">
      <c r="L57" s="613" t="s">
        <v>1199</v>
      </c>
      <c r="M57" s="613" t="s">
        <v>464</v>
      </c>
      <c r="N57" s="613" t="s">
        <v>464</v>
      </c>
      <c r="O57" s="613"/>
    </row>
    <row r="58" spans="5:15" x14ac:dyDescent="0.3">
      <c r="L58" s="613" t="s">
        <v>1200</v>
      </c>
      <c r="M58" s="613" t="s">
        <v>464</v>
      </c>
      <c r="N58" s="613" t="s">
        <v>464</v>
      </c>
      <c r="O58" s="613"/>
    </row>
    <row r="59" spans="5:15" x14ac:dyDescent="0.3">
      <c r="L59" s="616" t="s">
        <v>1201</v>
      </c>
      <c r="M59" s="616">
        <v>0.15</v>
      </c>
      <c r="N59" s="616" t="s">
        <v>464</v>
      </c>
      <c r="O59" s="613" t="s">
        <v>1527</v>
      </c>
    </row>
    <row r="60" spans="5:15" x14ac:dyDescent="0.3">
      <c r="L60" s="613" t="s">
        <v>489</v>
      </c>
      <c r="M60" s="613" t="s">
        <v>464</v>
      </c>
      <c r="N60" s="613" t="s">
        <v>464</v>
      </c>
      <c r="O60" s="613"/>
    </row>
    <row r="61" spans="5:15" x14ac:dyDescent="0.3">
      <c r="L61" s="613" t="s">
        <v>1202</v>
      </c>
      <c r="M61" s="613" t="s">
        <v>464</v>
      </c>
      <c r="N61" s="613" t="s">
        <v>464</v>
      </c>
      <c r="O61" s="613"/>
    </row>
    <row r="62" spans="5:15" x14ac:dyDescent="0.3">
      <c r="L62" s="613" t="s">
        <v>1203</v>
      </c>
      <c r="M62" s="613" t="s">
        <v>464</v>
      </c>
      <c r="N62" s="613" t="s">
        <v>464</v>
      </c>
      <c r="O62" s="613"/>
    </row>
    <row r="63" spans="5:15" x14ac:dyDescent="0.3">
      <c r="L63" s="613" t="s">
        <v>1204</v>
      </c>
      <c r="M63" s="613" t="s">
        <v>464</v>
      </c>
      <c r="N63" s="613" t="s">
        <v>464</v>
      </c>
      <c r="O63" s="613"/>
    </row>
    <row r="64" spans="5:15" x14ac:dyDescent="0.3">
      <c r="L64" s="613" t="s">
        <v>1205</v>
      </c>
      <c r="M64" s="613" t="s">
        <v>464</v>
      </c>
      <c r="N64" s="613" t="s">
        <v>464</v>
      </c>
      <c r="O64" s="613"/>
    </row>
    <row r="65" spans="12:15" x14ac:dyDescent="0.3">
      <c r="L65" s="613" t="s">
        <v>1206</v>
      </c>
      <c r="M65" s="613" t="s">
        <v>464</v>
      </c>
      <c r="N65" s="613" t="s">
        <v>464</v>
      </c>
      <c r="O65" s="613"/>
    </row>
    <row r="66" spans="12:15" x14ac:dyDescent="0.3">
      <c r="L66" s="613" t="s">
        <v>820</v>
      </c>
      <c r="M66" s="613" t="s">
        <v>464</v>
      </c>
      <c r="N66" s="613" t="s">
        <v>464</v>
      </c>
      <c r="O66" s="613"/>
    </row>
    <row r="67" spans="12:15" x14ac:dyDescent="0.3">
      <c r="L67" s="613" t="s">
        <v>1207</v>
      </c>
      <c r="M67" s="613" t="s">
        <v>464</v>
      </c>
      <c r="N67" s="613" t="s">
        <v>464</v>
      </c>
      <c r="O67" s="613"/>
    </row>
    <row r="68" spans="12:15" x14ac:dyDescent="0.3">
      <c r="L68" s="613" t="s">
        <v>1208</v>
      </c>
      <c r="M68" s="613" t="s">
        <v>464</v>
      </c>
      <c r="N68" s="613" t="s">
        <v>464</v>
      </c>
      <c r="O68" s="613"/>
    </row>
    <row r="69" spans="12:15" x14ac:dyDescent="0.3">
      <c r="L69" s="613" t="s">
        <v>1209</v>
      </c>
      <c r="M69" s="613" t="s">
        <v>464</v>
      </c>
      <c r="N69" s="613" t="s">
        <v>464</v>
      </c>
      <c r="O69" s="613"/>
    </row>
    <row r="70" spans="12:15" x14ac:dyDescent="0.3">
      <c r="L70" s="613" t="s">
        <v>1210</v>
      </c>
      <c r="M70" s="613" t="s">
        <v>464</v>
      </c>
      <c r="N70" s="613" t="s">
        <v>464</v>
      </c>
      <c r="O70" s="613"/>
    </row>
    <row r="71" spans="12:15" x14ac:dyDescent="0.3">
      <c r="L71" s="613" t="s">
        <v>1211</v>
      </c>
      <c r="M71" s="613" t="s">
        <v>464</v>
      </c>
      <c r="N71" s="613" t="s">
        <v>464</v>
      </c>
      <c r="O71" s="613"/>
    </row>
    <row r="72" spans="12:15" x14ac:dyDescent="0.3">
      <c r="L72" s="613" t="s">
        <v>1212</v>
      </c>
      <c r="M72" s="613" t="s">
        <v>464</v>
      </c>
      <c r="N72" s="613" t="s">
        <v>464</v>
      </c>
      <c r="O72" s="613"/>
    </row>
    <row r="73" spans="12:15" x14ac:dyDescent="0.3">
      <c r="L73" s="613" t="s">
        <v>1213</v>
      </c>
      <c r="M73" s="613" t="s">
        <v>464</v>
      </c>
      <c r="N73" s="613" t="s">
        <v>464</v>
      </c>
      <c r="O73" s="613"/>
    </row>
    <row r="74" spans="12:15" x14ac:dyDescent="0.3">
      <c r="L74" s="613" t="s">
        <v>1214</v>
      </c>
      <c r="M74" s="613" t="s">
        <v>464</v>
      </c>
      <c r="N74" s="613" t="s">
        <v>464</v>
      </c>
      <c r="O74" s="613"/>
    </row>
    <row r="75" spans="12:15" x14ac:dyDescent="0.3">
      <c r="L75" s="613" t="s">
        <v>1215</v>
      </c>
      <c r="M75" s="613" t="s">
        <v>464</v>
      </c>
      <c r="N75" s="613" t="s">
        <v>464</v>
      </c>
      <c r="O75" s="613"/>
    </row>
    <row r="76" spans="12:15" x14ac:dyDescent="0.3">
      <c r="L76" s="613" t="s">
        <v>1216</v>
      </c>
      <c r="M76" s="613" t="s">
        <v>464</v>
      </c>
      <c r="N76" s="613" t="s">
        <v>464</v>
      </c>
      <c r="O76" s="613"/>
    </row>
    <row r="77" spans="12:15" x14ac:dyDescent="0.3">
      <c r="L77" s="613" t="s">
        <v>1217</v>
      </c>
      <c r="M77" s="613" t="s">
        <v>464</v>
      </c>
      <c r="N77" s="613" t="s">
        <v>464</v>
      </c>
      <c r="O77" s="613"/>
    </row>
    <row r="78" spans="12:15" x14ac:dyDescent="0.3">
      <c r="L78" s="613" t="s">
        <v>1218</v>
      </c>
      <c r="M78" s="613" t="s">
        <v>464</v>
      </c>
      <c r="N78" s="613" t="s">
        <v>464</v>
      </c>
      <c r="O78" s="613"/>
    </row>
    <row r="79" spans="12:15" x14ac:dyDescent="0.3">
      <c r="L79" s="613" t="s">
        <v>1219</v>
      </c>
      <c r="M79" s="613" t="s">
        <v>464</v>
      </c>
      <c r="N79" s="613" t="s">
        <v>464</v>
      </c>
      <c r="O79" s="613"/>
    </row>
    <row r="80" spans="12:15" x14ac:dyDescent="0.3">
      <c r="L80" s="613" t="s">
        <v>1220</v>
      </c>
      <c r="M80" s="613" t="s">
        <v>464</v>
      </c>
      <c r="N80" s="613" t="s">
        <v>464</v>
      </c>
      <c r="O80" s="613"/>
    </row>
    <row r="81" spans="12:15" x14ac:dyDescent="0.3">
      <c r="L81" s="613" t="s">
        <v>1221</v>
      </c>
      <c r="M81" s="613" t="s">
        <v>464</v>
      </c>
      <c r="N81" s="613" t="s">
        <v>464</v>
      </c>
      <c r="O81" s="613"/>
    </row>
    <row r="82" spans="12:15" x14ac:dyDescent="0.3">
      <c r="L82" s="613" t="s">
        <v>1222</v>
      </c>
      <c r="M82" s="613" t="s">
        <v>464</v>
      </c>
      <c r="N82" s="613" t="s">
        <v>464</v>
      </c>
      <c r="O82" s="613"/>
    </row>
    <row r="83" spans="12:15" x14ac:dyDescent="0.3">
      <c r="L83" s="613" t="s">
        <v>821</v>
      </c>
      <c r="M83" s="613" t="s">
        <v>464</v>
      </c>
      <c r="N83" s="613" t="s">
        <v>464</v>
      </c>
      <c r="O83" s="613"/>
    </row>
    <row r="84" spans="12:15" x14ac:dyDescent="0.3">
      <c r="L84" s="613" t="s">
        <v>490</v>
      </c>
      <c r="M84" s="613" t="s">
        <v>464</v>
      </c>
      <c r="N84" s="613" t="s">
        <v>464</v>
      </c>
      <c r="O84" s="613"/>
    </row>
    <row r="85" spans="12:15" x14ac:dyDescent="0.3">
      <c r="L85" s="613" t="s">
        <v>1223</v>
      </c>
      <c r="M85" s="613" t="s">
        <v>464</v>
      </c>
      <c r="N85" s="613" t="s">
        <v>464</v>
      </c>
      <c r="O85" s="613"/>
    </row>
    <row r="86" spans="12:15" x14ac:dyDescent="0.3">
      <c r="L86" s="613" t="s">
        <v>1224</v>
      </c>
      <c r="M86" s="613" t="s">
        <v>464</v>
      </c>
      <c r="N86" s="613" t="s">
        <v>464</v>
      </c>
      <c r="O86" s="613"/>
    </row>
    <row r="87" spans="12:15" x14ac:dyDescent="0.3">
      <c r="L87" s="613" t="s">
        <v>1225</v>
      </c>
      <c r="M87" s="613" t="s">
        <v>464</v>
      </c>
      <c r="N87" s="613" t="s">
        <v>464</v>
      </c>
      <c r="O87" s="613"/>
    </row>
    <row r="88" spans="12:15" x14ac:dyDescent="0.3">
      <c r="L88" s="613" t="s">
        <v>1226</v>
      </c>
      <c r="M88" s="613" t="s">
        <v>464</v>
      </c>
      <c r="N88" s="613" t="s">
        <v>464</v>
      </c>
      <c r="O88" s="613"/>
    </row>
    <row r="89" spans="12:15" x14ac:dyDescent="0.3">
      <c r="L89" s="613" t="s">
        <v>491</v>
      </c>
      <c r="M89" s="613" t="s">
        <v>464</v>
      </c>
      <c r="N89" s="613" t="s">
        <v>464</v>
      </c>
      <c r="O89" s="613"/>
    </row>
    <row r="90" spans="12:15" x14ac:dyDescent="0.3">
      <c r="L90" s="613" t="s">
        <v>1227</v>
      </c>
      <c r="M90" s="613" t="s">
        <v>464</v>
      </c>
      <c r="N90" s="613" t="s">
        <v>464</v>
      </c>
      <c r="O90" s="613"/>
    </row>
    <row r="91" spans="12:15" x14ac:dyDescent="0.3">
      <c r="L91" s="613" t="s">
        <v>394</v>
      </c>
      <c r="M91" s="613" t="s">
        <v>464</v>
      </c>
      <c r="N91" s="613" t="s">
        <v>464</v>
      </c>
      <c r="O91" s="613"/>
    </row>
    <row r="92" spans="12:15" x14ac:dyDescent="0.3">
      <c r="L92" s="613" t="s">
        <v>395</v>
      </c>
      <c r="M92" s="613" t="s">
        <v>464</v>
      </c>
      <c r="N92" s="613" t="s">
        <v>464</v>
      </c>
      <c r="O92" s="613"/>
    </row>
    <row r="93" spans="12:15" x14ac:dyDescent="0.3">
      <c r="L93" s="616" t="s">
        <v>1228</v>
      </c>
      <c r="M93" s="616">
        <v>0.05</v>
      </c>
      <c r="N93" s="616" t="s">
        <v>464</v>
      </c>
      <c r="O93" s="613" t="s">
        <v>1527</v>
      </c>
    </row>
    <row r="94" spans="12:15" x14ac:dyDescent="0.3">
      <c r="L94" s="613" t="s">
        <v>492</v>
      </c>
      <c r="M94" s="613" t="s">
        <v>464</v>
      </c>
      <c r="N94" s="613" t="s">
        <v>464</v>
      </c>
      <c r="O94" s="613"/>
    </row>
    <row r="95" spans="12:15" x14ac:dyDescent="0.3">
      <c r="L95" s="613" t="s">
        <v>1229</v>
      </c>
      <c r="M95" s="613" t="s">
        <v>464</v>
      </c>
      <c r="N95" s="613" t="s">
        <v>464</v>
      </c>
      <c r="O95" s="613"/>
    </row>
    <row r="96" spans="12:15" x14ac:dyDescent="0.3">
      <c r="L96" s="613" t="s">
        <v>822</v>
      </c>
      <c r="M96" s="613" t="s">
        <v>464</v>
      </c>
      <c r="N96" s="613" t="s">
        <v>464</v>
      </c>
      <c r="O96" s="613"/>
    </row>
    <row r="97" spans="12:16" x14ac:dyDescent="0.3">
      <c r="L97" s="613" t="s">
        <v>1230</v>
      </c>
      <c r="M97" s="613" t="s">
        <v>464</v>
      </c>
      <c r="N97" s="613" t="s">
        <v>464</v>
      </c>
      <c r="O97" s="613"/>
    </row>
    <row r="98" spans="12:16" x14ac:dyDescent="0.3">
      <c r="L98" s="613" t="s">
        <v>823</v>
      </c>
      <c r="M98" s="613" t="s">
        <v>464</v>
      </c>
      <c r="N98" s="613" t="s">
        <v>464</v>
      </c>
      <c r="O98" s="613"/>
    </row>
    <row r="99" spans="12:16" x14ac:dyDescent="0.3">
      <c r="L99" s="615" t="s">
        <v>1231</v>
      </c>
      <c r="M99" s="615">
        <v>0.03</v>
      </c>
      <c r="N99" s="615">
        <v>0.05</v>
      </c>
      <c r="O99" s="613" t="s">
        <v>1532</v>
      </c>
      <c r="P99" s="622" t="s">
        <v>1528</v>
      </c>
    </row>
    <row r="100" spans="12:16" x14ac:dyDescent="0.3">
      <c r="L100" s="613" t="s">
        <v>1232</v>
      </c>
      <c r="M100" s="613" t="s">
        <v>464</v>
      </c>
      <c r="N100" s="613" t="s">
        <v>464</v>
      </c>
      <c r="O100" s="613"/>
    </row>
    <row r="101" spans="12:16" x14ac:dyDescent="0.3">
      <c r="L101" s="613" t="s">
        <v>1233</v>
      </c>
      <c r="M101" s="613" t="s">
        <v>464</v>
      </c>
      <c r="N101" s="613" t="s">
        <v>464</v>
      </c>
      <c r="O101" s="613"/>
    </row>
    <row r="102" spans="12:16" x14ac:dyDescent="0.3">
      <c r="L102" s="613" t="s">
        <v>1234</v>
      </c>
      <c r="M102" s="613" t="s">
        <v>464</v>
      </c>
      <c r="N102" s="613" t="s">
        <v>464</v>
      </c>
      <c r="O102" s="613"/>
    </row>
    <row r="103" spans="12:16" x14ac:dyDescent="0.3">
      <c r="L103" s="613" t="s">
        <v>1235</v>
      </c>
      <c r="M103" s="613" t="s">
        <v>464</v>
      </c>
      <c r="N103" s="613" t="s">
        <v>464</v>
      </c>
      <c r="O103" s="613"/>
    </row>
    <row r="104" spans="12:16" x14ac:dyDescent="0.3">
      <c r="L104" s="613" t="s">
        <v>1236</v>
      </c>
      <c r="M104" s="613" t="s">
        <v>464</v>
      </c>
      <c r="N104" s="613" t="s">
        <v>464</v>
      </c>
      <c r="O104" s="613"/>
    </row>
    <row r="105" spans="12:16" x14ac:dyDescent="0.3">
      <c r="L105" s="613" t="s">
        <v>824</v>
      </c>
      <c r="M105" s="613" t="s">
        <v>464</v>
      </c>
      <c r="N105" s="613" t="s">
        <v>464</v>
      </c>
      <c r="O105" s="613"/>
    </row>
    <row r="106" spans="12:16" x14ac:dyDescent="0.3">
      <c r="L106" s="613" t="s">
        <v>494</v>
      </c>
      <c r="M106" s="613" t="s">
        <v>464</v>
      </c>
      <c r="N106" s="613" t="s">
        <v>464</v>
      </c>
      <c r="O106" s="613"/>
    </row>
    <row r="107" spans="12:16" x14ac:dyDescent="0.3">
      <c r="L107" s="613" t="s">
        <v>495</v>
      </c>
      <c r="M107" s="613" t="s">
        <v>464</v>
      </c>
      <c r="N107" s="613" t="s">
        <v>464</v>
      </c>
      <c r="O107" s="613"/>
    </row>
    <row r="108" spans="12:16" x14ac:dyDescent="0.3">
      <c r="L108" s="613" t="s">
        <v>1237</v>
      </c>
      <c r="M108" s="613" t="s">
        <v>464</v>
      </c>
      <c r="N108" s="613" t="s">
        <v>464</v>
      </c>
      <c r="O108" s="613"/>
    </row>
    <row r="109" spans="12:16" x14ac:dyDescent="0.3">
      <c r="L109" s="613" t="s">
        <v>1238</v>
      </c>
      <c r="M109" s="613" t="s">
        <v>464</v>
      </c>
      <c r="N109" s="613" t="s">
        <v>464</v>
      </c>
      <c r="O109" s="613"/>
    </row>
    <row r="110" spans="12:16" x14ac:dyDescent="0.3">
      <c r="L110" s="613" t="s">
        <v>1239</v>
      </c>
      <c r="M110" s="613" t="s">
        <v>464</v>
      </c>
      <c r="N110" s="613" t="s">
        <v>464</v>
      </c>
      <c r="O110" s="613" t="s">
        <v>1626</v>
      </c>
    </row>
    <row r="111" spans="12:16" x14ac:dyDescent="0.3">
      <c r="L111" s="613" t="s">
        <v>825</v>
      </c>
      <c r="M111" s="613" t="s">
        <v>464</v>
      </c>
      <c r="N111" s="613" t="s">
        <v>464</v>
      </c>
      <c r="O111" s="613"/>
    </row>
    <row r="112" spans="12:16" x14ac:dyDescent="0.3">
      <c r="L112" s="613" t="s">
        <v>1240</v>
      </c>
      <c r="M112" s="613" t="s">
        <v>464</v>
      </c>
      <c r="N112" s="613" t="s">
        <v>464</v>
      </c>
      <c r="O112" s="613"/>
    </row>
    <row r="113" spans="12:15" x14ac:dyDescent="0.3">
      <c r="L113" s="613" t="s">
        <v>1241</v>
      </c>
      <c r="M113" s="613" t="s">
        <v>464</v>
      </c>
      <c r="N113" s="613" t="s">
        <v>464</v>
      </c>
      <c r="O113" s="613"/>
    </row>
    <row r="114" spans="12:15" x14ac:dyDescent="0.3">
      <c r="L114" s="613" t="s">
        <v>1242</v>
      </c>
      <c r="M114" s="613" t="s">
        <v>464</v>
      </c>
      <c r="N114" s="613" t="s">
        <v>464</v>
      </c>
      <c r="O114" s="613"/>
    </row>
    <row r="115" spans="12:15" x14ac:dyDescent="0.3">
      <c r="L115" s="613" t="s">
        <v>1243</v>
      </c>
      <c r="M115" s="613" t="s">
        <v>464</v>
      </c>
      <c r="N115" s="613" t="s">
        <v>464</v>
      </c>
      <c r="O115" s="613"/>
    </row>
    <row r="116" spans="12:15" x14ac:dyDescent="0.3">
      <c r="L116" s="616" t="s">
        <v>1244</v>
      </c>
      <c r="M116" s="616">
        <v>0.03</v>
      </c>
      <c r="N116" s="616" t="s">
        <v>464</v>
      </c>
      <c r="O116" s="613" t="s">
        <v>1527</v>
      </c>
    </row>
    <row r="117" spans="12:15" x14ac:dyDescent="0.3">
      <c r="L117" s="613" t="s">
        <v>1245</v>
      </c>
      <c r="M117" s="613" t="s">
        <v>464</v>
      </c>
      <c r="N117" s="613" t="s">
        <v>464</v>
      </c>
      <c r="O117" s="613"/>
    </row>
    <row r="118" spans="12:15" x14ac:dyDescent="0.3">
      <c r="L118" s="613" t="s">
        <v>1246</v>
      </c>
      <c r="M118" s="613" t="s">
        <v>464</v>
      </c>
      <c r="N118" s="613" t="s">
        <v>464</v>
      </c>
      <c r="O118" s="613"/>
    </row>
    <row r="119" spans="12:15" x14ac:dyDescent="0.3">
      <c r="L119" s="613" t="s">
        <v>1247</v>
      </c>
      <c r="M119" s="613" t="s">
        <v>464</v>
      </c>
      <c r="N119" s="613" t="s">
        <v>464</v>
      </c>
      <c r="O119" s="613"/>
    </row>
    <row r="120" spans="12:15" x14ac:dyDescent="0.3">
      <c r="L120" s="613" t="s">
        <v>826</v>
      </c>
      <c r="M120" s="613" t="s">
        <v>464</v>
      </c>
      <c r="N120" s="613" t="s">
        <v>464</v>
      </c>
      <c r="O120" s="613"/>
    </row>
    <row r="121" spans="12:15" x14ac:dyDescent="0.3">
      <c r="L121" s="613" t="s">
        <v>1248</v>
      </c>
      <c r="M121" s="613" t="s">
        <v>464</v>
      </c>
      <c r="N121" s="613" t="s">
        <v>464</v>
      </c>
      <c r="O121" s="613"/>
    </row>
    <row r="122" spans="12:15" x14ac:dyDescent="0.3">
      <c r="L122" s="613" t="s">
        <v>827</v>
      </c>
      <c r="M122" s="613" t="s">
        <v>464</v>
      </c>
      <c r="N122" s="613" t="s">
        <v>464</v>
      </c>
      <c r="O122" s="613" t="s">
        <v>1626</v>
      </c>
    </row>
    <row r="123" spans="12:15" x14ac:dyDescent="0.3">
      <c r="L123" s="613" t="s">
        <v>1249</v>
      </c>
      <c r="M123" s="613" t="s">
        <v>464</v>
      </c>
      <c r="N123" s="613" t="s">
        <v>464</v>
      </c>
      <c r="O123" s="613"/>
    </row>
    <row r="124" spans="12:15" x14ac:dyDescent="0.3">
      <c r="L124" s="613" t="s">
        <v>1250</v>
      </c>
      <c r="M124" s="613" t="s">
        <v>464</v>
      </c>
      <c r="N124" s="613" t="s">
        <v>464</v>
      </c>
      <c r="O124" s="613"/>
    </row>
    <row r="125" spans="12:15" x14ac:dyDescent="0.3">
      <c r="L125" s="613" t="s">
        <v>1251</v>
      </c>
      <c r="M125" s="613" t="s">
        <v>464</v>
      </c>
      <c r="N125" s="613" t="s">
        <v>464</v>
      </c>
      <c r="O125" s="613"/>
    </row>
    <row r="126" spans="12:15" x14ac:dyDescent="0.3">
      <c r="L126" s="613" t="s">
        <v>1252</v>
      </c>
      <c r="M126" s="613" t="s">
        <v>464</v>
      </c>
      <c r="N126" s="613" t="s">
        <v>464</v>
      </c>
      <c r="O126" s="613"/>
    </row>
    <row r="127" spans="12:15" x14ac:dyDescent="0.3">
      <c r="L127" s="613" t="s">
        <v>496</v>
      </c>
      <c r="M127" s="613" t="s">
        <v>464</v>
      </c>
      <c r="N127" s="613" t="s">
        <v>464</v>
      </c>
      <c r="O127" s="613"/>
    </row>
    <row r="128" spans="12:15" x14ac:dyDescent="0.3">
      <c r="L128" s="613" t="s">
        <v>1253</v>
      </c>
      <c r="M128" s="613" t="s">
        <v>464</v>
      </c>
      <c r="N128" s="613" t="s">
        <v>464</v>
      </c>
      <c r="O128" s="613"/>
    </row>
    <row r="129" spans="12:16" x14ac:dyDescent="0.3">
      <c r="L129" s="613" t="s">
        <v>1254</v>
      </c>
      <c r="M129" s="613" t="s">
        <v>464</v>
      </c>
      <c r="N129" s="613" t="s">
        <v>464</v>
      </c>
      <c r="O129" s="613"/>
    </row>
    <row r="130" spans="12:16" x14ac:dyDescent="0.3">
      <c r="L130" s="613" t="s">
        <v>497</v>
      </c>
      <c r="M130" s="613" t="s">
        <v>464</v>
      </c>
      <c r="N130" s="613" t="s">
        <v>464</v>
      </c>
      <c r="O130" s="613"/>
    </row>
    <row r="131" spans="12:16" x14ac:dyDescent="0.3">
      <c r="L131" s="616" t="s">
        <v>1255</v>
      </c>
      <c r="M131" s="616">
        <v>0.03</v>
      </c>
      <c r="N131" s="616" t="s">
        <v>464</v>
      </c>
      <c r="O131" s="613" t="s">
        <v>1527</v>
      </c>
    </row>
    <row r="132" spans="12:16" x14ac:dyDescent="0.3">
      <c r="L132" s="613" t="s">
        <v>1256</v>
      </c>
      <c r="M132" s="613" t="s">
        <v>464</v>
      </c>
      <c r="N132" s="613" t="s">
        <v>464</v>
      </c>
      <c r="O132" s="613"/>
    </row>
    <row r="133" spans="12:16" x14ac:dyDescent="0.3">
      <c r="L133" s="613" t="s">
        <v>1257</v>
      </c>
      <c r="M133" s="613" t="s">
        <v>464</v>
      </c>
      <c r="N133" s="613" t="s">
        <v>464</v>
      </c>
      <c r="O133" s="613"/>
    </row>
    <row r="134" spans="12:16" x14ac:dyDescent="0.3">
      <c r="L134" s="613" t="s">
        <v>1258</v>
      </c>
      <c r="M134" s="613" t="s">
        <v>464</v>
      </c>
      <c r="N134" s="613" t="s">
        <v>464</v>
      </c>
      <c r="O134" s="613"/>
    </row>
    <row r="135" spans="12:16" x14ac:dyDescent="0.3">
      <c r="L135" s="613" t="s">
        <v>389</v>
      </c>
      <c r="M135" s="613" t="s">
        <v>464</v>
      </c>
      <c r="N135" s="613" t="s">
        <v>464</v>
      </c>
      <c r="O135" s="613"/>
    </row>
    <row r="136" spans="12:16" x14ac:dyDescent="0.3">
      <c r="L136" s="613" t="s">
        <v>498</v>
      </c>
      <c r="M136" s="613" t="s">
        <v>464</v>
      </c>
      <c r="N136" s="613" t="s">
        <v>464</v>
      </c>
      <c r="O136" s="613"/>
    </row>
    <row r="137" spans="12:16" x14ac:dyDescent="0.3">
      <c r="L137" s="613" t="s">
        <v>1259</v>
      </c>
      <c r="M137" s="613" t="s">
        <v>464</v>
      </c>
      <c r="N137" s="613" t="s">
        <v>464</v>
      </c>
      <c r="O137" s="613"/>
    </row>
    <row r="138" spans="12:16" x14ac:dyDescent="0.3">
      <c r="L138" s="613" t="s">
        <v>1260</v>
      </c>
      <c r="M138" s="613" t="s">
        <v>464</v>
      </c>
      <c r="N138" s="613" t="s">
        <v>464</v>
      </c>
      <c r="O138" s="613"/>
    </row>
    <row r="139" spans="12:16" x14ac:dyDescent="0.3">
      <c r="L139" s="613" t="s">
        <v>499</v>
      </c>
      <c r="M139" s="613" t="s">
        <v>464</v>
      </c>
      <c r="N139" s="613" t="s">
        <v>464</v>
      </c>
      <c r="O139" s="613"/>
    </row>
    <row r="140" spans="12:16" x14ac:dyDescent="0.3">
      <c r="L140" s="613" t="s">
        <v>500</v>
      </c>
      <c r="M140" s="613" t="s">
        <v>464</v>
      </c>
      <c r="N140" s="613" t="s">
        <v>464</v>
      </c>
      <c r="O140" s="613"/>
    </row>
    <row r="141" spans="12:16" x14ac:dyDescent="0.3">
      <c r="L141" s="613" t="s">
        <v>1261</v>
      </c>
      <c r="M141" s="613" t="s">
        <v>464</v>
      </c>
      <c r="N141" s="613" t="s">
        <v>464</v>
      </c>
      <c r="O141" s="613"/>
    </row>
    <row r="142" spans="12:16" x14ac:dyDescent="0.3">
      <c r="L142" s="613" t="s">
        <v>1262</v>
      </c>
      <c r="M142" s="613" t="s">
        <v>464</v>
      </c>
      <c r="N142" s="613" t="s">
        <v>464</v>
      </c>
      <c r="O142" s="613"/>
    </row>
    <row r="143" spans="12:16" x14ac:dyDescent="0.3">
      <c r="L143" s="615" t="s">
        <v>1263</v>
      </c>
      <c r="M143" s="615">
        <v>0.03</v>
      </c>
      <c r="N143" s="615">
        <v>0.05</v>
      </c>
      <c r="O143" s="613" t="s">
        <v>1532</v>
      </c>
      <c r="P143" s="622" t="s">
        <v>1528</v>
      </c>
    </row>
    <row r="144" spans="12:16" x14ac:dyDescent="0.3">
      <c r="L144" s="615" t="s">
        <v>828</v>
      </c>
      <c r="M144" s="615">
        <v>0.03</v>
      </c>
      <c r="N144" s="615">
        <v>0.05</v>
      </c>
      <c r="O144" s="613" t="s">
        <v>1532</v>
      </c>
      <c r="P144" s="622" t="s">
        <v>1528</v>
      </c>
    </row>
    <row r="145" spans="12:15" x14ac:dyDescent="0.3">
      <c r="L145" s="613" t="s">
        <v>1264</v>
      </c>
      <c r="M145" s="613" t="s">
        <v>464</v>
      </c>
      <c r="N145" s="613" t="s">
        <v>464</v>
      </c>
      <c r="O145" s="613"/>
    </row>
    <row r="146" spans="12:15" x14ac:dyDescent="0.3">
      <c r="L146" s="613" t="s">
        <v>1265</v>
      </c>
      <c r="M146" s="613" t="s">
        <v>464</v>
      </c>
      <c r="N146" s="613" t="s">
        <v>464</v>
      </c>
      <c r="O146" s="613"/>
    </row>
    <row r="147" spans="12:15" x14ac:dyDescent="0.3">
      <c r="L147" s="613" t="s">
        <v>1266</v>
      </c>
      <c r="M147" s="613" t="s">
        <v>464</v>
      </c>
      <c r="N147" s="613" t="s">
        <v>464</v>
      </c>
      <c r="O147" s="613"/>
    </row>
    <row r="148" spans="12:15" x14ac:dyDescent="0.3">
      <c r="L148" s="613" t="s">
        <v>1267</v>
      </c>
      <c r="M148" s="613" t="s">
        <v>464</v>
      </c>
      <c r="N148" s="613" t="s">
        <v>464</v>
      </c>
      <c r="O148" s="613"/>
    </row>
    <row r="149" spans="12:15" x14ac:dyDescent="0.3">
      <c r="L149" s="613" t="s">
        <v>502</v>
      </c>
      <c r="M149" s="613" t="s">
        <v>464</v>
      </c>
      <c r="N149" s="613" t="s">
        <v>464</v>
      </c>
      <c r="O149" s="613"/>
    </row>
    <row r="150" spans="12:15" x14ac:dyDescent="0.3">
      <c r="L150" s="613" t="s">
        <v>503</v>
      </c>
      <c r="M150" s="613" t="s">
        <v>464</v>
      </c>
      <c r="N150" s="613" t="s">
        <v>464</v>
      </c>
      <c r="O150" s="613"/>
    </row>
    <row r="151" spans="12:15" x14ac:dyDescent="0.3">
      <c r="L151" s="613" t="s">
        <v>1268</v>
      </c>
      <c r="M151" s="613" t="s">
        <v>464</v>
      </c>
      <c r="N151" s="613" t="s">
        <v>464</v>
      </c>
      <c r="O151" s="613"/>
    </row>
    <row r="152" spans="12:15" x14ac:dyDescent="0.3">
      <c r="L152" s="613" t="s">
        <v>1269</v>
      </c>
      <c r="M152" s="613" t="s">
        <v>464</v>
      </c>
      <c r="N152" s="613" t="s">
        <v>464</v>
      </c>
      <c r="O152" s="613"/>
    </row>
    <row r="153" spans="12:15" x14ac:dyDescent="0.3">
      <c r="L153" s="613" t="s">
        <v>504</v>
      </c>
      <c r="M153" s="613" t="s">
        <v>464</v>
      </c>
      <c r="N153" s="613" t="s">
        <v>464</v>
      </c>
      <c r="O153" s="613" t="s">
        <v>1626</v>
      </c>
    </row>
    <row r="154" spans="12:15" x14ac:dyDescent="0.3">
      <c r="L154" s="613" t="s">
        <v>829</v>
      </c>
      <c r="M154" s="613" t="s">
        <v>464</v>
      </c>
      <c r="N154" s="613" t="s">
        <v>464</v>
      </c>
      <c r="O154" s="613"/>
    </row>
    <row r="155" spans="12:15" x14ac:dyDescent="0.3">
      <c r="L155" s="613" t="s">
        <v>830</v>
      </c>
      <c r="M155" s="613" t="s">
        <v>464</v>
      </c>
      <c r="N155" s="613" t="s">
        <v>464</v>
      </c>
      <c r="O155" s="613"/>
    </row>
    <row r="156" spans="12:15" x14ac:dyDescent="0.3">
      <c r="L156" s="613" t="s">
        <v>506</v>
      </c>
      <c r="M156" s="613" t="s">
        <v>464</v>
      </c>
      <c r="N156" s="613" t="s">
        <v>464</v>
      </c>
      <c r="O156" s="613"/>
    </row>
    <row r="157" spans="12:15" x14ac:dyDescent="0.3">
      <c r="L157" s="613" t="s">
        <v>507</v>
      </c>
      <c r="M157" s="613" t="s">
        <v>464</v>
      </c>
      <c r="N157" s="613" t="s">
        <v>464</v>
      </c>
      <c r="O157" s="613"/>
    </row>
    <row r="158" spans="12:15" x14ac:dyDescent="0.3">
      <c r="L158" s="613" t="s">
        <v>508</v>
      </c>
      <c r="M158" s="613" t="s">
        <v>464</v>
      </c>
      <c r="N158" s="613" t="s">
        <v>464</v>
      </c>
      <c r="O158" s="613"/>
    </row>
    <row r="159" spans="12:15" x14ac:dyDescent="0.3">
      <c r="L159" s="613" t="s">
        <v>1270</v>
      </c>
      <c r="M159" s="613" t="s">
        <v>464</v>
      </c>
      <c r="N159" s="613" t="s">
        <v>464</v>
      </c>
      <c r="O159" s="613"/>
    </row>
    <row r="160" spans="12:15" x14ac:dyDescent="0.3">
      <c r="L160" s="613" t="s">
        <v>1271</v>
      </c>
      <c r="M160" s="613" t="s">
        <v>464</v>
      </c>
      <c r="N160" s="613" t="s">
        <v>464</v>
      </c>
      <c r="O160" s="613"/>
    </row>
    <row r="161" spans="12:16" x14ac:dyDescent="0.3">
      <c r="L161" s="613" t="s">
        <v>1272</v>
      </c>
      <c r="M161" s="613" t="s">
        <v>464</v>
      </c>
      <c r="N161" s="613" t="s">
        <v>464</v>
      </c>
      <c r="O161" s="613"/>
    </row>
    <row r="162" spans="12:16" x14ac:dyDescent="0.3">
      <c r="L162" s="613" t="s">
        <v>1273</v>
      </c>
      <c r="M162" s="613" t="s">
        <v>464</v>
      </c>
      <c r="N162" s="613" t="s">
        <v>464</v>
      </c>
      <c r="O162" s="613"/>
    </row>
    <row r="163" spans="12:16" x14ac:dyDescent="0.3">
      <c r="L163" s="613" t="s">
        <v>1274</v>
      </c>
      <c r="M163" s="613" t="s">
        <v>464</v>
      </c>
      <c r="N163" s="613" t="s">
        <v>464</v>
      </c>
      <c r="O163" s="613"/>
    </row>
    <row r="164" spans="12:16" x14ac:dyDescent="0.3">
      <c r="L164" s="613" t="s">
        <v>1275</v>
      </c>
      <c r="M164" s="613" t="s">
        <v>464</v>
      </c>
      <c r="N164" s="613" t="s">
        <v>464</v>
      </c>
      <c r="O164" s="613"/>
    </row>
    <row r="165" spans="12:16" x14ac:dyDescent="0.3">
      <c r="L165" s="615" t="s">
        <v>1276</v>
      </c>
      <c r="M165" s="615">
        <v>0.03</v>
      </c>
      <c r="N165" s="615">
        <v>0.05</v>
      </c>
      <c r="O165" s="613" t="s">
        <v>1532</v>
      </c>
      <c r="P165" s="622" t="s">
        <v>1528</v>
      </c>
    </row>
    <row r="166" spans="12:16" x14ac:dyDescent="0.3">
      <c r="L166" s="613" t="s">
        <v>1277</v>
      </c>
      <c r="M166" s="613" t="s">
        <v>464</v>
      </c>
      <c r="N166" s="613" t="s">
        <v>464</v>
      </c>
      <c r="O166" s="613" t="s">
        <v>1626</v>
      </c>
    </row>
    <row r="167" spans="12:16" x14ac:dyDescent="0.3">
      <c r="L167" s="613" t="s">
        <v>1278</v>
      </c>
      <c r="M167" s="613" t="s">
        <v>464</v>
      </c>
      <c r="N167" s="613" t="s">
        <v>464</v>
      </c>
      <c r="O167" s="613"/>
    </row>
    <row r="168" spans="12:16" x14ac:dyDescent="0.3">
      <c r="L168" s="613" t="s">
        <v>1279</v>
      </c>
      <c r="M168" s="613" t="s">
        <v>464</v>
      </c>
      <c r="N168" s="613" t="s">
        <v>464</v>
      </c>
      <c r="O168" s="613"/>
    </row>
    <row r="169" spans="12:16" x14ac:dyDescent="0.3">
      <c r="L169" s="613" t="s">
        <v>509</v>
      </c>
      <c r="M169" s="613" t="s">
        <v>464</v>
      </c>
      <c r="N169" s="613" t="s">
        <v>464</v>
      </c>
      <c r="O169" s="613"/>
    </row>
    <row r="170" spans="12:16" x14ac:dyDescent="0.3">
      <c r="L170" s="613" t="s">
        <v>1280</v>
      </c>
      <c r="M170" s="613" t="s">
        <v>464</v>
      </c>
      <c r="N170" s="613" t="s">
        <v>464</v>
      </c>
      <c r="O170" s="613" t="s">
        <v>1626</v>
      </c>
    </row>
    <row r="171" spans="12:16" x14ac:dyDescent="0.3">
      <c r="L171" s="613" t="s">
        <v>1281</v>
      </c>
      <c r="M171" s="613" t="s">
        <v>464</v>
      </c>
      <c r="N171" s="613" t="s">
        <v>464</v>
      </c>
      <c r="O171" s="613"/>
    </row>
    <row r="172" spans="12:16" x14ac:dyDescent="0.3">
      <c r="L172" s="613" t="s">
        <v>1282</v>
      </c>
      <c r="M172" s="613" t="s">
        <v>464</v>
      </c>
      <c r="N172" s="613" t="s">
        <v>464</v>
      </c>
      <c r="O172" s="613" t="s">
        <v>1626</v>
      </c>
    </row>
    <row r="173" spans="12:16" x14ac:dyDescent="0.3">
      <c r="L173" s="613" t="s">
        <v>510</v>
      </c>
      <c r="M173" s="613" t="s">
        <v>464</v>
      </c>
      <c r="N173" s="613" t="s">
        <v>464</v>
      </c>
      <c r="O173" s="613"/>
    </row>
    <row r="174" spans="12:16" x14ac:dyDescent="0.3">
      <c r="L174" s="613" t="s">
        <v>1283</v>
      </c>
      <c r="M174" s="613" t="s">
        <v>464</v>
      </c>
      <c r="N174" s="613" t="s">
        <v>464</v>
      </c>
      <c r="O174" s="613"/>
    </row>
    <row r="175" spans="12:16" x14ac:dyDescent="0.3">
      <c r="L175" s="613" t="s">
        <v>1284</v>
      </c>
      <c r="M175" s="613" t="s">
        <v>464</v>
      </c>
      <c r="N175" s="613" t="s">
        <v>464</v>
      </c>
      <c r="O175" s="613"/>
    </row>
    <row r="176" spans="12:16" x14ac:dyDescent="0.3">
      <c r="L176" s="613" t="s">
        <v>1285</v>
      </c>
      <c r="M176" s="613" t="s">
        <v>464</v>
      </c>
      <c r="N176" s="613" t="s">
        <v>464</v>
      </c>
      <c r="O176" s="613"/>
    </row>
    <row r="177" spans="12:16" x14ac:dyDescent="0.3">
      <c r="L177" s="613" t="s">
        <v>511</v>
      </c>
      <c r="M177" s="613" t="s">
        <v>464</v>
      </c>
      <c r="N177" s="613" t="s">
        <v>464</v>
      </c>
      <c r="O177" s="613"/>
    </row>
    <row r="178" spans="12:16" x14ac:dyDescent="0.3">
      <c r="L178" s="615" t="s">
        <v>512</v>
      </c>
      <c r="M178" s="615">
        <v>0.03</v>
      </c>
      <c r="N178" s="615">
        <v>0.05</v>
      </c>
      <c r="O178" s="613" t="s">
        <v>1532</v>
      </c>
      <c r="P178" s="622" t="s">
        <v>1528</v>
      </c>
    </row>
    <row r="179" spans="12:16" x14ac:dyDescent="0.3">
      <c r="L179" s="613" t="s">
        <v>1286</v>
      </c>
      <c r="M179" s="613" t="s">
        <v>464</v>
      </c>
      <c r="N179" s="613" t="s">
        <v>464</v>
      </c>
      <c r="O179" s="613"/>
    </row>
    <row r="180" spans="12:16" x14ac:dyDescent="0.3">
      <c r="L180" s="613" t="s">
        <v>1287</v>
      </c>
      <c r="M180" s="613" t="s">
        <v>464</v>
      </c>
      <c r="N180" s="613" t="s">
        <v>464</v>
      </c>
      <c r="O180" s="613"/>
    </row>
    <row r="181" spans="12:16" x14ac:dyDescent="0.3">
      <c r="L181" s="613" t="s">
        <v>1288</v>
      </c>
      <c r="M181" s="613" t="s">
        <v>464</v>
      </c>
      <c r="N181" s="613" t="s">
        <v>464</v>
      </c>
      <c r="O181" s="613"/>
    </row>
    <row r="182" spans="12:16" x14ac:dyDescent="0.3">
      <c r="L182" s="613" t="s">
        <v>1289</v>
      </c>
      <c r="M182" s="613" t="s">
        <v>464</v>
      </c>
      <c r="N182" s="613" t="s">
        <v>464</v>
      </c>
      <c r="O182" s="613"/>
    </row>
    <row r="183" spans="12:16" x14ac:dyDescent="0.3">
      <c r="L183" s="613" t="s">
        <v>1290</v>
      </c>
      <c r="M183" s="613" t="s">
        <v>464</v>
      </c>
      <c r="N183" s="613" t="s">
        <v>464</v>
      </c>
      <c r="O183" s="613"/>
    </row>
    <row r="184" spans="12:16" x14ac:dyDescent="0.3">
      <c r="L184" s="613" t="s">
        <v>390</v>
      </c>
      <c r="M184" s="613" t="s">
        <v>464</v>
      </c>
      <c r="N184" s="613" t="s">
        <v>464</v>
      </c>
      <c r="O184" s="613"/>
    </row>
    <row r="185" spans="12:16" x14ac:dyDescent="0.3">
      <c r="L185" s="616" t="s">
        <v>1291</v>
      </c>
      <c r="M185" s="616">
        <v>0.03</v>
      </c>
      <c r="N185" s="616" t="s">
        <v>464</v>
      </c>
      <c r="O185" s="613" t="s">
        <v>1527</v>
      </c>
    </row>
    <row r="186" spans="12:16" x14ac:dyDescent="0.3">
      <c r="L186" s="613" t="s">
        <v>1292</v>
      </c>
      <c r="M186" s="613" t="s">
        <v>464</v>
      </c>
      <c r="N186" s="613" t="s">
        <v>464</v>
      </c>
      <c r="O186" s="613"/>
    </row>
    <row r="187" spans="12:16" x14ac:dyDescent="0.3">
      <c r="L187" s="613" t="s">
        <v>831</v>
      </c>
      <c r="M187" s="613" t="s">
        <v>464</v>
      </c>
      <c r="N187" s="613" t="s">
        <v>464</v>
      </c>
      <c r="O187" s="613"/>
    </row>
    <row r="188" spans="12:16" x14ac:dyDescent="0.3">
      <c r="L188" s="613" t="s">
        <v>1293</v>
      </c>
      <c r="M188" s="613" t="s">
        <v>464</v>
      </c>
      <c r="N188" s="613" t="s">
        <v>464</v>
      </c>
      <c r="O188" s="613"/>
    </row>
    <row r="189" spans="12:16" x14ac:dyDescent="0.3">
      <c r="L189" s="613" t="s">
        <v>513</v>
      </c>
      <c r="M189" s="613" t="s">
        <v>464</v>
      </c>
      <c r="N189" s="613" t="s">
        <v>464</v>
      </c>
      <c r="O189" s="613"/>
    </row>
    <row r="190" spans="12:16" x14ac:dyDescent="0.3">
      <c r="L190" s="613" t="s">
        <v>1294</v>
      </c>
      <c r="M190" s="613" t="s">
        <v>464</v>
      </c>
      <c r="N190" s="613" t="s">
        <v>464</v>
      </c>
      <c r="O190" s="613"/>
    </row>
    <row r="191" spans="12:16" x14ac:dyDescent="0.3">
      <c r="L191" s="613" t="s">
        <v>514</v>
      </c>
      <c r="M191" s="613" t="s">
        <v>464</v>
      </c>
      <c r="N191" s="613" t="s">
        <v>464</v>
      </c>
      <c r="O191" s="613"/>
    </row>
    <row r="192" spans="12:16" x14ac:dyDescent="0.3">
      <c r="L192" s="613" t="s">
        <v>1295</v>
      </c>
      <c r="M192" s="613" t="s">
        <v>464</v>
      </c>
      <c r="N192" s="613" t="s">
        <v>464</v>
      </c>
      <c r="O192" s="613"/>
    </row>
    <row r="193" spans="12:16" x14ac:dyDescent="0.3">
      <c r="L193" s="613" t="s">
        <v>1134</v>
      </c>
      <c r="M193" s="613" t="s">
        <v>464</v>
      </c>
      <c r="N193" s="613" t="s">
        <v>464</v>
      </c>
      <c r="O193" s="613"/>
    </row>
    <row r="194" spans="12:16" x14ac:dyDescent="0.3">
      <c r="L194" s="613" t="s">
        <v>1296</v>
      </c>
      <c r="M194" s="613" t="s">
        <v>464</v>
      </c>
      <c r="N194" s="613" t="s">
        <v>464</v>
      </c>
      <c r="O194" s="613"/>
    </row>
    <row r="195" spans="12:16" x14ac:dyDescent="0.3">
      <c r="L195" s="616" t="s">
        <v>1297</v>
      </c>
      <c r="M195" s="616">
        <v>0.03</v>
      </c>
      <c r="N195" s="616" t="s">
        <v>464</v>
      </c>
      <c r="O195" s="613" t="s">
        <v>1527</v>
      </c>
    </row>
    <row r="196" spans="12:16" x14ac:dyDescent="0.3">
      <c r="L196" s="613" t="s">
        <v>1298</v>
      </c>
      <c r="M196" s="613" t="s">
        <v>464</v>
      </c>
      <c r="N196" s="613" t="s">
        <v>464</v>
      </c>
      <c r="O196" s="613"/>
    </row>
    <row r="197" spans="12:16" x14ac:dyDescent="0.3">
      <c r="L197" s="613" t="s">
        <v>1299</v>
      </c>
      <c r="M197" s="613" t="s">
        <v>464</v>
      </c>
      <c r="N197" s="613" t="s">
        <v>464</v>
      </c>
      <c r="O197" s="613"/>
    </row>
    <row r="198" spans="12:16" x14ac:dyDescent="0.3">
      <c r="L198" s="613" t="s">
        <v>832</v>
      </c>
      <c r="M198" s="613" t="s">
        <v>464</v>
      </c>
      <c r="N198" s="613" t="s">
        <v>464</v>
      </c>
      <c r="O198" s="613"/>
    </row>
    <row r="199" spans="12:16" x14ac:dyDescent="0.3">
      <c r="L199" s="613" t="s">
        <v>515</v>
      </c>
      <c r="M199" s="613" t="s">
        <v>464</v>
      </c>
      <c r="N199" s="613" t="s">
        <v>464</v>
      </c>
      <c r="O199" s="613"/>
    </row>
    <row r="200" spans="12:16" x14ac:dyDescent="0.3">
      <c r="L200" s="613" t="s">
        <v>396</v>
      </c>
      <c r="M200" s="613" t="s">
        <v>464</v>
      </c>
      <c r="N200" s="613" t="s">
        <v>464</v>
      </c>
      <c r="O200" s="613"/>
    </row>
    <row r="201" spans="12:16" x14ac:dyDescent="0.3">
      <c r="L201" s="615" t="s">
        <v>397</v>
      </c>
      <c r="M201" s="615">
        <v>0.03</v>
      </c>
      <c r="N201" s="615">
        <v>0.05</v>
      </c>
      <c r="O201" s="613" t="s">
        <v>1532</v>
      </c>
      <c r="P201" s="622" t="s">
        <v>1528</v>
      </c>
    </row>
    <row r="202" spans="12:16" x14ac:dyDescent="0.3">
      <c r="L202" s="613" t="s">
        <v>1300</v>
      </c>
      <c r="M202" s="613" t="s">
        <v>464</v>
      </c>
      <c r="N202" s="613" t="s">
        <v>464</v>
      </c>
      <c r="O202" s="613"/>
    </row>
    <row r="203" spans="12:16" x14ac:dyDescent="0.3">
      <c r="L203" s="613" t="s">
        <v>1301</v>
      </c>
      <c r="M203" s="613" t="s">
        <v>464</v>
      </c>
      <c r="N203" s="613" t="s">
        <v>464</v>
      </c>
      <c r="O203" s="613"/>
    </row>
    <row r="204" spans="12:16" x14ac:dyDescent="0.3">
      <c r="L204" s="613" t="s">
        <v>516</v>
      </c>
      <c r="M204" s="613" t="s">
        <v>464</v>
      </c>
      <c r="N204" s="613" t="s">
        <v>464</v>
      </c>
      <c r="O204" s="613"/>
    </row>
    <row r="205" spans="12:16" x14ac:dyDescent="0.3">
      <c r="L205" s="613" t="s">
        <v>517</v>
      </c>
      <c r="M205" s="613" t="s">
        <v>464</v>
      </c>
      <c r="N205" s="613" t="s">
        <v>464</v>
      </c>
      <c r="O205" s="613"/>
    </row>
    <row r="206" spans="12:16" x14ac:dyDescent="0.3">
      <c r="L206" s="615" t="s">
        <v>518</v>
      </c>
      <c r="M206" s="615">
        <v>0.03</v>
      </c>
      <c r="N206" s="615">
        <v>0.05</v>
      </c>
      <c r="O206" s="613" t="s">
        <v>1532</v>
      </c>
      <c r="P206" s="622" t="s">
        <v>1528</v>
      </c>
    </row>
    <row r="207" spans="12:16" x14ac:dyDescent="0.3">
      <c r="L207" s="613" t="s">
        <v>519</v>
      </c>
      <c r="M207" s="613" t="s">
        <v>464</v>
      </c>
      <c r="N207" s="613" t="s">
        <v>464</v>
      </c>
      <c r="O207" s="613"/>
    </row>
    <row r="208" spans="12:16" x14ac:dyDescent="0.3">
      <c r="L208" s="613" t="s">
        <v>1302</v>
      </c>
      <c r="M208" s="613" t="s">
        <v>464</v>
      </c>
      <c r="N208" s="613" t="s">
        <v>464</v>
      </c>
      <c r="O208" s="613"/>
    </row>
    <row r="209" spans="12:16" x14ac:dyDescent="0.3">
      <c r="L209" s="613" t="s">
        <v>1303</v>
      </c>
      <c r="M209" s="613" t="s">
        <v>464</v>
      </c>
      <c r="N209" s="613" t="s">
        <v>464</v>
      </c>
      <c r="O209" s="613"/>
    </row>
    <row r="210" spans="12:16" x14ac:dyDescent="0.3">
      <c r="L210" s="613" t="s">
        <v>1304</v>
      </c>
      <c r="M210" s="613" t="s">
        <v>464</v>
      </c>
      <c r="N210" s="613" t="s">
        <v>464</v>
      </c>
      <c r="O210" s="613"/>
    </row>
    <row r="211" spans="12:16" x14ac:dyDescent="0.3">
      <c r="L211" s="613" t="s">
        <v>1305</v>
      </c>
      <c r="M211" s="613" t="s">
        <v>464</v>
      </c>
      <c r="N211" s="613" t="s">
        <v>464</v>
      </c>
      <c r="O211" s="613"/>
    </row>
    <row r="212" spans="12:16" x14ac:dyDescent="0.3">
      <c r="L212" s="613" t="s">
        <v>833</v>
      </c>
      <c r="M212" s="613" t="s">
        <v>464</v>
      </c>
      <c r="N212" s="613" t="s">
        <v>464</v>
      </c>
      <c r="O212" s="613"/>
    </row>
    <row r="213" spans="12:16" x14ac:dyDescent="0.3">
      <c r="L213" s="613" t="s">
        <v>1306</v>
      </c>
      <c r="M213" s="613" t="s">
        <v>464</v>
      </c>
      <c r="N213" s="613" t="s">
        <v>464</v>
      </c>
      <c r="O213" s="613"/>
    </row>
    <row r="214" spans="12:16" x14ac:dyDescent="0.3">
      <c r="L214" s="613" t="s">
        <v>834</v>
      </c>
      <c r="M214" s="613" t="s">
        <v>464</v>
      </c>
      <c r="N214" s="613" t="s">
        <v>464</v>
      </c>
      <c r="O214" s="613"/>
    </row>
    <row r="215" spans="12:16" x14ac:dyDescent="0.3">
      <c r="L215" s="613" t="s">
        <v>1307</v>
      </c>
      <c r="M215" s="613" t="s">
        <v>464</v>
      </c>
      <c r="N215" s="613" t="s">
        <v>464</v>
      </c>
      <c r="O215" s="613"/>
    </row>
    <row r="216" spans="12:16" x14ac:dyDescent="0.3">
      <c r="L216" s="613" t="s">
        <v>1308</v>
      </c>
      <c r="M216" s="613" t="s">
        <v>464</v>
      </c>
      <c r="N216" s="613" t="s">
        <v>464</v>
      </c>
      <c r="O216" s="613"/>
    </row>
    <row r="217" spans="12:16" x14ac:dyDescent="0.3">
      <c r="L217" s="613" t="s">
        <v>391</v>
      </c>
      <c r="M217" s="613" t="s">
        <v>464</v>
      </c>
      <c r="N217" s="613" t="s">
        <v>464</v>
      </c>
      <c r="O217" s="613"/>
    </row>
    <row r="218" spans="12:16" x14ac:dyDescent="0.3">
      <c r="L218" s="613" t="s">
        <v>1309</v>
      </c>
      <c r="M218" s="613" t="s">
        <v>464</v>
      </c>
      <c r="N218" s="613" t="s">
        <v>464</v>
      </c>
      <c r="O218" s="613"/>
    </row>
    <row r="219" spans="12:16" x14ac:dyDescent="0.3">
      <c r="L219" s="615" t="s">
        <v>835</v>
      </c>
      <c r="M219" s="615">
        <v>0.03</v>
      </c>
      <c r="N219" s="615">
        <v>0.05</v>
      </c>
      <c r="O219" s="613" t="s">
        <v>1532</v>
      </c>
      <c r="P219" s="622" t="s">
        <v>1528</v>
      </c>
    </row>
    <row r="220" spans="12:16" x14ac:dyDescent="0.3">
      <c r="L220" s="613" t="s">
        <v>1310</v>
      </c>
      <c r="M220" s="613" t="s">
        <v>464</v>
      </c>
      <c r="N220" s="613" t="s">
        <v>464</v>
      </c>
      <c r="O220" s="613"/>
    </row>
    <row r="221" spans="12:16" x14ac:dyDescent="0.3">
      <c r="L221" s="616" t="s">
        <v>398</v>
      </c>
      <c r="M221" s="616" t="s">
        <v>464</v>
      </c>
      <c r="N221" s="616" t="s">
        <v>464</v>
      </c>
      <c r="O221" s="613" t="s">
        <v>1527</v>
      </c>
    </row>
    <row r="222" spans="12:16" x14ac:dyDescent="0.3">
      <c r="L222" s="613" t="s">
        <v>1311</v>
      </c>
      <c r="M222" s="613" t="s">
        <v>464</v>
      </c>
      <c r="N222" s="613" t="s">
        <v>464</v>
      </c>
      <c r="O222" s="613"/>
    </row>
    <row r="223" spans="12:16" x14ac:dyDescent="0.3">
      <c r="L223" s="613" t="s">
        <v>1312</v>
      </c>
      <c r="M223" s="613" t="s">
        <v>464</v>
      </c>
      <c r="N223" s="613" t="s">
        <v>464</v>
      </c>
      <c r="O223" s="613" t="s">
        <v>1626</v>
      </c>
    </row>
    <row r="224" spans="12:16" x14ac:dyDescent="0.3">
      <c r="L224" s="613" t="s">
        <v>1313</v>
      </c>
      <c r="M224" s="613" t="s">
        <v>464</v>
      </c>
      <c r="N224" s="613" t="s">
        <v>464</v>
      </c>
      <c r="O224" s="613"/>
    </row>
    <row r="225" spans="12:16" x14ac:dyDescent="0.3">
      <c r="L225" s="613" t="s">
        <v>1314</v>
      </c>
      <c r="M225" s="613" t="s">
        <v>464</v>
      </c>
      <c r="N225" s="613" t="s">
        <v>464</v>
      </c>
      <c r="O225" s="613"/>
    </row>
    <row r="226" spans="12:16" x14ac:dyDescent="0.3">
      <c r="L226" s="615" t="s">
        <v>1315</v>
      </c>
      <c r="M226" s="615">
        <v>0.03</v>
      </c>
      <c r="N226" s="615">
        <v>0.05</v>
      </c>
      <c r="O226" s="613" t="s">
        <v>1532</v>
      </c>
      <c r="P226" s="622" t="s">
        <v>1528</v>
      </c>
    </row>
    <row r="227" spans="12:16" x14ac:dyDescent="0.3">
      <c r="L227" s="613" t="s">
        <v>520</v>
      </c>
      <c r="M227" s="613" t="s">
        <v>464</v>
      </c>
      <c r="N227" s="613" t="s">
        <v>464</v>
      </c>
      <c r="O227" s="613"/>
    </row>
    <row r="228" spans="12:16" x14ac:dyDescent="0.3">
      <c r="L228" s="613" t="s">
        <v>1316</v>
      </c>
      <c r="M228" s="613" t="s">
        <v>464</v>
      </c>
      <c r="N228" s="613" t="s">
        <v>464</v>
      </c>
      <c r="O228" s="613"/>
    </row>
    <row r="229" spans="12:16" x14ac:dyDescent="0.3">
      <c r="L229" s="613" t="s">
        <v>521</v>
      </c>
      <c r="M229" s="613" t="s">
        <v>464</v>
      </c>
      <c r="N229" s="613" t="s">
        <v>464</v>
      </c>
      <c r="O229" s="613"/>
    </row>
    <row r="230" spans="12:16" x14ac:dyDescent="0.3">
      <c r="L230" s="613" t="s">
        <v>1317</v>
      </c>
      <c r="M230" s="613" t="s">
        <v>464</v>
      </c>
      <c r="N230" s="613" t="s">
        <v>464</v>
      </c>
      <c r="O230" s="613"/>
    </row>
    <row r="231" spans="12:16" x14ac:dyDescent="0.3">
      <c r="L231" s="615" t="s">
        <v>522</v>
      </c>
      <c r="M231" s="615">
        <v>0.03</v>
      </c>
      <c r="N231" s="615">
        <v>0.05</v>
      </c>
      <c r="O231" s="613" t="s">
        <v>1532</v>
      </c>
      <c r="P231" s="622" t="s">
        <v>1528</v>
      </c>
    </row>
    <row r="232" spans="12:16" x14ac:dyDescent="0.3">
      <c r="L232" s="613" t="s">
        <v>1318</v>
      </c>
      <c r="M232" s="613" t="s">
        <v>464</v>
      </c>
      <c r="N232" s="613" t="s">
        <v>464</v>
      </c>
      <c r="O232" s="613"/>
    </row>
    <row r="233" spans="12:16" x14ac:dyDescent="0.3">
      <c r="L233" s="613" t="s">
        <v>1319</v>
      </c>
      <c r="M233" s="613" t="s">
        <v>464</v>
      </c>
      <c r="N233" s="613" t="s">
        <v>464</v>
      </c>
      <c r="O233" s="613"/>
    </row>
    <row r="234" spans="12:16" x14ac:dyDescent="0.3">
      <c r="L234" s="613" t="s">
        <v>1135</v>
      </c>
      <c r="M234" s="613" t="s">
        <v>464</v>
      </c>
      <c r="N234" s="613" t="s">
        <v>464</v>
      </c>
      <c r="O234" s="613"/>
    </row>
    <row r="235" spans="12:16" x14ac:dyDescent="0.3">
      <c r="L235" s="616" t="s">
        <v>1320</v>
      </c>
      <c r="M235" s="616" t="s">
        <v>464</v>
      </c>
      <c r="N235" s="616" t="s">
        <v>464</v>
      </c>
      <c r="O235" s="613" t="s">
        <v>1527</v>
      </c>
    </row>
    <row r="236" spans="12:16" x14ac:dyDescent="0.3">
      <c r="L236" s="613" t="s">
        <v>436</v>
      </c>
      <c r="M236" s="613" t="s">
        <v>464</v>
      </c>
      <c r="N236" s="613" t="s">
        <v>464</v>
      </c>
      <c r="O236" s="613"/>
    </row>
    <row r="237" spans="12:16" x14ac:dyDescent="0.3">
      <c r="L237" s="613" t="s">
        <v>1321</v>
      </c>
      <c r="M237" s="613" t="s">
        <v>464</v>
      </c>
      <c r="N237" s="613" t="s">
        <v>464</v>
      </c>
      <c r="O237" s="613"/>
    </row>
    <row r="238" spans="12:16" x14ac:dyDescent="0.3">
      <c r="L238" s="613" t="s">
        <v>437</v>
      </c>
      <c r="M238" s="613" t="s">
        <v>464</v>
      </c>
      <c r="N238" s="613" t="s">
        <v>464</v>
      </c>
      <c r="O238" s="613"/>
    </row>
    <row r="239" spans="12:16" x14ac:dyDescent="0.3">
      <c r="L239" s="613" t="s">
        <v>1322</v>
      </c>
      <c r="M239" s="613" t="s">
        <v>464</v>
      </c>
      <c r="N239" s="613" t="s">
        <v>464</v>
      </c>
      <c r="O239" s="613"/>
    </row>
    <row r="240" spans="12:16" x14ac:dyDescent="0.3">
      <c r="L240" s="613" t="s">
        <v>1323</v>
      </c>
      <c r="M240" s="613" t="s">
        <v>464</v>
      </c>
      <c r="N240" s="613" t="s">
        <v>464</v>
      </c>
      <c r="O240" s="613"/>
    </row>
    <row r="241" spans="12:16" x14ac:dyDescent="0.3">
      <c r="L241" s="613" t="s">
        <v>1324</v>
      </c>
      <c r="M241" s="613" t="s">
        <v>464</v>
      </c>
      <c r="N241" s="613" t="s">
        <v>464</v>
      </c>
      <c r="O241" s="613"/>
    </row>
    <row r="242" spans="12:16" x14ac:dyDescent="0.3">
      <c r="L242" s="613" t="s">
        <v>1325</v>
      </c>
      <c r="M242" s="613" t="s">
        <v>464</v>
      </c>
      <c r="N242" s="613" t="s">
        <v>464</v>
      </c>
      <c r="O242" s="613"/>
    </row>
    <row r="243" spans="12:16" x14ac:dyDescent="0.3">
      <c r="L243" s="613" t="s">
        <v>1326</v>
      </c>
      <c r="M243" s="613" t="s">
        <v>464</v>
      </c>
      <c r="N243" s="613" t="s">
        <v>464</v>
      </c>
      <c r="O243" s="613"/>
    </row>
    <row r="244" spans="12:16" x14ac:dyDescent="0.3">
      <c r="L244" s="613" t="s">
        <v>1327</v>
      </c>
      <c r="M244" s="613" t="s">
        <v>464</v>
      </c>
      <c r="N244" s="613" t="s">
        <v>464</v>
      </c>
      <c r="O244" s="613"/>
    </row>
    <row r="245" spans="12:16" x14ac:dyDescent="0.3">
      <c r="L245" s="613" t="s">
        <v>1328</v>
      </c>
      <c r="M245" s="613" t="s">
        <v>464</v>
      </c>
      <c r="N245" s="613" t="s">
        <v>464</v>
      </c>
      <c r="O245" s="613"/>
    </row>
    <row r="246" spans="12:16" x14ac:dyDescent="0.3">
      <c r="L246" s="613" t="s">
        <v>1329</v>
      </c>
      <c r="M246" s="613" t="s">
        <v>464</v>
      </c>
      <c r="N246" s="613" t="s">
        <v>464</v>
      </c>
      <c r="O246" s="613"/>
    </row>
    <row r="247" spans="12:16" x14ac:dyDescent="0.3">
      <c r="L247" s="613" t="s">
        <v>1330</v>
      </c>
      <c r="M247" s="613" t="s">
        <v>464</v>
      </c>
      <c r="N247" s="613" t="s">
        <v>464</v>
      </c>
      <c r="O247" s="613"/>
    </row>
    <row r="248" spans="12:16" x14ac:dyDescent="0.3">
      <c r="L248" s="613" t="s">
        <v>1331</v>
      </c>
      <c r="M248" s="613" t="s">
        <v>464</v>
      </c>
      <c r="N248" s="613" t="s">
        <v>464</v>
      </c>
      <c r="O248" s="613"/>
    </row>
    <row r="249" spans="12:16" x14ac:dyDescent="0.3">
      <c r="L249" s="613" t="s">
        <v>1332</v>
      </c>
      <c r="M249" s="613" t="s">
        <v>464</v>
      </c>
      <c r="N249" s="613" t="s">
        <v>464</v>
      </c>
      <c r="O249" s="613"/>
    </row>
    <row r="250" spans="12:16" x14ac:dyDescent="0.3">
      <c r="L250" s="613" t="s">
        <v>1333</v>
      </c>
      <c r="M250" s="613" t="s">
        <v>464</v>
      </c>
      <c r="N250" s="613" t="s">
        <v>464</v>
      </c>
      <c r="O250" s="613"/>
    </row>
    <row r="251" spans="12:16" x14ac:dyDescent="0.3">
      <c r="L251" s="613" t="s">
        <v>1334</v>
      </c>
      <c r="M251" s="613" t="s">
        <v>464</v>
      </c>
      <c r="N251" s="613" t="s">
        <v>464</v>
      </c>
      <c r="O251" s="613" t="s">
        <v>1626</v>
      </c>
    </row>
    <row r="252" spans="12:16" x14ac:dyDescent="0.3">
      <c r="L252" s="613" t="s">
        <v>438</v>
      </c>
      <c r="M252" s="613" t="s">
        <v>464</v>
      </c>
      <c r="N252" s="613" t="s">
        <v>464</v>
      </c>
      <c r="O252" s="613"/>
    </row>
    <row r="253" spans="12:16" x14ac:dyDescent="0.3">
      <c r="L253" s="615" t="s">
        <v>1335</v>
      </c>
      <c r="M253" s="615">
        <v>0.03</v>
      </c>
      <c r="N253" s="615">
        <v>0.05</v>
      </c>
      <c r="O253" s="613" t="s">
        <v>1532</v>
      </c>
      <c r="P253" s="622" t="s">
        <v>1528</v>
      </c>
    </row>
    <row r="254" spans="12:16" x14ac:dyDescent="0.3">
      <c r="L254" s="613" t="s">
        <v>1336</v>
      </c>
      <c r="M254" s="613" t="s">
        <v>464</v>
      </c>
      <c r="N254" s="613" t="s">
        <v>464</v>
      </c>
      <c r="O254" s="613"/>
    </row>
    <row r="255" spans="12:16" x14ac:dyDescent="0.3">
      <c r="L255" s="613" t="s">
        <v>1337</v>
      </c>
      <c r="M255" s="613" t="s">
        <v>464</v>
      </c>
      <c r="N255" s="613" t="s">
        <v>464</v>
      </c>
      <c r="O255" s="613"/>
    </row>
    <row r="256" spans="12:16" x14ac:dyDescent="0.3">
      <c r="L256" s="613" t="s">
        <v>1338</v>
      </c>
      <c r="M256" s="613" t="s">
        <v>464</v>
      </c>
      <c r="N256" s="613" t="s">
        <v>464</v>
      </c>
      <c r="O256" s="613"/>
    </row>
    <row r="257" spans="12:16" x14ac:dyDescent="0.3">
      <c r="L257" s="613" t="s">
        <v>1339</v>
      </c>
      <c r="M257" s="613" t="s">
        <v>464</v>
      </c>
      <c r="N257" s="613" t="s">
        <v>464</v>
      </c>
      <c r="O257" s="613"/>
    </row>
    <row r="258" spans="12:16" x14ac:dyDescent="0.3">
      <c r="L258" s="615" t="s">
        <v>1340</v>
      </c>
      <c r="M258" s="615">
        <v>0.03</v>
      </c>
      <c r="N258" s="615">
        <v>0.05</v>
      </c>
      <c r="O258" s="613" t="s">
        <v>1532</v>
      </c>
      <c r="P258" s="622" t="s">
        <v>1528</v>
      </c>
    </row>
    <row r="259" spans="12:16" x14ac:dyDescent="0.3">
      <c r="L259" s="613" t="s">
        <v>1341</v>
      </c>
      <c r="M259" s="613" t="s">
        <v>464</v>
      </c>
      <c r="N259" s="613" t="s">
        <v>464</v>
      </c>
      <c r="O259" s="613"/>
    </row>
    <row r="260" spans="12:16" x14ac:dyDescent="0.3">
      <c r="L260" s="613" t="s">
        <v>1342</v>
      </c>
      <c r="M260" s="613" t="s">
        <v>464</v>
      </c>
      <c r="N260" s="613" t="s">
        <v>464</v>
      </c>
      <c r="O260" s="613"/>
    </row>
    <row r="261" spans="12:16" x14ac:dyDescent="0.3">
      <c r="L261" s="613" t="s">
        <v>1343</v>
      </c>
      <c r="M261" s="613" t="s">
        <v>464</v>
      </c>
      <c r="N261" s="613" t="s">
        <v>464</v>
      </c>
      <c r="O261" s="613"/>
    </row>
    <row r="262" spans="12:16" x14ac:dyDescent="0.3">
      <c r="L262" s="613" t="s">
        <v>1344</v>
      </c>
      <c r="M262" s="613" t="s">
        <v>464</v>
      </c>
      <c r="N262" s="613" t="s">
        <v>464</v>
      </c>
      <c r="O262" s="613"/>
    </row>
    <row r="263" spans="12:16" x14ac:dyDescent="0.3">
      <c r="L263" s="616" t="s">
        <v>1345</v>
      </c>
      <c r="M263" s="616" t="s">
        <v>464</v>
      </c>
      <c r="N263" s="616" t="s">
        <v>464</v>
      </c>
      <c r="O263" s="613" t="s">
        <v>1527</v>
      </c>
    </row>
    <row r="264" spans="12:16" x14ac:dyDescent="0.3">
      <c r="L264" s="613" t="s">
        <v>1346</v>
      </c>
      <c r="M264" s="613" t="s">
        <v>464</v>
      </c>
      <c r="N264" s="613" t="s">
        <v>464</v>
      </c>
      <c r="O264" s="613"/>
    </row>
    <row r="265" spans="12:16" x14ac:dyDescent="0.3">
      <c r="L265" s="613" t="s">
        <v>1347</v>
      </c>
      <c r="M265" s="613" t="s">
        <v>464</v>
      </c>
      <c r="N265" s="613" t="s">
        <v>464</v>
      </c>
      <c r="O265" s="613"/>
    </row>
    <row r="266" spans="12:16" x14ac:dyDescent="0.3">
      <c r="L266" s="613" t="s">
        <v>1348</v>
      </c>
      <c r="M266" s="613" t="s">
        <v>464</v>
      </c>
      <c r="N266" s="613" t="s">
        <v>464</v>
      </c>
      <c r="O266" s="613"/>
    </row>
    <row r="267" spans="12:16" x14ac:dyDescent="0.3">
      <c r="L267" s="613" t="s">
        <v>1349</v>
      </c>
      <c r="M267" s="613" t="s">
        <v>464</v>
      </c>
      <c r="N267" s="613" t="s">
        <v>464</v>
      </c>
      <c r="O267" s="613"/>
    </row>
    <row r="268" spans="12:16" x14ac:dyDescent="0.3">
      <c r="L268" s="615" t="s">
        <v>1350</v>
      </c>
      <c r="M268" s="615">
        <v>0.03</v>
      </c>
      <c r="N268" s="615">
        <v>0.05</v>
      </c>
      <c r="O268" s="613" t="s">
        <v>1532</v>
      </c>
      <c r="P268" s="622" t="s">
        <v>1528</v>
      </c>
    </row>
    <row r="269" spans="12:16" x14ac:dyDescent="0.3">
      <c r="L269" s="613" t="s">
        <v>1351</v>
      </c>
      <c r="M269" s="613" t="s">
        <v>464</v>
      </c>
      <c r="N269" s="613" t="s">
        <v>464</v>
      </c>
      <c r="O269" s="613"/>
    </row>
    <row r="270" spans="12:16" x14ac:dyDescent="0.3">
      <c r="L270" s="613" t="s">
        <v>1352</v>
      </c>
      <c r="M270" s="613" t="s">
        <v>464</v>
      </c>
      <c r="N270" s="613" t="s">
        <v>464</v>
      </c>
      <c r="O270" s="613"/>
    </row>
    <row r="271" spans="12:16" x14ac:dyDescent="0.3">
      <c r="L271" s="613" t="s">
        <v>1353</v>
      </c>
      <c r="M271" s="613" t="s">
        <v>464</v>
      </c>
      <c r="N271" s="613" t="s">
        <v>464</v>
      </c>
      <c r="O271" s="613"/>
    </row>
    <row r="272" spans="12:16" x14ac:dyDescent="0.3">
      <c r="L272" s="613" t="s">
        <v>1354</v>
      </c>
      <c r="M272" s="613" t="s">
        <v>464</v>
      </c>
      <c r="N272" s="613" t="s">
        <v>464</v>
      </c>
      <c r="O272" s="613"/>
    </row>
    <row r="273" spans="12:16" x14ac:dyDescent="0.3">
      <c r="L273" s="613" t="s">
        <v>1355</v>
      </c>
      <c r="M273" s="613" t="s">
        <v>464</v>
      </c>
      <c r="N273" s="613" t="s">
        <v>464</v>
      </c>
      <c r="O273" s="613"/>
    </row>
    <row r="274" spans="12:16" x14ac:dyDescent="0.3">
      <c r="L274" s="613" t="s">
        <v>1356</v>
      </c>
      <c r="M274" s="613" t="s">
        <v>464</v>
      </c>
      <c r="N274" s="613" t="s">
        <v>464</v>
      </c>
      <c r="O274" s="613"/>
    </row>
    <row r="275" spans="12:16" x14ac:dyDescent="0.3">
      <c r="L275" s="616" t="s">
        <v>1357</v>
      </c>
      <c r="M275" s="616">
        <v>0.03</v>
      </c>
      <c r="N275" s="616">
        <v>0.03</v>
      </c>
      <c r="O275" s="613" t="s">
        <v>1527</v>
      </c>
    </row>
    <row r="276" spans="12:16" x14ac:dyDescent="0.3">
      <c r="L276" s="613" t="s">
        <v>1358</v>
      </c>
      <c r="M276" s="613" t="s">
        <v>464</v>
      </c>
      <c r="N276" s="613" t="s">
        <v>464</v>
      </c>
      <c r="O276" s="613"/>
    </row>
    <row r="277" spans="12:16" x14ac:dyDescent="0.3">
      <c r="L277" s="613" t="s">
        <v>1359</v>
      </c>
      <c r="M277" s="613" t="s">
        <v>464</v>
      </c>
      <c r="N277" s="613" t="s">
        <v>464</v>
      </c>
      <c r="O277" s="613"/>
    </row>
    <row r="278" spans="12:16" x14ac:dyDescent="0.3">
      <c r="L278" s="613" t="s">
        <v>1360</v>
      </c>
      <c r="M278" s="613" t="s">
        <v>464</v>
      </c>
      <c r="N278" s="613" t="s">
        <v>464</v>
      </c>
      <c r="O278" s="613"/>
    </row>
    <row r="279" spans="12:16" x14ac:dyDescent="0.3">
      <c r="L279" s="616" t="s">
        <v>1361</v>
      </c>
      <c r="M279" s="616" t="s">
        <v>464</v>
      </c>
      <c r="N279" s="616" t="s">
        <v>464</v>
      </c>
      <c r="O279" s="613" t="s">
        <v>1527</v>
      </c>
    </row>
    <row r="280" spans="12:16" x14ac:dyDescent="0.3">
      <c r="L280" s="613" t="s">
        <v>1362</v>
      </c>
      <c r="M280" s="613" t="s">
        <v>464</v>
      </c>
      <c r="N280" s="613" t="s">
        <v>464</v>
      </c>
      <c r="O280" s="613"/>
    </row>
    <row r="281" spans="12:16" x14ac:dyDescent="0.3">
      <c r="L281" s="613" t="s">
        <v>1363</v>
      </c>
      <c r="M281" s="613" t="s">
        <v>464</v>
      </c>
      <c r="N281" s="613" t="s">
        <v>464</v>
      </c>
      <c r="O281" s="613"/>
    </row>
    <row r="282" spans="12:16" x14ac:dyDescent="0.3">
      <c r="L282" s="613" t="s">
        <v>1364</v>
      </c>
      <c r="M282" s="613" t="s">
        <v>464</v>
      </c>
      <c r="N282" s="613" t="s">
        <v>464</v>
      </c>
      <c r="O282" s="613"/>
    </row>
    <row r="283" spans="12:16" x14ac:dyDescent="0.3">
      <c r="L283" s="613" t="s">
        <v>1365</v>
      </c>
      <c r="M283" s="613" t="s">
        <v>464</v>
      </c>
      <c r="N283" s="613" t="s">
        <v>464</v>
      </c>
      <c r="O283" s="613"/>
    </row>
    <row r="284" spans="12:16" x14ac:dyDescent="0.3">
      <c r="L284" s="615" t="s">
        <v>1366</v>
      </c>
      <c r="M284" s="615">
        <v>0.03</v>
      </c>
      <c r="N284" s="615">
        <v>0.05</v>
      </c>
      <c r="O284" s="613" t="s">
        <v>1532</v>
      </c>
      <c r="P284" s="622" t="s">
        <v>1528</v>
      </c>
    </row>
    <row r="285" spans="12:16" x14ac:dyDescent="0.3">
      <c r="L285" s="613" t="s">
        <v>439</v>
      </c>
      <c r="M285" s="613" t="s">
        <v>464</v>
      </c>
      <c r="N285" s="613" t="s">
        <v>464</v>
      </c>
      <c r="O285" s="613"/>
    </row>
    <row r="286" spans="12:16" x14ac:dyDescent="0.3">
      <c r="L286" s="613" t="s">
        <v>1367</v>
      </c>
      <c r="M286" s="613" t="s">
        <v>464</v>
      </c>
      <c r="N286" s="613" t="s">
        <v>464</v>
      </c>
      <c r="O286" s="613" t="s">
        <v>1626</v>
      </c>
    </row>
    <row r="287" spans="12:16" x14ac:dyDescent="0.3">
      <c r="L287" s="613" t="s">
        <v>440</v>
      </c>
      <c r="M287" s="613" t="s">
        <v>464</v>
      </c>
      <c r="N287" s="613" t="s">
        <v>464</v>
      </c>
      <c r="O287" s="613"/>
    </row>
    <row r="288" spans="12:16" x14ac:dyDescent="0.3">
      <c r="L288" s="613" t="s">
        <v>1368</v>
      </c>
      <c r="M288" s="613" t="s">
        <v>464</v>
      </c>
      <c r="N288" s="613" t="s">
        <v>464</v>
      </c>
      <c r="O288" s="613"/>
    </row>
    <row r="289" spans="12:16" x14ac:dyDescent="0.3">
      <c r="L289" s="615" t="s">
        <v>441</v>
      </c>
      <c r="M289" s="615">
        <v>0.03</v>
      </c>
      <c r="N289" s="615">
        <v>0.05</v>
      </c>
      <c r="O289" s="613" t="s">
        <v>1532</v>
      </c>
      <c r="P289" s="622" t="s">
        <v>1528</v>
      </c>
    </row>
    <row r="290" spans="12:16" x14ac:dyDescent="0.3">
      <c r="L290" s="613" t="s">
        <v>442</v>
      </c>
      <c r="M290" s="613" t="s">
        <v>464</v>
      </c>
      <c r="N290" s="613" t="s">
        <v>464</v>
      </c>
      <c r="O290" s="613" t="s">
        <v>1626</v>
      </c>
    </row>
    <row r="291" spans="12:16" x14ac:dyDescent="0.3">
      <c r="L291" s="613" t="s">
        <v>392</v>
      </c>
      <c r="M291" s="613" t="s">
        <v>464</v>
      </c>
      <c r="N291" s="613" t="s">
        <v>464</v>
      </c>
      <c r="O291" s="613"/>
    </row>
    <row r="292" spans="12:16" x14ac:dyDescent="0.3">
      <c r="L292" s="613" t="s">
        <v>1369</v>
      </c>
      <c r="M292" s="613" t="s">
        <v>464</v>
      </c>
      <c r="N292" s="613" t="s">
        <v>464</v>
      </c>
      <c r="O292" s="613"/>
    </row>
    <row r="293" spans="12:16" x14ac:dyDescent="0.3">
      <c r="L293" s="613" t="s">
        <v>1370</v>
      </c>
      <c r="M293" s="613" t="s">
        <v>464</v>
      </c>
      <c r="N293" s="613" t="s">
        <v>464</v>
      </c>
      <c r="O293" s="613"/>
    </row>
    <row r="294" spans="12:16" x14ac:dyDescent="0.3">
      <c r="L294" s="613" t="s">
        <v>443</v>
      </c>
      <c r="M294" s="613" t="s">
        <v>464</v>
      </c>
      <c r="N294" s="613" t="s">
        <v>464</v>
      </c>
      <c r="O294" s="613"/>
    </row>
    <row r="295" spans="12:16" x14ac:dyDescent="0.3">
      <c r="L295" s="616" t="s">
        <v>1371</v>
      </c>
      <c r="M295" s="616">
        <v>0.03</v>
      </c>
      <c r="N295" s="616" t="s">
        <v>464</v>
      </c>
      <c r="O295" s="613" t="s">
        <v>1527</v>
      </c>
    </row>
    <row r="296" spans="12:16" x14ac:dyDescent="0.3">
      <c r="L296" s="613" t="s">
        <v>1372</v>
      </c>
      <c r="M296" s="613" t="s">
        <v>464</v>
      </c>
      <c r="N296" s="613" t="s">
        <v>464</v>
      </c>
      <c r="O296" s="613"/>
    </row>
    <row r="297" spans="12:16" x14ac:dyDescent="0.3">
      <c r="L297" s="613" t="s">
        <v>1373</v>
      </c>
      <c r="M297" s="613" t="s">
        <v>464</v>
      </c>
      <c r="N297" s="613" t="s">
        <v>464</v>
      </c>
      <c r="O297" s="613"/>
    </row>
    <row r="298" spans="12:16" x14ac:dyDescent="0.3">
      <c r="L298" s="613" t="s">
        <v>1374</v>
      </c>
      <c r="M298" s="613" t="s">
        <v>464</v>
      </c>
      <c r="N298" s="613" t="s">
        <v>464</v>
      </c>
      <c r="O298" s="613"/>
    </row>
    <row r="299" spans="12:16" x14ac:dyDescent="0.3">
      <c r="L299" s="613" t="s">
        <v>1375</v>
      </c>
      <c r="M299" s="613" t="s">
        <v>464</v>
      </c>
      <c r="N299" s="613" t="s">
        <v>464</v>
      </c>
      <c r="O299" s="613"/>
    </row>
    <row r="300" spans="12:16" x14ac:dyDescent="0.3">
      <c r="L300" s="613" t="s">
        <v>1376</v>
      </c>
      <c r="M300" s="613" t="s">
        <v>464</v>
      </c>
      <c r="N300" s="613" t="s">
        <v>464</v>
      </c>
      <c r="O300" s="613"/>
    </row>
    <row r="301" spans="12:16" x14ac:dyDescent="0.3">
      <c r="L301" s="613" t="s">
        <v>1377</v>
      </c>
      <c r="M301" s="613" t="s">
        <v>464</v>
      </c>
      <c r="N301" s="613" t="s">
        <v>464</v>
      </c>
      <c r="O301" s="613"/>
    </row>
    <row r="302" spans="12:16" x14ac:dyDescent="0.3">
      <c r="L302" s="613" t="s">
        <v>1378</v>
      </c>
      <c r="M302" s="613" t="s">
        <v>464</v>
      </c>
      <c r="N302" s="613" t="s">
        <v>464</v>
      </c>
      <c r="O302" s="613"/>
    </row>
    <row r="303" spans="12:16" x14ac:dyDescent="0.3">
      <c r="L303" s="613" t="s">
        <v>1379</v>
      </c>
      <c r="M303" s="613" t="s">
        <v>464</v>
      </c>
      <c r="N303" s="613" t="s">
        <v>464</v>
      </c>
      <c r="O303" s="613"/>
    </row>
    <row r="304" spans="12:16" x14ac:dyDescent="0.3">
      <c r="L304" s="613" t="s">
        <v>1380</v>
      </c>
      <c r="M304" s="613" t="s">
        <v>464</v>
      </c>
      <c r="N304" s="613" t="s">
        <v>464</v>
      </c>
      <c r="O304" s="613"/>
    </row>
    <row r="305" spans="12:15" x14ac:dyDescent="0.3">
      <c r="L305" s="613" t="s">
        <v>1381</v>
      </c>
      <c r="M305" s="613" t="s">
        <v>464</v>
      </c>
      <c r="N305" s="613" t="s">
        <v>464</v>
      </c>
      <c r="O305" s="613"/>
    </row>
    <row r="306" spans="12:15" x14ac:dyDescent="0.3">
      <c r="L306" s="613" t="s">
        <v>444</v>
      </c>
      <c r="M306" s="613" t="s">
        <v>464</v>
      </c>
      <c r="N306" s="613" t="s">
        <v>464</v>
      </c>
      <c r="O306" s="613"/>
    </row>
    <row r="307" spans="12:15" x14ac:dyDescent="0.3">
      <c r="L307" s="613" t="s">
        <v>1382</v>
      </c>
      <c r="M307" s="613" t="s">
        <v>464</v>
      </c>
      <c r="N307" s="613" t="s">
        <v>464</v>
      </c>
      <c r="O307" s="613"/>
    </row>
    <row r="308" spans="12:15" x14ac:dyDescent="0.3">
      <c r="L308" s="613" t="s">
        <v>1383</v>
      </c>
      <c r="M308" s="613" t="s">
        <v>464</v>
      </c>
      <c r="N308" s="613" t="s">
        <v>464</v>
      </c>
      <c r="O308" s="613"/>
    </row>
    <row r="309" spans="12:15" x14ac:dyDescent="0.3">
      <c r="L309" s="613" t="s">
        <v>1384</v>
      </c>
      <c r="M309" s="613" t="s">
        <v>464</v>
      </c>
      <c r="N309" s="613" t="s">
        <v>464</v>
      </c>
      <c r="O309" s="613"/>
    </row>
    <row r="310" spans="12:15" x14ac:dyDescent="0.3">
      <c r="L310" s="613" t="s">
        <v>1385</v>
      </c>
      <c r="M310" s="613" t="s">
        <v>464</v>
      </c>
      <c r="N310" s="613" t="s">
        <v>464</v>
      </c>
      <c r="O310" s="613"/>
    </row>
    <row r="311" spans="12:15" x14ac:dyDescent="0.3">
      <c r="L311" s="613" t="s">
        <v>1386</v>
      </c>
      <c r="M311" s="613" t="s">
        <v>464</v>
      </c>
      <c r="N311" s="613" t="s">
        <v>464</v>
      </c>
      <c r="O311" s="613"/>
    </row>
    <row r="312" spans="12:15" x14ac:dyDescent="0.3">
      <c r="L312" s="613" t="s">
        <v>836</v>
      </c>
      <c r="M312" s="613" t="s">
        <v>464</v>
      </c>
      <c r="N312" s="613" t="s">
        <v>464</v>
      </c>
      <c r="O312" s="613"/>
    </row>
    <row r="313" spans="12:15" x14ac:dyDescent="0.3">
      <c r="L313" s="613" t="s">
        <v>837</v>
      </c>
      <c r="M313" s="613" t="s">
        <v>464</v>
      </c>
      <c r="N313" s="613" t="s">
        <v>464</v>
      </c>
      <c r="O313" s="613"/>
    </row>
    <row r="314" spans="12:15" x14ac:dyDescent="0.3">
      <c r="L314" s="613" t="s">
        <v>1387</v>
      </c>
      <c r="M314" s="613" t="s">
        <v>464</v>
      </c>
      <c r="N314" s="613" t="s">
        <v>464</v>
      </c>
      <c r="O314" s="613"/>
    </row>
    <row r="315" spans="12:15" x14ac:dyDescent="0.3">
      <c r="L315" s="613" t="s">
        <v>1388</v>
      </c>
      <c r="M315" s="613" t="s">
        <v>464</v>
      </c>
      <c r="N315" s="613" t="s">
        <v>464</v>
      </c>
      <c r="O315" s="613"/>
    </row>
    <row r="316" spans="12:15" x14ac:dyDescent="0.3">
      <c r="L316" s="613" t="s">
        <v>1389</v>
      </c>
      <c r="M316" s="613" t="s">
        <v>464</v>
      </c>
      <c r="N316" s="613" t="s">
        <v>464</v>
      </c>
      <c r="O316" s="613"/>
    </row>
    <row r="317" spans="12:15" x14ac:dyDescent="0.3">
      <c r="L317" s="613" t="s">
        <v>1390</v>
      </c>
      <c r="M317" s="613" t="s">
        <v>464</v>
      </c>
      <c r="N317" s="613" t="s">
        <v>464</v>
      </c>
      <c r="O317" s="613"/>
    </row>
    <row r="318" spans="12:15" x14ac:dyDescent="0.3">
      <c r="L318" s="613" t="s">
        <v>524</v>
      </c>
      <c r="M318" s="613" t="s">
        <v>464</v>
      </c>
      <c r="N318" s="613" t="s">
        <v>464</v>
      </c>
      <c r="O318" s="613"/>
    </row>
    <row r="319" spans="12:15" x14ac:dyDescent="0.3">
      <c r="L319" s="613" t="s">
        <v>1391</v>
      </c>
      <c r="M319" s="613" t="s">
        <v>464</v>
      </c>
      <c r="N319" s="613" t="s">
        <v>464</v>
      </c>
      <c r="O319" s="613"/>
    </row>
    <row r="320" spans="12:15" x14ac:dyDescent="0.3">
      <c r="L320" s="613" t="s">
        <v>1392</v>
      </c>
      <c r="M320" s="613" t="s">
        <v>464</v>
      </c>
      <c r="N320" s="613" t="s">
        <v>464</v>
      </c>
      <c r="O320" s="613"/>
    </row>
    <row r="321" spans="12:15" x14ac:dyDescent="0.3">
      <c r="L321" s="613" t="s">
        <v>838</v>
      </c>
      <c r="M321" s="613" t="s">
        <v>464</v>
      </c>
      <c r="N321" s="613" t="s">
        <v>464</v>
      </c>
      <c r="O321" s="613"/>
    </row>
    <row r="322" spans="12:15" x14ac:dyDescent="0.3">
      <c r="L322" s="613" t="s">
        <v>1393</v>
      </c>
      <c r="M322" s="613" t="s">
        <v>464</v>
      </c>
      <c r="N322" s="613" t="s">
        <v>464</v>
      </c>
      <c r="O322" s="613"/>
    </row>
    <row r="323" spans="12:15" x14ac:dyDescent="0.3">
      <c r="L323" s="613" t="s">
        <v>1394</v>
      </c>
      <c r="M323" s="613" t="s">
        <v>464</v>
      </c>
      <c r="N323" s="613" t="s">
        <v>464</v>
      </c>
      <c r="O323" s="613"/>
    </row>
    <row r="324" spans="12:15" x14ac:dyDescent="0.3">
      <c r="L324" s="613" t="s">
        <v>1395</v>
      </c>
      <c r="M324" s="613" t="s">
        <v>464</v>
      </c>
      <c r="N324" s="613" t="s">
        <v>464</v>
      </c>
      <c r="O324" s="613"/>
    </row>
    <row r="325" spans="12:15" x14ac:dyDescent="0.3">
      <c r="L325" s="616" t="s">
        <v>1396</v>
      </c>
      <c r="M325" s="616">
        <v>0.01</v>
      </c>
      <c r="N325" s="616" t="s">
        <v>464</v>
      </c>
      <c r="O325" s="613" t="s">
        <v>1527</v>
      </c>
    </row>
    <row r="326" spans="12:15" x14ac:dyDescent="0.3">
      <c r="L326" s="613" t="s">
        <v>525</v>
      </c>
      <c r="M326" s="613" t="s">
        <v>464</v>
      </c>
      <c r="N326" s="613" t="s">
        <v>464</v>
      </c>
      <c r="O326" s="613"/>
    </row>
    <row r="327" spans="12:15" x14ac:dyDescent="0.3">
      <c r="L327" s="613" t="s">
        <v>1397</v>
      </c>
      <c r="M327" s="613" t="s">
        <v>464</v>
      </c>
      <c r="N327" s="613" t="s">
        <v>464</v>
      </c>
      <c r="O327" s="613"/>
    </row>
    <row r="328" spans="12:15" x14ac:dyDescent="0.3">
      <c r="L328" s="613" t="s">
        <v>1398</v>
      </c>
      <c r="M328" s="613" t="s">
        <v>464</v>
      </c>
      <c r="N328" s="613" t="s">
        <v>464</v>
      </c>
      <c r="O328" s="613"/>
    </row>
    <row r="329" spans="12:15" x14ac:dyDescent="0.3">
      <c r="L329" s="613" t="s">
        <v>1399</v>
      </c>
      <c r="M329" s="613" t="s">
        <v>464</v>
      </c>
      <c r="N329" s="613" t="s">
        <v>464</v>
      </c>
      <c r="O329" s="613"/>
    </row>
    <row r="330" spans="12:15" x14ac:dyDescent="0.3">
      <c r="L330" s="616" t="s">
        <v>1400</v>
      </c>
      <c r="M330" s="616" t="s">
        <v>464</v>
      </c>
      <c r="N330" s="616" t="s">
        <v>464</v>
      </c>
      <c r="O330" s="613" t="s">
        <v>1527</v>
      </c>
    </row>
    <row r="331" spans="12:15" x14ac:dyDescent="0.3">
      <c r="L331" s="613" t="s">
        <v>1401</v>
      </c>
      <c r="M331" s="613" t="s">
        <v>464</v>
      </c>
      <c r="N331" s="613" t="s">
        <v>464</v>
      </c>
      <c r="O331" s="613"/>
    </row>
    <row r="332" spans="12:15" x14ac:dyDescent="0.3">
      <c r="L332" s="613" t="s">
        <v>1402</v>
      </c>
      <c r="M332" s="613" t="s">
        <v>464</v>
      </c>
      <c r="N332" s="613" t="s">
        <v>464</v>
      </c>
      <c r="O332" s="613"/>
    </row>
    <row r="333" spans="12:15" x14ac:dyDescent="0.3">
      <c r="L333" s="613" t="s">
        <v>1403</v>
      </c>
      <c r="M333" s="613" t="s">
        <v>464</v>
      </c>
      <c r="N333" s="613" t="s">
        <v>464</v>
      </c>
      <c r="O333" s="613"/>
    </row>
    <row r="334" spans="12:15" x14ac:dyDescent="0.3">
      <c r="L334" s="613" t="s">
        <v>1404</v>
      </c>
      <c r="M334" s="613" t="s">
        <v>464</v>
      </c>
      <c r="N334" s="613" t="s">
        <v>464</v>
      </c>
      <c r="O334" s="613"/>
    </row>
    <row r="335" spans="12:15" x14ac:dyDescent="0.3">
      <c r="L335" s="613" t="s">
        <v>839</v>
      </c>
      <c r="M335" s="613" t="s">
        <v>464</v>
      </c>
      <c r="N335" s="613" t="s">
        <v>464</v>
      </c>
      <c r="O335" s="613"/>
    </row>
    <row r="336" spans="12:15" x14ac:dyDescent="0.3">
      <c r="L336" s="613" t="s">
        <v>526</v>
      </c>
      <c r="M336" s="613" t="s">
        <v>464</v>
      </c>
      <c r="N336" s="613" t="s">
        <v>464</v>
      </c>
      <c r="O336" s="613"/>
    </row>
    <row r="337" spans="12:16" x14ac:dyDescent="0.3">
      <c r="L337" s="613" t="s">
        <v>1405</v>
      </c>
      <c r="M337" s="613" t="s">
        <v>464</v>
      </c>
      <c r="N337" s="613" t="s">
        <v>464</v>
      </c>
      <c r="O337" s="613"/>
    </row>
    <row r="338" spans="12:16" x14ac:dyDescent="0.3">
      <c r="L338" s="613" t="s">
        <v>1406</v>
      </c>
      <c r="M338" s="613" t="s">
        <v>464</v>
      </c>
      <c r="N338" s="613" t="s">
        <v>464</v>
      </c>
      <c r="O338" s="613"/>
    </row>
    <row r="339" spans="12:16" x14ac:dyDescent="0.3">
      <c r="L339" s="613" t="s">
        <v>1407</v>
      </c>
      <c r="M339" s="613" t="s">
        <v>464</v>
      </c>
      <c r="N339" s="613" t="s">
        <v>464</v>
      </c>
      <c r="O339" s="613"/>
    </row>
    <row r="340" spans="12:16" x14ac:dyDescent="0.3">
      <c r="L340" s="613" t="s">
        <v>1408</v>
      </c>
      <c r="M340" s="613" t="s">
        <v>464</v>
      </c>
      <c r="N340" s="613" t="s">
        <v>464</v>
      </c>
      <c r="O340" s="613"/>
    </row>
    <row r="341" spans="12:16" x14ac:dyDescent="0.3">
      <c r="L341" s="613" t="s">
        <v>1409</v>
      </c>
      <c r="M341" s="613" t="s">
        <v>464</v>
      </c>
      <c r="N341" s="613" t="s">
        <v>464</v>
      </c>
      <c r="O341" s="613"/>
    </row>
    <row r="342" spans="12:16" x14ac:dyDescent="0.3">
      <c r="L342" s="613" t="s">
        <v>527</v>
      </c>
      <c r="M342" s="613" t="s">
        <v>464</v>
      </c>
      <c r="N342" s="613" t="s">
        <v>464</v>
      </c>
      <c r="O342" s="613"/>
    </row>
    <row r="343" spans="12:16" x14ac:dyDescent="0.3">
      <c r="L343" s="615" t="s">
        <v>1410</v>
      </c>
      <c r="M343" s="615">
        <v>0.03</v>
      </c>
      <c r="N343" s="615">
        <v>0.05</v>
      </c>
      <c r="O343" s="613" t="s">
        <v>1532</v>
      </c>
      <c r="P343" s="622" t="s">
        <v>1528</v>
      </c>
    </row>
    <row r="344" spans="12:16" x14ac:dyDescent="0.3">
      <c r="L344" s="613" t="s">
        <v>1411</v>
      </c>
      <c r="M344" s="613" t="s">
        <v>464</v>
      </c>
      <c r="N344" s="613" t="s">
        <v>464</v>
      </c>
      <c r="O344" s="613"/>
    </row>
    <row r="345" spans="12:16" x14ac:dyDescent="0.3">
      <c r="L345" s="613" t="s">
        <v>1412</v>
      </c>
      <c r="M345" s="613" t="s">
        <v>464</v>
      </c>
      <c r="N345" s="613" t="s">
        <v>464</v>
      </c>
      <c r="O345" s="613"/>
    </row>
    <row r="346" spans="12:16" x14ac:dyDescent="0.3">
      <c r="L346" s="613" t="s">
        <v>528</v>
      </c>
      <c r="M346" s="613" t="s">
        <v>464</v>
      </c>
      <c r="N346" s="613" t="s">
        <v>464</v>
      </c>
      <c r="O346" s="613"/>
    </row>
    <row r="347" spans="12:16" x14ac:dyDescent="0.3">
      <c r="L347" s="616" t="s">
        <v>1413</v>
      </c>
      <c r="M347" s="616" t="s">
        <v>464</v>
      </c>
      <c r="N347" s="616" t="s">
        <v>464</v>
      </c>
      <c r="O347" s="613" t="s">
        <v>1527</v>
      </c>
    </row>
    <row r="348" spans="12:16" x14ac:dyDescent="0.3">
      <c r="L348" s="613" t="s">
        <v>529</v>
      </c>
      <c r="M348" s="613" t="s">
        <v>464</v>
      </c>
      <c r="N348" s="613" t="s">
        <v>464</v>
      </c>
      <c r="O348" s="613"/>
    </row>
    <row r="349" spans="12:16" x14ac:dyDescent="0.3">
      <c r="L349" s="613" t="s">
        <v>530</v>
      </c>
      <c r="M349" s="613" t="s">
        <v>464</v>
      </c>
      <c r="N349" s="613" t="s">
        <v>464</v>
      </c>
      <c r="O349" s="613"/>
    </row>
    <row r="350" spans="12:16" x14ac:dyDescent="0.3">
      <c r="L350" s="613" t="s">
        <v>531</v>
      </c>
      <c r="M350" s="613" t="s">
        <v>464</v>
      </c>
      <c r="N350" s="613" t="s">
        <v>464</v>
      </c>
      <c r="O350" s="613"/>
    </row>
    <row r="351" spans="12:16" x14ac:dyDescent="0.3">
      <c r="L351" s="613" t="s">
        <v>1414</v>
      </c>
      <c r="M351" s="613" t="s">
        <v>464</v>
      </c>
      <c r="N351" s="613" t="s">
        <v>464</v>
      </c>
      <c r="O351" s="613"/>
    </row>
    <row r="352" spans="12:16" x14ac:dyDescent="0.3">
      <c r="L352" s="613" t="s">
        <v>1415</v>
      </c>
      <c r="M352" s="613" t="s">
        <v>464</v>
      </c>
      <c r="N352" s="613" t="s">
        <v>464</v>
      </c>
      <c r="O352" s="613"/>
    </row>
    <row r="353" spans="12:15" x14ac:dyDescent="0.3">
      <c r="L353" s="613" t="s">
        <v>1416</v>
      </c>
      <c r="M353" s="613" t="s">
        <v>464</v>
      </c>
      <c r="N353" s="613" t="s">
        <v>464</v>
      </c>
      <c r="O353" s="613"/>
    </row>
    <row r="354" spans="12:15" x14ac:dyDescent="0.3">
      <c r="L354" s="613" t="s">
        <v>533</v>
      </c>
      <c r="M354" s="613" t="s">
        <v>464</v>
      </c>
      <c r="N354" s="613" t="s">
        <v>464</v>
      </c>
      <c r="O354" s="613"/>
    </row>
    <row r="355" spans="12:15" x14ac:dyDescent="0.3">
      <c r="L355" s="613" t="s">
        <v>534</v>
      </c>
      <c r="M355" s="613" t="s">
        <v>464</v>
      </c>
      <c r="N355" s="613" t="s">
        <v>464</v>
      </c>
      <c r="O355" s="613" t="s">
        <v>1626</v>
      </c>
    </row>
    <row r="356" spans="12:15" x14ac:dyDescent="0.3">
      <c r="L356" s="613" t="s">
        <v>1417</v>
      </c>
      <c r="M356" s="613" t="s">
        <v>464</v>
      </c>
      <c r="N356" s="613" t="s">
        <v>464</v>
      </c>
      <c r="O356" s="613"/>
    </row>
    <row r="357" spans="12:15" x14ac:dyDescent="0.3">
      <c r="L357" s="613" t="s">
        <v>1418</v>
      </c>
      <c r="M357" s="613" t="s">
        <v>464</v>
      </c>
      <c r="N357" s="613" t="s">
        <v>464</v>
      </c>
      <c r="O357" s="613"/>
    </row>
    <row r="358" spans="12:15" x14ac:dyDescent="0.3">
      <c r="L358" s="613" t="s">
        <v>1419</v>
      </c>
      <c r="M358" s="613" t="s">
        <v>464</v>
      </c>
      <c r="N358" s="613" t="s">
        <v>464</v>
      </c>
      <c r="O358" s="613"/>
    </row>
    <row r="359" spans="12:15" x14ac:dyDescent="0.3">
      <c r="L359" s="613" t="s">
        <v>1420</v>
      </c>
      <c r="M359" s="613" t="s">
        <v>464</v>
      </c>
      <c r="N359" s="613" t="s">
        <v>464</v>
      </c>
      <c r="O359" s="613"/>
    </row>
    <row r="360" spans="12:15" x14ac:dyDescent="0.3">
      <c r="L360" s="613" t="s">
        <v>1421</v>
      </c>
      <c r="M360" s="613" t="s">
        <v>464</v>
      </c>
      <c r="N360" s="613" t="s">
        <v>464</v>
      </c>
      <c r="O360" s="613"/>
    </row>
    <row r="361" spans="12:15" x14ac:dyDescent="0.3">
      <c r="L361" s="613" t="s">
        <v>1422</v>
      </c>
      <c r="M361" s="613" t="s">
        <v>464</v>
      </c>
      <c r="N361" s="613" t="s">
        <v>464</v>
      </c>
      <c r="O361" s="613"/>
    </row>
    <row r="362" spans="12:15" x14ac:dyDescent="0.3">
      <c r="L362" s="613" t="s">
        <v>1423</v>
      </c>
      <c r="M362" s="613" t="s">
        <v>464</v>
      </c>
      <c r="N362" s="613" t="s">
        <v>464</v>
      </c>
      <c r="O362" s="613"/>
    </row>
    <row r="363" spans="12:15" x14ac:dyDescent="0.3">
      <c r="L363" s="613" t="s">
        <v>1424</v>
      </c>
      <c r="M363" s="613" t="s">
        <v>464</v>
      </c>
      <c r="N363" s="613" t="s">
        <v>464</v>
      </c>
      <c r="O363" s="613"/>
    </row>
    <row r="364" spans="12:15" x14ac:dyDescent="0.3">
      <c r="L364" s="613" t="s">
        <v>1425</v>
      </c>
      <c r="M364" s="613" t="s">
        <v>464</v>
      </c>
      <c r="N364" s="613" t="s">
        <v>464</v>
      </c>
      <c r="O364" s="613"/>
    </row>
    <row r="365" spans="12:15" x14ac:dyDescent="0.3">
      <c r="L365" s="613" t="s">
        <v>1426</v>
      </c>
      <c r="M365" s="613" t="s">
        <v>464</v>
      </c>
      <c r="N365" s="613" t="s">
        <v>464</v>
      </c>
      <c r="O365" s="613"/>
    </row>
    <row r="366" spans="12:15" x14ac:dyDescent="0.3">
      <c r="L366" s="613" t="s">
        <v>1427</v>
      </c>
      <c r="M366" s="613" t="s">
        <v>464</v>
      </c>
      <c r="N366" s="613" t="s">
        <v>464</v>
      </c>
      <c r="O366" s="613"/>
    </row>
    <row r="367" spans="12:15" x14ac:dyDescent="0.3">
      <c r="L367" s="613" t="s">
        <v>1428</v>
      </c>
      <c r="M367" s="613" t="s">
        <v>464</v>
      </c>
      <c r="N367" s="613" t="s">
        <v>464</v>
      </c>
      <c r="O367" s="613"/>
    </row>
    <row r="368" spans="12:15" x14ac:dyDescent="0.3">
      <c r="L368" s="613" t="s">
        <v>1429</v>
      </c>
      <c r="M368" s="613" t="s">
        <v>464</v>
      </c>
      <c r="N368" s="613" t="s">
        <v>464</v>
      </c>
      <c r="O368" s="613"/>
    </row>
    <row r="369" spans="12:16" x14ac:dyDescent="0.3">
      <c r="L369" s="613" t="s">
        <v>1430</v>
      </c>
      <c r="M369" s="613" t="s">
        <v>464</v>
      </c>
      <c r="N369" s="613" t="s">
        <v>464</v>
      </c>
      <c r="O369" s="613"/>
    </row>
    <row r="370" spans="12:16" x14ac:dyDescent="0.3">
      <c r="L370" s="613" t="s">
        <v>1431</v>
      </c>
      <c r="M370" s="613" t="s">
        <v>464</v>
      </c>
      <c r="N370" s="613" t="s">
        <v>464</v>
      </c>
      <c r="O370" s="613"/>
    </row>
    <row r="371" spans="12:16" x14ac:dyDescent="0.3">
      <c r="L371" s="613" t="s">
        <v>1432</v>
      </c>
      <c r="M371" s="613" t="s">
        <v>464</v>
      </c>
      <c r="N371" s="613" t="s">
        <v>464</v>
      </c>
      <c r="O371" s="613"/>
    </row>
    <row r="372" spans="12:16" x14ac:dyDescent="0.3">
      <c r="L372" s="615" t="s">
        <v>536</v>
      </c>
      <c r="M372" s="615">
        <v>0.03</v>
      </c>
      <c r="N372" s="615">
        <v>0.05</v>
      </c>
      <c r="O372" s="613" t="s">
        <v>1532</v>
      </c>
      <c r="P372" s="622" t="s">
        <v>1528</v>
      </c>
    </row>
    <row r="373" spans="12:16" x14ac:dyDescent="0.3">
      <c r="L373" s="613" t="s">
        <v>537</v>
      </c>
      <c r="M373" s="613" t="s">
        <v>464</v>
      </c>
      <c r="N373" s="613" t="s">
        <v>464</v>
      </c>
      <c r="O373" s="613"/>
    </row>
    <row r="374" spans="12:16" x14ac:dyDescent="0.3">
      <c r="L374" s="613" t="s">
        <v>1433</v>
      </c>
      <c r="M374" s="613" t="s">
        <v>464</v>
      </c>
      <c r="N374" s="613" t="s">
        <v>464</v>
      </c>
      <c r="O374" s="613"/>
    </row>
    <row r="375" spans="12:16" x14ac:dyDescent="0.3">
      <c r="L375" s="613" t="s">
        <v>1434</v>
      </c>
      <c r="M375" s="613" t="s">
        <v>464</v>
      </c>
      <c r="N375" s="613" t="s">
        <v>464</v>
      </c>
      <c r="O375" s="613"/>
    </row>
    <row r="376" spans="12:16" x14ac:dyDescent="0.3">
      <c r="L376" s="613" t="s">
        <v>1435</v>
      </c>
      <c r="M376" s="613" t="s">
        <v>464</v>
      </c>
      <c r="N376" s="613" t="s">
        <v>464</v>
      </c>
      <c r="O376" s="613"/>
    </row>
    <row r="377" spans="12:16" x14ac:dyDescent="0.3">
      <c r="L377" s="613" t="s">
        <v>1436</v>
      </c>
      <c r="M377" s="613" t="s">
        <v>464</v>
      </c>
      <c r="N377" s="613" t="s">
        <v>464</v>
      </c>
      <c r="O377" s="613"/>
    </row>
    <row r="378" spans="12:16" x14ac:dyDescent="0.3">
      <c r="L378" s="613" t="s">
        <v>1437</v>
      </c>
      <c r="M378" s="613" t="s">
        <v>464</v>
      </c>
      <c r="N378" s="613" t="s">
        <v>464</v>
      </c>
      <c r="O378" s="613" t="s">
        <v>1626</v>
      </c>
    </row>
    <row r="379" spans="12:16" x14ac:dyDescent="0.3">
      <c r="L379" s="616" t="s">
        <v>1438</v>
      </c>
      <c r="M379" s="616" t="s">
        <v>464</v>
      </c>
      <c r="N379" s="616" t="s">
        <v>464</v>
      </c>
      <c r="O379" s="613" t="s">
        <v>1527</v>
      </c>
    </row>
    <row r="380" spans="12:16" x14ac:dyDescent="0.3">
      <c r="L380" s="613" t="s">
        <v>1439</v>
      </c>
      <c r="M380" s="613" t="s">
        <v>464</v>
      </c>
      <c r="N380" s="613" t="s">
        <v>464</v>
      </c>
      <c r="O380" s="613"/>
    </row>
    <row r="381" spans="12:16" x14ac:dyDescent="0.3">
      <c r="L381" s="613" t="s">
        <v>1440</v>
      </c>
      <c r="M381" s="613" t="s">
        <v>464</v>
      </c>
      <c r="N381" s="613" t="s">
        <v>464</v>
      </c>
      <c r="O381" s="613"/>
    </row>
    <row r="382" spans="12:16" x14ac:dyDescent="0.3">
      <c r="L382" s="613" t="s">
        <v>1441</v>
      </c>
      <c r="M382" s="613" t="s">
        <v>464</v>
      </c>
      <c r="N382" s="613" t="s">
        <v>464</v>
      </c>
      <c r="O382" s="613"/>
    </row>
    <row r="383" spans="12:16" x14ac:dyDescent="0.3">
      <c r="L383" s="613" t="s">
        <v>840</v>
      </c>
      <c r="M383" s="613" t="s">
        <v>464</v>
      </c>
      <c r="N383" s="613" t="s">
        <v>464</v>
      </c>
      <c r="O383" s="613"/>
    </row>
    <row r="384" spans="12:16" x14ac:dyDescent="0.3">
      <c r="L384" s="613" t="s">
        <v>1442</v>
      </c>
      <c r="M384" s="613" t="s">
        <v>464</v>
      </c>
      <c r="N384" s="613" t="s">
        <v>464</v>
      </c>
      <c r="O384" s="613"/>
    </row>
    <row r="385" spans="12:16" x14ac:dyDescent="0.3">
      <c r="L385" s="613" t="s">
        <v>538</v>
      </c>
      <c r="M385" s="613" t="s">
        <v>464</v>
      </c>
      <c r="N385" s="613" t="s">
        <v>464</v>
      </c>
      <c r="O385" s="613"/>
    </row>
    <row r="386" spans="12:16" x14ac:dyDescent="0.3">
      <c r="L386" s="613" t="s">
        <v>539</v>
      </c>
      <c r="M386" s="613" t="s">
        <v>464</v>
      </c>
      <c r="N386" s="613" t="s">
        <v>464</v>
      </c>
      <c r="O386" s="613"/>
    </row>
    <row r="387" spans="12:16" x14ac:dyDescent="0.3">
      <c r="L387" s="613" t="s">
        <v>1443</v>
      </c>
      <c r="M387" s="613" t="s">
        <v>464</v>
      </c>
      <c r="N387" s="613" t="s">
        <v>464</v>
      </c>
      <c r="O387" s="613"/>
    </row>
    <row r="388" spans="12:16" x14ac:dyDescent="0.3">
      <c r="L388" s="613" t="s">
        <v>1444</v>
      </c>
      <c r="M388" s="613" t="s">
        <v>464</v>
      </c>
      <c r="N388" s="613" t="s">
        <v>464</v>
      </c>
      <c r="O388" s="613"/>
    </row>
    <row r="389" spans="12:16" x14ac:dyDescent="0.3">
      <c r="L389" s="613" t="s">
        <v>540</v>
      </c>
      <c r="M389" s="613" t="s">
        <v>464</v>
      </c>
      <c r="N389" s="613" t="s">
        <v>464</v>
      </c>
      <c r="O389" s="613"/>
    </row>
    <row r="390" spans="12:16" x14ac:dyDescent="0.3">
      <c r="L390" s="613" t="s">
        <v>541</v>
      </c>
      <c r="M390" s="613" t="s">
        <v>464</v>
      </c>
      <c r="N390" s="613" t="s">
        <v>464</v>
      </c>
      <c r="O390" s="613"/>
    </row>
    <row r="391" spans="12:16" x14ac:dyDescent="0.3">
      <c r="L391" s="613" t="s">
        <v>1445</v>
      </c>
      <c r="M391" s="613" t="s">
        <v>464</v>
      </c>
      <c r="N391" s="613" t="s">
        <v>464</v>
      </c>
      <c r="O391" s="613"/>
    </row>
    <row r="392" spans="12:16" x14ac:dyDescent="0.3">
      <c r="L392" s="613" t="s">
        <v>1446</v>
      </c>
      <c r="M392" s="613" t="s">
        <v>464</v>
      </c>
      <c r="N392" s="613" t="s">
        <v>464</v>
      </c>
      <c r="O392" s="613"/>
    </row>
    <row r="393" spans="12:16" x14ac:dyDescent="0.3">
      <c r="L393" s="613" t="s">
        <v>542</v>
      </c>
      <c r="M393" s="613" t="s">
        <v>464</v>
      </c>
      <c r="N393" s="613" t="s">
        <v>464</v>
      </c>
      <c r="O393" s="613"/>
    </row>
    <row r="394" spans="12:16" x14ac:dyDescent="0.3">
      <c r="L394" s="613" t="s">
        <v>1447</v>
      </c>
      <c r="M394" s="613" t="s">
        <v>464</v>
      </c>
      <c r="N394" s="613" t="s">
        <v>464</v>
      </c>
      <c r="O394" s="613"/>
    </row>
    <row r="395" spans="12:16" x14ac:dyDescent="0.3">
      <c r="L395" s="613" t="s">
        <v>543</v>
      </c>
      <c r="M395" s="613" t="s">
        <v>464</v>
      </c>
      <c r="N395" s="613" t="s">
        <v>464</v>
      </c>
      <c r="O395" s="613"/>
    </row>
    <row r="396" spans="12:16" x14ac:dyDescent="0.3">
      <c r="L396" s="613" t="s">
        <v>1448</v>
      </c>
      <c r="M396" s="613" t="s">
        <v>464</v>
      </c>
      <c r="N396" s="613" t="s">
        <v>464</v>
      </c>
      <c r="O396" s="613"/>
    </row>
    <row r="397" spans="12:16" x14ac:dyDescent="0.3">
      <c r="L397" s="613" t="s">
        <v>1449</v>
      </c>
      <c r="M397" s="613" t="s">
        <v>464</v>
      </c>
      <c r="N397" s="613" t="s">
        <v>464</v>
      </c>
      <c r="O397" s="613"/>
    </row>
    <row r="398" spans="12:16" x14ac:dyDescent="0.3">
      <c r="L398" s="613" t="s">
        <v>1450</v>
      </c>
      <c r="M398" s="613" t="s">
        <v>464</v>
      </c>
      <c r="N398" s="613" t="s">
        <v>464</v>
      </c>
      <c r="O398" s="613"/>
    </row>
    <row r="399" spans="12:16" x14ac:dyDescent="0.3">
      <c r="L399" s="615" t="s">
        <v>544</v>
      </c>
      <c r="M399" s="615">
        <v>0.03</v>
      </c>
      <c r="N399" s="615">
        <v>0.05</v>
      </c>
      <c r="O399" s="613" t="s">
        <v>1532</v>
      </c>
      <c r="P399" s="622" t="s">
        <v>1528</v>
      </c>
    </row>
    <row r="400" spans="12:16" x14ac:dyDescent="0.3">
      <c r="L400" s="613" t="s">
        <v>1451</v>
      </c>
      <c r="M400" s="613" t="s">
        <v>464</v>
      </c>
      <c r="N400" s="613" t="s">
        <v>464</v>
      </c>
      <c r="O400" s="613"/>
    </row>
    <row r="401" spans="12:16" x14ac:dyDescent="0.3">
      <c r="L401" s="613" t="s">
        <v>1452</v>
      </c>
      <c r="M401" s="613" t="s">
        <v>464</v>
      </c>
      <c r="N401" s="613" t="s">
        <v>464</v>
      </c>
      <c r="O401" s="613"/>
    </row>
    <row r="402" spans="12:16" x14ac:dyDescent="0.3">
      <c r="L402" s="613" t="s">
        <v>1453</v>
      </c>
      <c r="M402" s="613" t="s">
        <v>464</v>
      </c>
      <c r="N402" s="613" t="s">
        <v>464</v>
      </c>
      <c r="O402" s="613"/>
    </row>
    <row r="403" spans="12:16" x14ac:dyDescent="0.3">
      <c r="L403" s="613" t="s">
        <v>545</v>
      </c>
      <c r="M403" s="613" t="s">
        <v>464</v>
      </c>
      <c r="N403" s="613" t="s">
        <v>464</v>
      </c>
      <c r="O403" s="613"/>
    </row>
    <row r="404" spans="12:16" x14ac:dyDescent="0.3">
      <c r="L404" s="613" t="s">
        <v>841</v>
      </c>
      <c r="M404" s="613" t="s">
        <v>464</v>
      </c>
      <c r="N404" s="613" t="s">
        <v>464</v>
      </c>
      <c r="O404" s="613"/>
    </row>
    <row r="405" spans="12:16" x14ac:dyDescent="0.3">
      <c r="L405" s="613" t="s">
        <v>1454</v>
      </c>
      <c r="M405" s="613" t="s">
        <v>464</v>
      </c>
      <c r="N405" s="613" t="s">
        <v>464</v>
      </c>
      <c r="O405" s="613"/>
    </row>
    <row r="406" spans="12:16" x14ac:dyDescent="0.3">
      <c r="L406" s="613" t="s">
        <v>1455</v>
      </c>
      <c r="M406" s="613" t="s">
        <v>464</v>
      </c>
      <c r="N406" s="613" t="s">
        <v>464</v>
      </c>
      <c r="O406" s="613"/>
    </row>
    <row r="407" spans="12:16" x14ac:dyDescent="0.3">
      <c r="L407" s="613" t="s">
        <v>1456</v>
      </c>
      <c r="M407" s="613" t="s">
        <v>464</v>
      </c>
      <c r="N407" s="613" t="s">
        <v>464</v>
      </c>
      <c r="O407" s="613"/>
    </row>
    <row r="408" spans="12:16" x14ac:dyDescent="0.3">
      <c r="L408" s="613" t="s">
        <v>546</v>
      </c>
      <c r="M408" s="613" t="s">
        <v>464</v>
      </c>
      <c r="N408" s="613" t="s">
        <v>464</v>
      </c>
      <c r="O408" s="613"/>
    </row>
    <row r="409" spans="12:16" x14ac:dyDescent="0.3">
      <c r="L409" s="613" t="s">
        <v>1457</v>
      </c>
      <c r="M409" s="613" t="s">
        <v>464</v>
      </c>
      <c r="N409" s="613" t="s">
        <v>464</v>
      </c>
      <c r="O409" s="613"/>
    </row>
    <row r="410" spans="12:16" x14ac:dyDescent="0.3">
      <c r="L410" s="615" t="s">
        <v>547</v>
      </c>
      <c r="M410" s="615">
        <v>0.03</v>
      </c>
      <c r="N410" s="615">
        <v>0.05</v>
      </c>
      <c r="O410" s="613" t="s">
        <v>1532</v>
      </c>
      <c r="P410" s="622" t="s">
        <v>1528</v>
      </c>
    </row>
    <row r="411" spans="12:16" x14ac:dyDescent="0.3">
      <c r="L411" s="613" t="s">
        <v>393</v>
      </c>
      <c r="M411" s="613" t="s">
        <v>464</v>
      </c>
      <c r="N411" s="613" t="s">
        <v>464</v>
      </c>
      <c r="O411" s="613"/>
    </row>
    <row r="412" spans="12:16" x14ac:dyDescent="0.3">
      <c r="L412" s="613" t="s">
        <v>1458</v>
      </c>
      <c r="M412" s="613" t="s">
        <v>464</v>
      </c>
      <c r="N412" s="613" t="s">
        <v>464</v>
      </c>
      <c r="O412" s="613"/>
    </row>
    <row r="413" spans="12:16" x14ac:dyDescent="0.3">
      <c r="L413" s="615" t="s">
        <v>1459</v>
      </c>
      <c r="M413" s="615">
        <v>0.03</v>
      </c>
      <c r="N413" s="615">
        <v>0.05</v>
      </c>
      <c r="O413" s="613" t="s">
        <v>1532</v>
      </c>
      <c r="P413" s="622" t="s">
        <v>1528</v>
      </c>
    </row>
    <row r="414" spans="12:16" x14ac:dyDescent="0.3">
      <c r="L414" s="613" t="s">
        <v>1460</v>
      </c>
      <c r="M414" s="613" t="s">
        <v>464</v>
      </c>
      <c r="N414" s="613" t="s">
        <v>464</v>
      </c>
      <c r="O414" s="613"/>
    </row>
    <row r="415" spans="12:16" x14ac:dyDescent="0.3">
      <c r="L415" s="613" t="s">
        <v>548</v>
      </c>
      <c r="M415" s="613" t="s">
        <v>464</v>
      </c>
      <c r="N415" s="613" t="s">
        <v>464</v>
      </c>
      <c r="O415" s="613"/>
    </row>
    <row r="416" spans="12:16" x14ac:dyDescent="0.3">
      <c r="L416" s="613" t="s">
        <v>1461</v>
      </c>
      <c r="M416" s="613" t="s">
        <v>464</v>
      </c>
      <c r="N416" s="613" t="s">
        <v>464</v>
      </c>
      <c r="O416" s="613"/>
    </row>
    <row r="417" spans="12:15" x14ac:dyDescent="0.3">
      <c r="L417" s="613" t="s">
        <v>1462</v>
      </c>
      <c r="M417" s="613" t="s">
        <v>464</v>
      </c>
      <c r="N417" s="613" t="s">
        <v>464</v>
      </c>
      <c r="O417" s="613"/>
    </row>
    <row r="418" spans="12:15" x14ac:dyDescent="0.3">
      <c r="L418" s="613" t="s">
        <v>842</v>
      </c>
      <c r="M418" s="613" t="s">
        <v>464</v>
      </c>
      <c r="N418" s="613" t="s">
        <v>464</v>
      </c>
      <c r="O418" s="613"/>
    </row>
    <row r="419" spans="12:15" x14ac:dyDescent="0.3">
      <c r="L419" s="613" t="s">
        <v>843</v>
      </c>
      <c r="M419" s="613" t="s">
        <v>464</v>
      </c>
      <c r="N419" s="613" t="s">
        <v>464</v>
      </c>
      <c r="O419" s="613"/>
    </row>
    <row r="420" spans="12:15" x14ac:dyDescent="0.3">
      <c r="L420" s="613" t="s">
        <v>844</v>
      </c>
      <c r="M420" s="613" t="s">
        <v>464</v>
      </c>
      <c r="N420" s="613" t="s">
        <v>464</v>
      </c>
      <c r="O420" s="613"/>
    </row>
    <row r="421" spans="12:15" x14ac:dyDescent="0.3">
      <c r="L421" s="613" t="s">
        <v>845</v>
      </c>
      <c r="M421" s="613" t="s">
        <v>464</v>
      </c>
      <c r="N421" s="613" t="s">
        <v>464</v>
      </c>
      <c r="O421" s="613"/>
    </row>
    <row r="422" spans="12:15" x14ac:dyDescent="0.3">
      <c r="L422" s="613" t="s">
        <v>1463</v>
      </c>
      <c r="M422" s="613" t="s">
        <v>464</v>
      </c>
      <c r="N422" s="613" t="s">
        <v>464</v>
      </c>
      <c r="O422" s="613"/>
    </row>
    <row r="423" spans="12:15" x14ac:dyDescent="0.3">
      <c r="L423" s="613" t="s">
        <v>1464</v>
      </c>
      <c r="M423" s="613" t="s">
        <v>464</v>
      </c>
      <c r="N423" s="613" t="s">
        <v>464</v>
      </c>
      <c r="O423" s="613"/>
    </row>
    <row r="424" spans="12:15" x14ac:dyDescent="0.3">
      <c r="L424" s="613" t="s">
        <v>846</v>
      </c>
      <c r="M424" s="613" t="s">
        <v>464</v>
      </c>
      <c r="N424" s="613" t="s">
        <v>464</v>
      </c>
      <c r="O424" s="613"/>
    </row>
    <row r="425" spans="12:15" x14ac:dyDescent="0.3">
      <c r="L425" s="613" t="s">
        <v>1465</v>
      </c>
      <c r="M425" s="613" t="s">
        <v>464</v>
      </c>
      <c r="N425" s="613" t="s">
        <v>464</v>
      </c>
      <c r="O425" s="613"/>
    </row>
    <row r="426" spans="12:15" x14ac:dyDescent="0.3">
      <c r="L426" s="613" t="s">
        <v>1466</v>
      </c>
      <c r="M426" s="613" t="s">
        <v>464</v>
      </c>
      <c r="N426" s="613" t="s">
        <v>464</v>
      </c>
      <c r="O426" s="613"/>
    </row>
    <row r="427" spans="12:15" x14ac:dyDescent="0.3">
      <c r="L427" s="613" t="s">
        <v>1467</v>
      </c>
      <c r="M427" s="613" t="s">
        <v>464</v>
      </c>
      <c r="N427" s="613" t="s">
        <v>464</v>
      </c>
      <c r="O427" s="613"/>
    </row>
    <row r="428" spans="12:15" x14ac:dyDescent="0.3">
      <c r="L428" s="613" t="s">
        <v>1468</v>
      </c>
      <c r="M428" s="613" t="s">
        <v>464</v>
      </c>
      <c r="N428" s="613" t="s">
        <v>464</v>
      </c>
      <c r="O428" s="613"/>
    </row>
    <row r="429" spans="12:15" x14ac:dyDescent="0.3">
      <c r="L429" s="613" t="s">
        <v>1469</v>
      </c>
      <c r="M429" s="613" t="s">
        <v>464</v>
      </c>
      <c r="N429" s="613" t="s">
        <v>464</v>
      </c>
      <c r="O429" s="613"/>
    </row>
    <row r="430" spans="12:15" x14ac:dyDescent="0.3">
      <c r="L430" s="613" t="s">
        <v>1470</v>
      </c>
      <c r="M430" s="613" t="s">
        <v>464</v>
      </c>
      <c r="N430" s="613" t="s">
        <v>464</v>
      </c>
      <c r="O430" s="613"/>
    </row>
    <row r="431" spans="12:15" x14ac:dyDescent="0.3">
      <c r="L431" s="613" t="s">
        <v>1471</v>
      </c>
      <c r="M431" s="613" t="s">
        <v>464</v>
      </c>
      <c r="N431" s="613" t="s">
        <v>464</v>
      </c>
      <c r="O431" s="613"/>
    </row>
    <row r="432" spans="12:15" x14ac:dyDescent="0.3">
      <c r="L432" s="613" t="s">
        <v>1472</v>
      </c>
      <c r="M432" s="613" t="s">
        <v>464</v>
      </c>
      <c r="N432" s="613" t="s">
        <v>464</v>
      </c>
      <c r="O432" s="613"/>
    </row>
    <row r="433" spans="12:16" x14ac:dyDescent="0.3">
      <c r="L433" s="613" t="s">
        <v>1473</v>
      </c>
      <c r="M433" s="613" t="s">
        <v>464</v>
      </c>
      <c r="N433" s="613" t="s">
        <v>464</v>
      </c>
      <c r="O433" s="613"/>
    </row>
    <row r="434" spans="12:16" x14ac:dyDescent="0.3">
      <c r="L434" s="613" t="s">
        <v>1474</v>
      </c>
      <c r="M434" s="613" t="s">
        <v>464</v>
      </c>
      <c r="N434" s="613" t="s">
        <v>464</v>
      </c>
      <c r="O434" s="613"/>
    </row>
    <row r="435" spans="12:16" x14ac:dyDescent="0.3">
      <c r="L435" s="615" t="s">
        <v>550</v>
      </c>
      <c r="M435" s="615">
        <v>0.03</v>
      </c>
      <c r="N435" s="615">
        <v>0.05</v>
      </c>
      <c r="O435" s="613" t="s">
        <v>1532</v>
      </c>
      <c r="P435" s="622" t="s">
        <v>1528</v>
      </c>
    </row>
    <row r="436" spans="12:16" x14ac:dyDescent="0.3">
      <c r="L436" s="613" t="s">
        <v>1475</v>
      </c>
      <c r="M436" s="613" t="s">
        <v>464</v>
      </c>
      <c r="N436" s="613" t="s">
        <v>464</v>
      </c>
      <c r="O436" s="613"/>
    </row>
    <row r="437" spans="12:16" x14ac:dyDescent="0.3">
      <c r="L437" s="613" t="s">
        <v>1476</v>
      </c>
      <c r="M437" s="613" t="s">
        <v>464</v>
      </c>
      <c r="N437" s="613" t="s">
        <v>464</v>
      </c>
      <c r="O437" s="613"/>
    </row>
    <row r="438" spans="12:16" x14ac:dyDescent="0.3">
      <c r="L438" s="613" t="s">
        <v>551</v>
      </c>
      <c r="M438" s="613" t="s">
        <v>464</v>
      </c>
      <c r="N438" s="613" t="s">
        <v>464</v>
      </c>
      <c r="O438" s="613"/>
    </row>
    <row r="439" spans="12:16" x14ac:dyDescent="0.3">
      <c r="L439" s="615" t="s">
        <v>1477</v>
      </c>
      <c r="M439" s="615">
        <v>0.03</v>
      </c>
      <c r="N439" s="615">
        <v>0.05</v>
      </c>
      <c r="O439" s="613" t="s">
        <v>1532</v>
      </c>
      <c r="P439" s="622" t="s">
        <v>1528</v>
      </c>
    </row>
    <row r="440" spans="12:16" x14ac:dyDescent="0.3">
      <c r="L440" s="613" t="s">
        <v>1478</v>
      </c>
      <c r="M440" s="613" t="s">
        <v>464</v>
      </c>
      <c r="N440" s="613" t="s">
        <v>464</v>
      </c>
      <c r="O440" s="613"/>
    </row>
    <row r="441" spans="12:16" x14ac:dyDescent="0.3">
      <c r="L441" s="613" t="s">
        <v>1479</v>
      </c>
      <c r="M441" s="613" t="s">
        <v>464</v>
      </c>
      <c r="N441" s="613" t="s">
        <v>464</v>
      </c>
      <c r="O441" s="613"/>
    </row>
    <row r="442" spans="12:16" x14ac:dyDescent="0.3">
      <c r="L442" s="613" t="s">
        <v>1480</v>
      </c>
      <c r="M442" s="613" t="s">
        <v>464</v>
      </c>
      <c r="N442" s="613" t="s">
        <v>464</v>
      </c>
      <c r="O442" s="613"/>
    </row>
    <row r="443" spans="12:16" x14ac:dyDescent="0.3">
      <c r="L443" s="613" t="s">
        <v>1481</v>
      </c>
      <c r="M443" s="613" t="s">
        <v>464</v>
      </c>
      <c r="N443" s="613" t="s">
        <v>464</v>
      </c>
      <c r="O443" s="613"/>
    </row>
    <row r="444" spans="12:16" x14ac:dyDescent="0.3">
      <c r="L444" s="613" t="s">
        <v>552</v>
      </c>
      <c r="M444" s="613" t="s">
        <v>464</v>
      </c>
      <c r="N444" s="613" t="s">
        <v>464</v>
      </c>
      <c r="O444" s="613" t="s">
        <v>1626</v>
      </c>
    </row>
    <row r="445" spans="12:16" x14ac:dyDescent="0.3">
      <c r="L445" s="616" t="s">
        <v>1482</v>
      </c>
      <c r="M445" s="616">
        <v>0.03</v>
      </c>
      <c r="N445" s="617" t="s">
        <v>464</v>
      </c>
      <c r="O445" s="613" t="s">
        <v>1527</v>
      </c>
    </row>
    <row r="446" spans="12:16" x14ac:dyDescent="0.3">
      <c r="L446" s="613" t="s">
        <v>847</v>
      </c>
      <c r="M446" s="613" t="s">
        <v>464</v>
      </c>
      <c r="N446" s="613" t="s">
        <v>464</v>
      </c>
      <c r="O446" s="613"/>
    </row>
    <row r="447" spans="12:16" x14ac:dyDescent="0.3">
      <c r="L447" s="613" t="s">
        <v>1483</v>
      </c>
      <c r="M447" s="613" t="s">
        <v>464</v>
      </c>
      <c r="N447" s="613" t="s">
        <v>464</v>
      </c>
      <c r="O447" s="613"/>
    </row>
    <row r="448" spans="12:16" x14ac:dyDescent="0.3">
      <c r="L448" s="613" t="s">
        <v>1484</v>
      </c>
      <c r="M448" s="613" t="s">
        <v>464</v>
      </c>
      <c r="N448" s="613" t="s">
        <v>464</v>
      </c>
      <c r="O448" s="613"/>
    </row>
    <row r="449" spans="12:16" x14ac:dyDescent="0.3">
      <c r="L449" s="615" t="s">
        <v>1485</v>
      </c>
      <c r="M449" s="615">
        <v>0.03</v>
      </c>
      <c r="N449" s="615">
        <v>0.05</v>
      </c>
      <c r="O449" s="613" t="s">
        <v>1532</v>
      </c>
      <c r="P449" s="622" t="s">
        <v>1528</v>
      </c>
    </row>
    <row r="450" spans="12:16" x14ac:dyDescent="0.3">
      <c r="L450" s="613" t="s">
        <v>553</v>
      </c>
      <c r="M450" s="613" t="s">
        <v>464</v>
      </c>
      <c r="N450" s="613" t="s">
        <v>464</v>
      </c>
      <c r="O450" s="613"/>
    </row>
    <row r="451" spans="12:16" x14ac:dyDescent="0.3">
      <c r="L451" s="613" t="s">
        <v>1486</v>
      </c>
      <c r="M451" s="613" t="s">
        <v>464</v>
      </c>
      <c r="N451" s="613" t="s">
        <v>464</v>
      </c>
      <c r="O451" s="613"/>
    </row>
    <row r="452" spans="12:16" x14ac:dyDescent="0.3">
      <c r="L452" s="613" t="s">
        <v>1487</v>
      </c>
      <c r="M452" s="613" t="s">
        <v>464</v>
      </c>
      <c r="N452" s="613" t="s">
        <v>464</v>
      </c>
      <c r="O452" s="613"/>
    </row>
    <row r="453" spans="12:16" x14ac:dyDescent="0.3">
      <c r="L453" s="615" t="s">
        <v>1488</v>
      </c>
      <c r="M453" s="615">
        <v>0.03</v>
      </c>
      <c r="N453" s="615">
        <v>0.05</v>
      </c>
      <c r="O453" s="613" t="s">
        <v>1532</v>
      </c>
      <c r="P453" s="622" t="s">
        <v>1528</v>
      </c>
    </row>
    <row r="454" spans="12:16" x14ac:dyDescent="0.3">
      <c r="L454" s="613" t="s">
        <v>1489</v>
      </c>
      <c r="M454" s="613" t="s">
        <v>464</v>
      </c>
      <c r="N454" s="613" t="s">
        <v>464</v>
      </c>
      <c r="O454" s="613"/>
    </row>
    <row r="455" spans="12:16" x14ac:dyDescent="0.3">
      <c r="L455" s="613" t="s">
        <v>1490</v>
      </c>
      <c r="M455" s="613" t="s">
        <v>464</v>
      </c>
      <c r="N455" s="613" t="s">
        <v>464</v>
      </c>
      <c r="O455" s="613"/>
    </row>
    <row r="456" spans="12:16" x14ac:dyDescent="0.3">
      <c r="L456" s="613" t="s">
        <v>1491</v>
      </c>
      <c r="M456" s="613" t="s">
        <v>464</v>
      </c>
      <c r="N456" s="613" t="s">
        <v>464</v>
      </c>
      <c r="O456" s="613"/>
    </row>
    <row r="457" spans="12:16" x14ac:dyDescent="0.3">
      <c r="L457" s="613" t="s">
        <v>1502</v>
      </c>
      <c r="M457" s="613" t="s">
        <v>464</v>
      </c>
      <c r="N457" s="613" t="s">
        <v>464</v>
      </c>
      <c r="O457" s="613"/>
    </row>
    <row r="458" spans="12:16" x14ac:dyDescent="0.3">
      <c r="L458" s="613" t="s">
        <v>1492</v>
      </c>
      <c r="M458" s="613" t="s">
        <v>464</v>
      </c>
      <c r="N458" s="613" t="s">
        <v>464</v>
      </c>
      <c r="O458" s="613"/>
    </row>
    <row r="459" spans="12:16" x14ac:dyDescent="0.3">
      <c r="L459" s="613" t="s">
        <v>1493</v>
      </c>
      <c r="M459" s="613" t="s">
        <v>464</v>
      </c>
      <c r="N459" s="613" t="s">
        <v>464</v>
      </c>
      <c r="O459" s="613"/>
    </row>
    <row r="460" spans="12:16" x14ac:dyDescent="0.3">
      <c r="L460" s="613" t="s">
        <v>554</v>
      </c>
      <c r="M460" s="613" t="s">
        <v>464</v>
      </c>
      <c r="N460" s="613" t="s">
        <v>464</v>
      </c>
      <c r="O460" s="613"/>
    </row>
    <row r="461" spans="12:16" x14ac:dyDescent="0.3">
      <c r="L461" s="613" t="s">
        <v>1494</v>
      </c>
      <c r="M461" s="613" t="s">
        <v>464</v>
      </c>
      <c r="N461" s="613" t="s">
        <v>464</v>
      </c>
      <c r="O461" s="613"/>
    </row>
    <row r="462" spans="12:16" x14ac:dyDescent="0.3">
      <c r="L462" s="613" t="s">
        <v>1060</v>
      </c>
      <c r="M462" s="613" t="s">
        <v>464</v>
      </c>
      <c r="N462" s="613" t="s">
        <v>464</v>
      </c>
      <c r="O462" s="613"/>
    </row>
    <row r="463" spans="12:16" x14ac:dyDescent="0.3">
      <c r="L463" s="613" t="s">
        <v>1061</v>
      </c>
      <c r="M463" s="613" t="s">
        <v>464</v>
      </c>
      <c r="N463" s="613" t="s">
        <v>464</v>
      </c>
      <c r="O463" s="613"/>
    </row>
    <row r="464" spans="12:16" x14ac:dyDescent="0.3">
      <c r="L464" s="613" t="s">
        <v>1062</v>
      </c>
      <c r="M464" s="613" t="s">
        <v>464</v>
      </c>
      <c r="N464" s="613" t="s">
        <v>464</v>
      </c>
      <c r="O464" s="613"/>
    </row>
    <row r="465" spans="12:15" x14ac:dyDescent="0.3">
      <c r="L465" s="613" t="s">
        <v>1063</v>
      </c>
      <c r="M465" s="613" t="s">
        <v>464</v>
      </c>
      <c r="N465" s="613" t="s">
        <v>464</v>
      </c>
      <c r="O465" s="613"/>
    </row>
    <row r="466" spans="12:15" x14ac:dyDescent="0.3">
      <c r="L466" s="613" t="s">
        <v>1064</v>
      </c>
      <c r="M466" s="613" t="s">
        <v>464</v>
      </c>
      <c r="N466" s="613" t="s">
        <v>464</v>
      </c>
      <c r="O466" s="613"/>
    </row>
    <row r="467" spans="12:15" x14ac:dyDescent="0.3">
      <c r="L467" s="613" t="s">
        <v>1065</v>
      </c>
      <c r="M467" s="613" t="s">
        <v>464</v>
      </c>
      <c r="N467" s="613" t="s">
        <v>464</v>
      </c>
      <c r="O467" s="613"/>
    </row>
    <row r="468" spans="12:15" x14ac:dyDescent="0.3">
      <c r="L468" s="613" t="s">
        <v>848</v>
      </c>
      <c r="M468" s="613" t="s">
        <v>464</v>
      </c>
      <c r="N468" s="613" t="s">
        <v>464</v>
      </c>
      <c r="O468" s="613"/>
    </row>
    <row r="469" spans="12:15" x14ac:dyDescent="0.3">
      <c r="L469" s="613" t="s">
        <v>1066</v>
      </c>
      <c r="M469" s="613" t="s">
        <v>464</v>
      </c>
      <c r="N469" s="613" t="s">
        <v>464</v>
      </c>
      <c r="O469" s="613"/>
    </row>
    <row r="470" spans="12:15" x14ac:dyDescent="0.3">
      <c r="L470" s="613" t="s">
        <v>1067</v>
      </c>
      <c r="M470" s="613" t="s">
        <v>464</v>
      </c>
      <c r="N470" s="613" t="s">
        <v>464</v>
      </c>
      <c r="O470" s="613"/>
    </row>
    <row r="471" spans="12:15" x14ac:dyDescent="0.3">
      <c r="L471" s="616" t="s">
        <v>1068</v>
      </c>
      <c r="M471" s="616" t="s">
        <v>464</v>
      </c>
      <c r="N471" s="616" t="s">
        <v>464</v>
      </c>
      <c r="O471" s="613" t="s">
        <v>1527</v>
      </c>
    </row>
    <row r="472" spans="12:15" x14ac:dyDescent="0.3">
      <c r="L472" s="613" t="s">
        <v>1069</v>
      </c>
      <c r="M472" s="613" t="s">
        <v>464</v>
      </c>
      <c r="N472" s="613" t="s">
        <v>464</v>
      </c>
      <c r="O472" s="613"/>
    </row>
    <row r="473" spans="12:15" x14ac:dyDescent="0.3">
      <c r="L473" s="613" t="s">
        <v>1070</v>
      </c>
      <c r="M473" s="613" t="s">
        <v>464</v>
      </c>
      <c r="N473" s="613" t="s">
        <v>464</v>
      </c>
      <c r="O473" s="613"/>
    </row>
    <row r="474" spans="12:15" x14ac:dyDescent="0.3">
      <c r="L474" s="613" t="s">
        <v>1071</v>
      </c>
      <c r="M474" s="613" t="s">
        <v>464</v>
      </c>
      <c r="N474" s="613" t="s">
        <v>464</v>
      </c>
      <c r="O474" s="613"/>
    </row>
    <row r="475" spans="12:15" x14ac:dyDescent="0.3">
      <c r="L475" s="613" t="s">
        <v>1072</v>
      </c>
      <c r="M475" s="613" t="s">
        <v>464</v>
      </c>
      <c r="N475" s="613" t="s">
        <v>464</v>
      </c>
      <c r="O475" s="613"/>
    </row>
    <row r="476" spans="12:15" x14ac:dyDescent="0.3">
      <c r="L476" s="613" t="s">
        <v>849</v>
      </c>
      <c r="M476" s="613" t="s">
        <v>464</v>
      </c>
      <c r="N476" s="613" t="s">
        <v>464</v>
      </c>
      <c r="O476" s="613"/>
    </row>
    <row r="477" spans="12:15" x14ac:dyDescent="0.3">
      <c r="L477" s="613" t="s">
        <v>1073</v>
      </c>
      <c r="M477" s="613" t="s">
        <v>464</v>
      </c>
      <c r="N477" s="613" t="s">
        <v>464</v>
      </c>
      <c r="O477" s="613"/>
    </row>
    <row r="478" spans="12:15" x14ac:dyDescent="0.3">
      <c r="L478" s="613" t="s">
        <v>1074</v>
      </c>
      <c r="M478" s="613" t="s">
        <v>464</v>
      </c>
      <c r="N478" s="613" t="s">
        <v>464</v>
      </c>
      <c r="O478" s="613"/>
    </row>
    <row r="479" spans="12:15" x14ac:dyDescent="0.3">
      <c r="L479" s="613" t="s">
        <v>1075</v>
      </c>
      <c r="M479" s="613" t="s">
        <v>464</v>
      </c>
      <c r="N479" s="613" t="s">
        <v>464</v>
      </c>
      <c r="O479" s="613"/>
    </row>
    <row r="480" spans="12:15" x14ac:dyDescent="0.3">
      <c r="L480" s="613" t="s">
        <v>1076</v>
      </c>
      <c r="M480" s="613" t="s">
        <v>464</v>
      </c>
      <c r="N480" s="613" t="s">
        <v>464</v>
      </c>
      <c r="O480" s="613"/>
    </row>
    <row r="481" spans="12:16" x14ac:dyDescent="0.3">
      <c r="L481" s="613" t="s">
        <v>1077</v>
      </c>
      <c r="M481" s="613" t="s">
        <v>464</v>
      </c>
      <c r="N481" s="613" t="s">
        <v>464</v>
      </c>
      <c r="O481" s="613"/>
    </row>
    <row r="482" spans="12:16" x14ac:dyDescent="0.3">
      <c r="L482" s="613" t="s">
        <v>1078</v>
      </c>
      <c r="M482" s="613" t="s">
        <v>464</v>
      </c>
      <c r="N482" s="613" t="s">
        <v>464</v>
      </c>
      <c r="O482" s="613"/>
    </row>
    <row r="483" spans="12:16" x14ac:dyDescent="0.3">
      <c r="L483" s="613" t="s">
        <v>1079</v>
      </c>
      <c r="M483" s="613" t="s">
        <v>464</v>
      </c>
      <c r="N483" s="613" t="s">
        <v>464</v>
      </c>
      <c r="O483" s="613"/>
    </row>
    <row r="484" spans="12:16" x14ac:dyDescent="0.3">
      <c r="L484" s="613" t="s">
        <v>1080</v>
      </c>
      <c r="M484" s="613" t="s">
        <v>464</v>
      </c>
      <c r="N484" s="613" t="s">
        <v>464</v>
      </c>
      <c r="O484" s="613"/>
    </row>
    <row r="485" spans="12:16" x14ac:dyDescent="0.3">
      <c r="L485" s="613" t="s">
        <v>850</v>
      </c>
      <c r="M485" s="613" t="s">
        <v>464</v>
      </c>
      <c r="N485" s="613" t="s">
        <v>464</v>
      </c>
      <c r="O485" s="613"/>
    </row>
    <row r="486" spans="12:16" x14ac:dyDescent="0.3">
      <c r="L486" s="613" t="s">
        <v>1081</v>
      </c>
      <c r="M486" s="613" t="s">
        <v>464</v>
      </c>
      <c r="N486" s="613" t="s">
        <v>464</v>
      </c>
      <c r="O486" s="613"/>
    </row>
    <row r="487" spans="12:16" x14ac:dyDescent="0.3">
      <c r="L487" s="615" t="s">
        <v>1082</v>
      </c>
      <c r="M487" s="615">
        <v>0.03</v>
      </c>
      <c r="N487" s="615">
        <v>0.05</v>
      </c>
      <c r="O487" s="613" t="s">
        <v>1532</v>
      </c>
      <c r="P487" s="622" t="s">
        <v>1528</v>
      </c>
    </row>
    <row r="488" spans="12:16" x14ac:dyDescent="0.3">
      <c r="L488" s="613" t="s">
        <v>555</v>
      </c>
      <c r="M488" s="613" t="s">
        <v>464</v>
      </c>
      <c r="N488" s="613" t="s">
        <v>464</v>
      </c>
      <c r="O488" s="613"/>
    </row>
    <row r="489" spans="12:16" x14ac:dyDescent="0.3">
      <c r="L489" s="613" t="s">
        <v>556</v>
      </c>
      <c r="M489" s="613" t="s">
        <v>464</v>
      </c>
      <c r="N489" s="613" t="s">
        <v>464</v>
      </c>
      <c r="O489" s="613"/>
    </row>
    <row r="490" spans="12:16" x14ac:dyDescent="0.3">
      <c r="L490" s="613" t="s">
        <v>851</v>
      </c>
      <c r="M490" s="613" t="s">
        <v>464</v>
      </c>
      <c r="N490" s="613" t="s">
        <v>464</v>
      </c>
      <c r="O490" s="613"/>
    </row>
    <row r="491" spans="12:16" x14ac:dyDescent="0.3">
      <c r="L491" s="613" t="s">
        <v>1083</v>
      </c>
      <c r="M491" s="613" t="s">
        <v>464</v>
      </c>
      <c r="N491" s="613" t="s">
        <v>464</v>
      </c>
      <c r="O491" s="613"/>
    </row>
    <row r="492" spans="12:16" x14ac:dyDescent="0.3">
      <c r="L492" s="613" t="s">
        <v>1084</v>
      </c>
      <c r="M492" s="613" t="s">
        <v>464</v>
      </c>
      <c r="N492" s="613" t="s">
        <v>464</v>
      </c>
      <c r="O492" s="613"/>
    </row>
    <row r="493" spans="12:16" x14ac:dyDescent="0.3">
      <c r="L493" s="613" t="s">
        <v>1085</v>
      </c>
      <c r="M493" s="613" t="s">
        <v>464</v>
      </c>
      <c r="N493" s="613" t="s">
        <v>464</v>
      </c>
      <c r="O493" s="613"/>
    </row>
    <row r="494" spans="12:16" x14ac:dyDescent="0.3">
      <c r="L494" s="613" t="s">
        <v>1086</v>
      </c>
      <c r="M494" s="613" t="s">
        <v>464</v>
      </c>
      <c r="N494" s="613" t="s">
        <v>464</v>
      </c>
      <c r="O494" s="613"/>
    </row>
    <row r="495" spans="12:16" x14ac:dyDescent="0.3">
      <c r="L495" s="613" t="s">
        <v>1087</v>
      </c>
      <c r="M495" s="613" t="s">
        <v>464</v>
      </c>
      <c r="N495" s="613" t="s">
        <v>464</v>
      </c>
      <c r="O495" s="613"/>
    </row>
    <row r="496" spans="12:16" x14ac:dyDescent="0.3">
      <c r="L496" s="613" t="s">
        <v>1088</v>
      </c>
      <c r="M496" s="613" t="s">
        <v>464</v>
      </c>
      <c r="N496" s="613" t="s">
        <v>464</v>
      </c>
      <c r="O496" s="613"/>
    </row>
    <row r="497" spans="12:16" x14ac:dyDescent="0.3">
      <c r="L497" s="613" t="s">
        <v>1089</v>
      </c>
      <c r="M497" s="613" t="s">
        <v>464</v>
      </c>
      <c r="N497" s="613" t="s">
        <v>464</v>
      </c>
      <c r="O497" s="613"/>
    </row>
    <row r="498" spans="12:16" x14ac:dyDescent="0.3">
      <c r="L498" s="613" t="s">
        <v>1090</v>
      </c>
      <c r="M498" s="613" t="s">
        <v>464</v>
      </c>
      <c r="N498" s="613" t="s">
        <v>464</v>
      </c>
      <c r="O498" s="613"/>
    </row>
    <row r="499" spans="12:16" x14ac:dyDescent="0.3">
      <c r="L499" s="613" t="s">
        <v>557</v>
      </c>
      <c r="M499" s="613" t="s">
        <v>464</v>
      </c>
      <c r="N499" s="613" t="s">
        <v>464</v>
      </c>
      <c r="O499" s="613"/>
    </row>
    <row r="500" spans="12:16" x14ac:dyDescent="0.3">
      <c r="L500" s="613" t="s">
        <v>1091</v>
      </c>
      <c r="M500" s="613" t="s">
        <v>464</v>
      </c>
      <c r="N500" s="613" t="s">
        <v>464</v>
      </c>
      <c r="O500" s="613"/>
    </row>
    <row r="501" spans="12:16" x14ac:dyDescent="0.3">
      <c r="L501" s="613" t="s">
        <v>1092</v>
      </c>
      <c r="M501" s="613" t="s">
        <v>464</v>
      </c>
      <c r="N501" s="613" t="s">
        <v>464</v>
      </c>
      <c r="O501" s="613"/>
    </row>
    <row r="502" spans="12:16" x14ac:dyDescent="0.3">
      <c r="L502" s="613" t="s">
        <v>1093</v>
      </c>
      <c r="M502" s="613" t="s">
        <v>464</v>
      </c>
      <c r="N502" s="613" t="s">
        <v>464</v>
      </c>
      <c r="O502" s="613"/>
    </row>
    <row r="503" spans="12:16" x14ac:dyDescent="0.3">
      <c r="L503" s="613" t="s">
        <v>559</v>
      </c>
      <c r="M503" s="613" t="s">
        <v>464</v>
      </c>
      <c r="N503" s="613" t="s">
        <v>464</v>
      </c>
      <c r="O503" s="613"/>
    </row>
    <row r="504" spans="12:16" x14ac:dyDescent="0.3">
      <c r="L504" s="613" t="s">
        <v>1094</v>
      </c>
      <c r="M504" s="613" t="s">
        <v>464</v>
      </c>
      <c r="N504" s="613" t="s">
        <v>464</v>
      </c>
      <c r="O504" s="613"/>
    </row>
    <row r="505" spans="12:16" x14ac:dyDescent="0.3">
      <c r="L505" s="613" t="s">
        <v>1095</v>
      </c>
      <c r="M505" s="613" t="s">
        <v>464</v>
      </c>
      <c r="N505" s="613" t="s">
        <v>464</v>
      </c>
      <c r="O505" s="613"/>
    </row>
    <row r="506" spans="12:16" x14ac:dyDescent="0.3">
      <c r="L506" s="613" t="s">
        <v>560</v>
      </c>
      <c r="M506" s="613" t="s">
        <v>464</v>
      </c>
      <c r="N506" s="613" t="s">
        <v>464</v>
      </c>
      <c r="O506" s="613"/>
    </row>
    <row r="507" spans="12:16" x14ac:dyDescent="0.3">
      <c r="L507" s="613" t="s">
        <v>852</v>
      </c>
      <c r="M507" s="613" t="s">
        <v>464</v>
      </c>
      <c r="N507" s="613" t="s">
        <v>464</v>
      </c>
      <c r="O507" s="613"/>
    </row>
    <row r="508" spans="12:16" x14ac:dyDescent="0.3">
      <c r="L508" s="613" t="s">
        <v>1096</v>
      </c>
      <c r="M508" s="613" t="s">
        <v>464</v>
      </c>
      <c r="N508" s="613" t="s">
        <v>464</v>
      </c>
      <c r="O508" s="613"/>
    </row>
    <row r="509" spans="12:16" x14ac:dyDescent="0.3">
      <c r="L509" s="613" t="s">
        <v>1097</v>
      </c>
      <c r="M509" s="613" t="s">
        <v>464</v>
      </c>
      <c r="N509" s="613" t="s">
        <v>464</v>
      </c>
      <c r="O509" s="613"/>
    </row>
    <row r="510" spans="12:16" x14ac:dyDescent="0.3">
      <c r="L510" s="613" t="s">
        <v>1098</v>
      </c>
      <c r="M510" s="613" t="s">
        <v>464</v>
      </c>
      <c r="N510" s="613" t="s">
        <v>464</v>
      </c>
      <c r="O510" s="613"/>
    </row>
    <row r="511" spans="12:16" x14ac:dyDescent="0.3">
      <c r="L511" s="615" t="s">
        <v>399</v>
      </c>
      <c r="M511" s="615">
        <v>0.03</v>
      </c>
      <c r="N511" s="615">
        <v>0.05</v>
      </c>
      <c r="O511" s="613" t="s">
        <v>1532</v>
      </c>
      <c r="P511" s="622" t="s">
        <v>1528</v>
      </c>
    </row>
    <row r="512" spans="12:16" x14ac:dyDescent="0.3">
      <c r="L512" s="613" t="s">
        <v>1099</v>
      </c>
      <c r="M512" s="613" t="s">
        <v>464</v>
      </c>
      <c r="N512" s="613" t="s">
        <v>464</v>
      </c>
      <c r="O512" s="613"/>
    </row>
    <row r="513" spans="12:16" x14ac:dyDescent="0.3">
      <c r="L513" s="613" t="s">
        <v>1100</v>
      </c>
      <c r="M513" s="613" t="s">
        <v>464</v>
      </c>
      <c r="N513" s="613" t="s">
        <v>464</v>
      </c>
      <c r="O513" s="613"/>
    </row>
    <row r="514" spans="12:16" x14ac:dyDescent="0.3">
      <c r="L514" s="613" t="s">
        <v>1101</v>
      </c>
      <c r="M514" s="613" t="s">
        <v>464</v>
      </c>
      <c r="N514" s="613" t="s">
        <v>464</v>
      </c>
      <c r="O514" s="613"/>
    </row>
    <row r="515" spans="12:16" x14ac:dyDescent="0.3">
      <c r="L515" s="613" t="s">
        <v>1102</v>
      </c>
      <c r="M515" s="613" t="s">
        <v>464</v>
      </c>
      <c r="N515" s="613" t="s">
        <v>464</v>
      </c>
      <c r="O515" s="613"/>
    </row>
    <row r="516" spans="12:16" x14ac:dyDescent="0.3">
      <c r="L516" s="613" t="s">
        <v>853</v>
      </c>
      <c r="M516" s="613" t="s">
        <v>464</v>
      </c>
      <c r="N516" s="613" t="s">
        <v>464</v>
      </c>
      <c r="O516" s="613"/>
    </row>
    <row r="517" spans="12:16" x14ac:dyDescent="0.3">
      <c r="L517" s="613" t="s">
        <v>1103</v>
      </c>
      <c r="M517" s="613" t="s">
        <v>464</v>
      </c>
      <c r="N517" s="613" t="s">
        <v>464</v>
      </c>
      <c r="O517" s="613" t="s">
        <v>1626</v>
      </c>
    </row>
    <row r="518" spans="12:16" x14ac:dyDescent="0.3">
      <c r="L518" s="613" t="s">
        <v>854</v>
      </c>
      <c r="M518" s="613" t="s">
        <v>464</v>
      </c>
      <c r="N518" s="613" t="s">
        <v>464</v>
      </c>
      <c r="O518" s="613"/>
    </row>
    <row r="519" spans="12:16" x14ac:dyDescent="0.3">
      <c r="L519" s="613" t="s">
        <v>1104</v>
      </c>
      <c r="M519" s="613" t="s">
        <v>464</v>
      </c>
      <c r="N519" s="613" t="s">
        <v>464</v>
      </c>
      <c r="O519" s="613"/>
    </row>
    <row r="520" spans="12:16" x14ac:dyDescent="0.3">
      <c r="L520" s="615" t="s">
        <v>1105</v>
      </c>
      <c r="M520" s="615">
        <v>0.03</v>
      </c>
      <c r="N520" s="615">
        <v>0.05</v>
      </c>
      <c r="O520" s="613" t="s">
        <v>1532</v>
      </c>
      <c r="P520" s="622" t="s">
        <v>1528</v>
      </c>
    </row>
    <row r="521" spans="12:16" x14ac:dyDescent="0.3">
      <c r="L521" s="613" t="s">
        <v>1106</v>
      </c>
      <c r="M521" s="613" t="s">
        <v>464</v>
      </c>
      <c r="N521" s="613" t="s">
        <v>464</v>
      </c>
      <c r="O521" s="613"/>
    </row>
    <row r="522" spans="12:16" x14ac:dyDescent="0.3">
      <c r="L522" s="613" t="s">
        <v>1107</v>
      </c>
      <c r="M522" s="613" t="s">
        <v>464</v>
      </c>
      <c r="N522" s="613" t="s">
        <v>464</v>
      </c>
      <c r="O522" s="613"/>
    </row>
    <row r="523" spans="12:16" x14ac:dyDescent="0.3">
      <c r="L523" s="613" t="s">
        <v>1108</v>
      </c>
      <c r="M523" s="613" t="s">
        <v>464</v>
      </c>
      <c r="N523" s="613" t="s">
        <v>464</v>
      </c>
      <c r="O523" s="613"/>
    </row>
    <row r="524" spans="12:16" x14ac:dyDescent="0.3">
      <c r="L524" s="613" t="s">
        <v>1109</v>
      </c>
      <c r="M524" s="613" t="s">
        <v>464</v>
      </c>
      <c r="N524" s="613" t="s">
        <v>464</v>
      </c>
      <c r="O524" s="613" t="s">
        <v>1626</v>
      </c>
    </row>
    <row r="525" spans="12:16" x14ac:dyDescent="0.3">
      <c r="L525" s="613" t="s">
        <v>1110</v>
      </c>
      <c r="M525" s="613" t="s">
        <v>464</v>
      </c>
      <c r="N525" s="613" t="s">
        <v>464</v>
      </c>
      <c r="O525" s="613"/>
    </row>
    <row r="526" spans="12:16" x14ac:dyDescent="0.3">
      <c r="L526" s="613" t="s">
        <v>1111</v>
      </c>
      <c r="M526" s="613" t="s">
        <v>464</v>
      </c>
      <c r="N526" s="613" t="s">
        <v>464</v>
      </c>
      <c r="O526" s="613"/>
    </row>
    <row r="527" spans="12:16" x14ac:dyDescent="0.3">
      <c r="L527" s="613" t="s">
        <v>1112</v>
      </c>
      <c r="M527" s="613" t="s">
        <v>464</v>
      </c>
      <c r="N527" s="613" t="s">
        <v>464</v>
      </c>
      <c r="O527" s="613"/>
    </row>
    <row r="528" spans="12:16" x14ac:dyDescent="0.3">
      <c r="L528" s="613" t="s">
        <v>1113</v>
      </c>
      <c r="M528" s="613" t="s">
        <v>464</v>
      </c>
      <c r="N528" s="613" t="s">
        <v>464</v>
      </c>
      <c r="O528" s="613"/>
    </row>
    <row r="529" spans="12:16" x14ac:dyDescent="0.3">
      <c r="L529" s="613" t="s">
        <v>1114</v>
      </c>
      <c r="M529" s="613" t="s">
        <v>464</v>
      </c>
      <c r="N529" s="613" t="s">
        <v>464</v>
      </c>
      <c r="O529" s="613"/>
    </row>
    <row r="530" spans="12:16" x14ac:dyDescent="0.3">
      <c r="L530" s="613" t="s">
        <v>1115</v>
      </c>
      <c r="M530" s="613" t="s">
        <v>464</v>
      </c>
      <c r="N530" s="613" t="s">
        <v>464</v>
      </c>
      <c r="O530" s="613"/>
    </row>
    <row r="531" spans="12:16" x14ac:dyDescent="0.3">
      <c r="L531" s="613" t="s">
        <v>1116</v>
      </c>
      <c r="M531" s="613" t="s">
        <v>464</v>
      </c>
      <c r="N531" s="613" t="s">
        <v>464</v>
      </c>
      <c r="O531" s="613"/>
    </row>
    <row r="532" spans="12:16" x14ac:dyDescent="0.3">
      <c r="L532" s="613" t="s">
        <v>1117</v>
      </c>
      <c r="M532" s="613" t="s">
        <v>464</v>
      </c>
      <c r="N532" s="613" t="s">
        <v>464</v>
      </c>
      <c r="O532" s="613"/>
    </row>
    <row r="533" spans="12:16" x14ac:dyDescent="0.3">
      <c r="L533" s="613" t="s">
        <v>1118</v>
      </c>
      <c r="M533" s="613" t="s">
        <v>464</v>
      </c>
      <c r="N533" s="613" t="s">
        <v>464</v>
      </c>
      <c r="O533" s="613"/>
    </row>
    <row r="534" spans="12:16" x14ac:dyDescent="0.3">
      <c r="L534" s="613" t="s">
        <v>561</v>
      </c>
      <c r="M534" s="613" t="s">
        <v>464</v>
      </c>
      <c r="N534" s="613" t="s">
        <v>464</v>
      </c>
      <c r="O534" s="613"/>
    </row>
    <row r="535" spans="12:16" x14ac:dyDescent="0.3">
      <c r="L535" s="613" t="s">
        <v>855</v>
      </c>
      <c r="M535" s="613" t="s">
        <v>464</v>
      </c>
      <c r="N535" s="613" t="s">
        <v>464</v>
      </c>
      <c r="O535" s="613"/>
    </row>
    <row r="536" spans="12:16" x14ac:dyDescent="0.3">
      <c r="L536" s="613" t="s">
        <v>1119</v>
      </c>
      <c r="M536" s="613" t="s">
        <v>464</v>
      </c>
      <c r="N536" s="613" t="s">
        <v>464</v>
      </c>
      <c r="O536" s="613"/>
    </row>
    <row r="537" spans="12:16" x14ac:dyDescent="0.3">
      <c r="L537" s="613" t="s">
        <v>1120</v>
      </c>
      <c r="M537" s="613" t="s">
        <v>464</v>
      </c>
      <c r="N537" s="613" t="s">
        <v>464</v>
      </c>
      <c r="O537" s="613"/>
    </row>
    <row r="538" spans="12:16" x14ac:dyDescent="0.3">
      <c r="L538" s="613" t="s">
        <v>562</v>
      </c>
      <c r="M538" s="613" t="s">
        <v>464</v>
      </c>
      <c r="N538" s="613" t="s">
        <v>464</v>
      </c>
      <c r="O538" s="613"/>
    </row>
    <row r="539" spans="12:16" x14ac:dyDescent="0.3">
      <c r="L539" s="613" t="s">
        <v>1121</v>
      </c>
      <c r="M539" s="613" t="s">
        <v>464</v>
      </c>
      <c r="N539" s="613" t="s">
        <v>464</v>
      </c>
      <c r="O539" s="613"/>
    </row>
    <row r="540" spans="12:16" x14ac:dyDescent="0.3">
      <c r="L540" s="613" t="s">
        <v>400</v>
      </c>
      <c r="M540" s="613" t="s">
        <v>464</v>
      </c>
      <c r="N540" s="613" t="s">
        <v>464</v>
      </c>
      <c r="O540" s="613"/>
    </row>
    <row r="541" spans="12:16" x14ac:dyDescent="0.3">
      <c r="L541" s="615" t="s">
        <v>1122</v>
      </c>
      <c r="M541" s="615">
        <v>0.03</v>
      </c>
      <c r="N541" s="615">
        <v>0.05</v>
      </c>
      <c r="O541" s="613" t="s">
        <v>1532</v>
      </c>
      <c r="P541" s="622" t="s">
        <v>1528</v>
      </c>
    </row>
    <row r="542" spans="12:16" x14ac:dyDescent="0.3">
      <c r="L542" s="613" t="s">
        <v>1123</v>
      </c>
      <c r="M542" s="613" t="s">
        <v>464</v>
      </c>
      <c r="N542" s="613" t="s">
        <v>464</v>
      </c>
      <c r="O542" s="613"/>
    </row>
    <row r="543" spans="12:16" x14ac:dyDescent="0.3">
      <c r="L543" s="613" t="s">
        <v>1124</v>
      </c>
      <c r="M543" s="613" t="s">
        <v>464</v>
      </c>
      <c r="N543" s="613" t="s">
        <v>464</v>
      </c>
      <c r="O543" s="613" t="s">
        <v>1626</v>
      </c>
    </row>
    <row r="544" spans="12:16" x14ac:dyDescent="0.3">
      <c r="L544" s="613" t="s">
        <v>1125</v>
      </c>
      <c r="M544" s="613" t="s">
        <v>464</v>
      </c>
      <c r="N544" s="613" t="s">
        <v>464</v>
      </c>
      <c r="O544" s="613"/>
    </row>
    <row r="545" spans="12:15" x14ac:dyDescent="0.3">
      <c r="L545" s="613" t="s">
        <v>1126</v>
      </c>
      <c r="M545" s="613" t="s">
        <v>464</v>
      </c>
      <c r="N545" s="613" t="s">
        <v>464</v>
      </c>
      <c r="O545" s="613"/>
    </row>
    <row r="546" spans="12:15" x14ac:dyDescent="0.3">
      <c r="L546" s="613" t="s">
        <v>401</v>
      </c>
      <c r="M546" s="613" t="s">
        <v>464</v>
      </c>
      <c r="N546" s="613" t="s">
        <v>464</v>
      </c>
      <c r="O546" s="613"/>
    </row>
    <row r="547" spans="12:15" x14ac:dyDescent="0.3">
      <c r="L547" s="613" t="s">
        <v>1127</v>
      </c>
      <c r="M547" s="613" t="s">
        <v>464</v>
      </c>
      <c r="N547" s="613" t="s">
        <v>464</v>
      </c>
      <c r="O547" s="613" t="s">
        <v>1626</v>
      </c>
    </row>
    <row r="548" spans="12:15" x14ac:dyDescent="0.3">
      <c r="L548" s="613" t="s">
        <v>856</v>
      </c>
      <c r="M548" s="613" t="s">
        <v>464</v>
      </c>
      <c r="N548" s="613" t="s">
        <v>464</v>
      </c>
      <c r="O548" s="613"/>
    </row>
    <row r="549" spans="12:15" x14ac:dyDescent="0.3">
      <c r="L549" s="613" t="s">
        <v>1128</v>
      </c>
      <c r="M549" s="613" t="s">
        <v>464</v>
      </c>
      <c r="N549" s="613" t="s">
        <v>464</v>
      </c>
      <c r="O549" s="613"/>
    </row>
    <row r="550" spans="12:15" x14ac:dyDescent="0.3">
      <c r="L550" s="613" t="s">
        <v>1129</v>
      </c>
      <c r="M550" s="613" t="s">
        <v>464</v>
      </c>
      <c r="N550" s="613" t="s">
        <v>464</v>
      </c>
      <c r="O550" s="613"/>
    </row>
    <row r="551" spans="12:15" x14ac:dyDescent="0.3">
      <c r="L551" s="613" t="s">
        <v>1130</v>
      </c>
      <c r="M551" s="613" t="s">
        <v>464</v>
      </c>
      <c r="N551" s="613" t="s">
        <v>464</v>
      </c>
      <c r="O551" s="613"/>
    </row>
    <row r="552" spans="12:15" x14ac:dyDescent="0.3">
      <c r="L552" s="613" t="s">
        <v>1131</v>
      </c>
      <c r="M552" s="613" t="s">
        <v>464</v>
      </c>
      <c r="N552" s="613" t="s">
        <v>464</v>
      </c>
      <c r="O552" s="613"/>
    </row>
    <row r="553" spans="12:15" x14ac:dyDescent="0.3">
      <c r="L553" s="613" t="s">
        <v>857</v>
      </c>
      <c r="M553" s="613" t="s">
        <v>464</v>
      </c>
      <c r="N553" s="613" t="s">
        <v>464</v>
      </c>
      <c r="O553" s="613"/>
    </row>
    <row r="554" spans="12:15" x14ac:dyDescent="0.3">
      <c r="L554" s="613" t="s">
        <v>1132</v>
      </c>
      <c r="M554" s="613" t="s">
        <v>464</v>
      </c>
      <c r="N554" s="613" t="s">
        <v>464</v>
      </c>
      <c r="O554" s="613"/>
    </row>
    <row r="555" spans="12:15" x14ac:dyDescent="0.3">
      <c r="L555" s="613" t="s">
        <v>1133</v>
      </c>
      <c r="M555" s="613" t="s">
        <v>464</v>
      </c>
      <c r="N555" s="613" t="s">
        <v>464</v>
      </c>
      <c r="O555" s="613"/>
    </row>
  </sheetData>
  <sheetProtection algorithmName="SHA-512" hashValue="sOcOh/cCsop038ThRlOrJy7juhgD8Ng7ynWeJqFqYKIm/eGL02052wOuV/Sauf1GFeSheR1wWKgVk5/2vl/i8g==" saltValue="b26kXg5WD7TUJutFNryhkA==" spinCount="100000" sheet="1" objects="1" scenarios="1"/>
  <mergeCells count="6">
    <mergeCell ref="E40:G51"/>
    <mergeCell ref="A4:C4"/>
    <mergeCell ref="E4:F4"/>
    <mergeCell ref="E30:G33"/>
    <mergeCell ref="E35:G37"/>
    <mergeCell ref="E39:G39"/>
  </mergeCells>
  <pageMargins left="0.7" right="0.7" top="0.75" bottom="0.75" header="0.3" footer="0.3"/>
  <pageSetup scale="51"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61AA-1F33-41CA-842B-46C9999153DA}">
  <sheetPr codeName="Sheet17"/>
  <dimension ref="A1:CZ341"/>
  <sheetViews>
    <sheetView workbookViewId="0">
      <pane xSplit="3" ySplit="2" topLeftCell="D3" activePane="bottomRight" state="frozen"/>
      <selection pane="topRight" activeCell="D1" sqref="D1"/>
      <selection pane="bottomLeft" activeCell="A3" sqref="A3"/>
      <selection pane="bottomRight" activeCell="CD7" sqref="CD7"/>
    </sheetView>
  </sheetViews>
  <sheetFormatPr defaultRowHeight="14.4" x14ac:dyDescent="0.3"/>
  <cols>
    <col min="1" max="1" width="29.33203125" style="155" customWidth="1"/>
    <col min="2" max="2" width="80.44140625" customWidth="1"/>
    <col min="3" max="3" width="39.44140625" customWidth="1"/>
    <col min="4" max="97" width="20.6640625" customWidth="1"/>
    <col min="98" max="104" width="16.109375" customWidth="1"/>
  </cols>
  <sheetData>
    <row r="1" spans="1:99" ht="15.6" x14ac:dyDescent="0.3">
      <c r="A1" s="554" t="s">
        <v>1727</v>
      </c>
      <c r="B1" s="180" t="s">
        <v>351</v>
      </c>
      <c r="C1" s="180" t="s">
        <v>351</v>
      </c>
      <c r="D1" s="180" t="s">
        <v>836</v>
      </c>
      <c r="E1" s="180" t="s">
        <v>837</v>
      </c>
      <c r="F1" s="180" t="s">
        <v>1387</v>
      </c>
      <c r="G1" s="180" t="s">
        <v>1388</v>
      </c>
      <c r="H1" s="180" t="s">
        <v>1389</v>
      </c>
      <c r="I1" s="180" t="s">
        <v>1390</v>
      </c>
      <c r="J1" s="180" t="s">
        <v>524</v>
      </c>
      <c r="K1" s="180" t="s">
        <v>1391</v>
      </c>
      <c r="L1" s="180" t="s">
        <v>1392</v>
      </c>
      <c r="M1" s="180" t="s">
        <v>838</v>
      </c>
      <c r="N1" s="180" t="s">
        <v>1393</v>
      </c>
      <c r="O1" s="180" t="s">
        <v>1394</v>
      </c>
      <c r="P1" s="180" t="s">
        <v>1395</v>
      </c>
      <c r="Q1" s="180" t="s">
        <v>1396</v>
      </c>
      <c r="R1" s="180" t="s">
        <v>525</v>
      </c>
      <c r="S1" s="180" t="s">
        <v>1397</v>
      </c>
      <c r="T1" s="180" t="s">
        <v>1398</v>
      </c>
      <c r="U1" s="180" t="s">
        <v>1399</v>
      </c>
      <c r="V1" s="180" t="s">
        <v>1400</v>
      </c>
      <c r="W1" s="180" t="s">
        <v>1401</v>
      </c>
      <c r="X1" s="180" t="s">
        <v>1402</v>
      </c>
      <c r="Y1" s="180" t="s">
        <v>1403</v>
      </c>
      <c r="Z1" s="180" t="s">
        <v>1404</v>
      </c>
      <c r="AA1" s="180" t="s">
        <v>839</v>
      </c>
      <c r="AB1" s="180" t="s">
        <v>526</v>
      </c>
      <c r="AC1" s="180" t="s">
        <v>1405</v>
      </c>
      <c r="AD1" s="180" t="s">
        <v>1406</v>
      </c>
      <c r="AE1" s="180" t="s">
        <v>1407</v>
      </c>
      <c r="AF1" s="180" t="s">
        <v>1408</v>
      </c>
      <c r="AG1" s="180" t="s">
        <v>1409</v>
      </c>
      <c r="AH1" s="180" t="s">
        <v>527</v>
      </c>
      <c r="AI1" s="180" t="s">
        <v>1410</v>
      </c>
      <c r="AJ1" s="180" t="s">
        <v>1411</v>
      </c>
      <c r="AK1" s="180" t="s">
        <v>1412</v>
      </c>
      <c r="AL1" s="180" t="s">
        <v>528</v>
      </c>
      <c r="AM1" s="180" t="s">
        <v>1413</v>
      </c>
      <c r="AN1" s="180" t="s">
        <v>529</v>
      </c>
      <c r="AO1" s="180" t="s">
        <v>530</v>
      </c>
      <c r="AP1" s="180" t="s">
        <v>531</v>
      </c>
      <c r="AQ1" s="180" t="s">
        <v>1414</v>
      </c>
      <c r="AR1" s="180" t="s">
        <v>1415</v>
      </c>
      <c r="AS1" s="180" t="s">
        <v>1416</v>
      </c>
      <c r="AT1" s="180" t="s">
        <v>533</v>
      </c>
      <c r="AU1" s="180" t="s">
        <v>534</v>
      </c>
      <c r="AV1" s="180" t="s">
        <v>1417</v>
      </c>
      <c r="AW1" s="180" t="s">
        <v>1418</v>
      </c>
      <c r="AX1" s="180" t="s">
        <v>1419</v>
      </c>
      <c r="AY1" s="180" t="s">
        <v>1420</v>
      </c>
      <c r="AZ1" s="180" t="s">
        <v>1421</v>
      </c>
      <c r="BA1" s="180" t="s">
        <v>1422</v>
      </c>
      <c r="BB1" s="180" t="s">
        <v>1423</v>
      </c>
      <c r="BC1" s="180" t="s">
        <v>1424</v>
      </c>
      <c r="BD1" s="180" t="s">
        <v>1425</v>
      </c>
      <c r="BE1" s="180" t="s">
        <v>1426</v>
      </c>
      <c r="BF1" s="180" t="s">
        <v>1427</v>
      </c>
      <c r="BG1" s="180" t="s">
        <v>1428</v>
      </c>
      <c r="BH1" s="180" t="s">
        <v>1429</v>
      </c>
      <c r="BI1" s="180" t="s">
        <v>1430</v>
      </c>
      <c r="BJ1" s="180" t="s">
        <v>1431</v>
      </c>
      <c r="BK1" s="180" t="s">
        <v>1432</v>
      </c>
      <c r="BL1" s="180" t="s">
        <v>536</v>
      </c>
      <c r="BM1" s="180" t="s">
        <v>537</v>
      </c>
      <c r="BN1" s="180" t="s">
        <v>1433</v>
      </c>
      <c r="BO1" s="180" t="s">
        <v>1434</v>
      </c>
      <c r="BP1" s="180" t="s">
        <v>1435</v>
      </c>
      <c r="BQ1" s="180" t="s">
        <v>1436</v>
      </c>
      <c r="BR1" s="180" t="s">
        <v>1437</v>
      </c>
      <c r="BS1" s="180" t="s">
        <v>1438</v>
      </c>
      <c r="BT1" s="180" t="s">
        <v>1439</v>
      </c>
      <c r="BU1" s="180" t="s">
        <v>1440</v>
      </c>
      <c r="BV1" s="180" t="s">
        <v>1441</v>
      </c>
      <c r="BW1" s="180" t="s">
        <v>840</v>
      </c>
      <c r="BX1" s="180" t="s">
        <v>1442</v>
      </c>
      <c r="BY1" s="180" t="s">
        <v>538</v>
      </c>
      <c r="BZ1" s="180" t="s">
        <v>539</v>
      </c>
      <c r="CA1" s="180" t="s">
        <v>1443</v>
      </c>
      <c r="CB1" s="180" t="s">
        <v>1444</v>
      </c>
      <c r="CC1" s="180" t="s">
        <v>540</v>
      </c>
      <c r="CD1" s="180" t="s">
        <v>541</v>
      </c>
      <c r="CE1" s="180"/>
      <c r="CF1" s="180"/>
      <c r="CG1" s="180"/>
      <c r="CH1" s="180"/>
      <c r="CI1" s="180"/>
      <c r="CJ1" s="180"/>
      <c r="CK1" s="180"/>
      <c r="CL1" s="180"/>
      <c r="CM1" s="180"/>
      <c r="CN1" s="180"/>
      <c r="CO1" s="180"/>
      <c r="CP1" s="180"/>
      <c r="CQ1" s="180"/>
      <c r="CR1" s="180"/>
      <c r="CS1" s="180"/>
      <c r="CT1" s="180"/>
      <c r="CU1" s="180"/>
    </row>
    <row r="2" spans="1:99" x14ac:dyDescent="0.3">
      <c r="A2" s="155" t="s">
        <v>895</v>
      </c>
      <c r="B2" s="180" t="s">
        <v>41</v>
      </c>
      <c r="C2" s="180" t="s">
        <v>13</v>
      </c>
      <c r="D2" s="809">
        <v>50254</v>
      </c>
      <c r="E2" s="809">
        <v>50255</v>
      </c>
      <c r="F2" s="809">
        <v>50256</v>
      </c>
      <c r="G2" s="809">
        <v>50558</v>
      </c>
      <c r="H2" s="809">
        <v>50566</v>
      </c>
      <c r="I2" s="809">
        <v>50562</v>
      </c>
      <c r="J2" s="809">
        <v>50257</v>
      </c>
      <c r="K2" s="809">
        <v>50555</v>
      </c>
      <c r="L2" s="809">
        <v>50445</v>
      </c>
      <c r="M2" s="809">
        <v>50452</v>
      </c>
      <c r="N2" s="809">
        <v>50563</v>
      </c>
      <c r="O2" s="809">
        <v>50258</v>
      </c>
      <c r="P2" s="809">
        <v>50523</v>
      </c>
      <c r="Q2" s="809">
        <v>50259</v>
      </c>
      <c r="R2" s="809">
        <v>50260</v>
      </c>
      <c r="S2" s="809">
        <v>50487</v>
      </c>
      <c r="T2" s="809">
        <v>50261</v>
      </c>
      <c r="U2" s="809">
        <v>50262</v>
      </c>
      <c r="V2" s="809">
        <v>50263</v>
      </c>
      <c r="W2" s="809">
        <v>50264</v>
      </c>
      <c r="X2" s="809">
        <v>50265</v>
      </c>
      <c r="Y2" s="809">
        <v>50266</v>
      </c>
      <c r="Z2" s="809">
        <v>50267</v>
      </c>
      <c r="AA2" s="809">
        <v>50268</v>
      </c>
      <c r="AB2" s="809">
        <v>50269</v>
      </c>
      <c r="AC2" s="809">
        <v>50270</v>
      </c>
      <c r="AD2" s="809">
        <v>50271</v>
      </c>
      <c r="AE2" s="809">
        <v>50272</v>
      </c>
      <c r="AF2" s="809">
        <v>50273</v>
      </c>
      <c r="AG2" s="809">
        <v>50274</v>
      </c>
      <c r="AH2" s="809">
        <v>50480</v>
      </c>
      <c r="AI2" s="809">
        <v>50275</v>
      </c>
      <c r="AJ2" s="809">
        <v>50277</v>
      </c>
      <c r="AK2" s="809">
        <v>50276</v>
      </c>
      <c r="AL2" s="809">
        <v>50278</v>
      </c>
      <c r="AM2" s="809">
        <v>50279</v>
      </c>
      <c r="AN2" s="809">
        <v>50280</v>
      </c>
      <c r="AO2" s="809">
        <v>50281</v>
      </c>
      <c r="AP2" s="809">
        <v>50478</v>
      </c>
      <c r="AQ2" s="809">
        <v>50524</v>
      </c>
      <c r="AR2" s="809">
        <v>50282</v>
      </c>
      <c r="AS2" s="809">
        <v>50525</v>
      </c>
      <c r="AT2" s="809">
        <v>50283</v>
      </c>
      <c r="AU2" s="809">
        <v>50285</v>
      </c>
      <c r="AV2" s="809">
        <v>50553</v>
      </c>
      <c r="AW2" s="809">
        <v>50548</v>
      </c>
      <c r="AX2" s="809">
        <v>50284</v>
      </c>
      <c r="AY2" s="809">
        <v>50286</v>
      </c>
      <c r="AZ2" s="809">
        <v>50287</v>
      </c>
      <c r="BA2" s="809">
        <v>50288</v>
      </c>
      <c r="BB2" s="809">
        <v>50290</v>
      </c>
      <c r="BC2" s="809">
        <v>50564</v>
      </c>
      <c r="BD2" s="809">
        <v>50289</v>
      </c>
      <c r="BE2" s="809">
        <v>50291</v>
      </c>
      <c r="BF2" s="809">
        <v>50292</v>
      </c>
      <c r="BG2" s="809">
        <v>50293</v>
      </c>
      <c r="BH2" s="809">
        <v>50463</v>
      </c>
      <c r="BI2" s="809">
        <v>50294</v>
      </c>
      <c r="BJ2" s="809">
        <v>50538</v>
      </c>
      <c r="BK2" s="809">
        <v>50295</v>
      </c>
      <c r="BL2" s="809">
        <v>50296</v>
      </c>
      <c r="BM2" s="809">
        <v>50297</v>
      </c>
      <c r="BN2" s="809">
        <v>50449</v>
      </c>
      <c r="BO2" s="809">
        <v>50300</v>
      </c>
      <c r="BP2" s="809">
        <v>50298</v>
      </c>
      <c r="BQ2" s="809">
        <v>50299</v>
      </c>
      <c r="BR2" s="809">
        <v>50301</v>
      </c>
      <c r="BS2" s="180">
        <v>50302</v>
      </c>
      <c r="BT2" s="180">
        <v>50303</v>
      </c>
      <c r="BU2" s="180">
        <v>50304</v>
      </c>
      <c r="BV2" s="180">
        <v>50540</v>
      </c>
      <c r="BW2" s="180">
        <v>50305</v>
      </c>
      <c r="BX2" s="180">
        <v>50306</v>
      </c>
      <c r="BY2" s="180">
        <v>50479</v>
      </c>
      <c r="BZ2" s="180">
        <v>50307</v>
      </c>
      <c r="CA2" s="180">
        <v>50308</v>
      </c>
      <c r="CB2" s="180">
        <v>50309</v>
      </c>
      <c r="CC2" s="180">
        <v>50310</v>
      </c>
      <c r="CD2" s="180">
        <v>50311</v>
      </c>
      <c r="CE2" s="180"/>
      <c r="CF2" s="180"/>
      <c r="CG2" s="180"/>
      <c r="CH2" s="180"/>
      <c r="CI2" s="180"/>
      <c r="CJ2" s="180"/>
      <c r="CK2" s="180"/>
      <c r="CL2" s="180"/>
      <c r="CM2" s="180"/>
      <c r="CN2" s="180"/>
      <c r="CO2" s="180"/>
      <c r="CP2" s="180"/>
      <c r="CQ2" s="180"/>
      <c r="CR2" s="180"/>
      <c r="CS2" s="180"/>
      <c r="CT2" s="180"/>
      <c r="CU2" s="180"/>
    </row>
    <row r="3" spans="1:99" x14ac:dyDescent="0.3">
      <c r="A3" s="155">
        <v>4</v>
      </c>
      <c r="B3" s="180" t="s">
        <v>111</v>
      </c>
      <c r="C3" s="180"/>
      <c r="D3" s="180"/>
      <c r="E3" s="180">
        <v>22201</v>
      </c>
      <c r="F3" s="180">
        <v>48301</v>
      </c>
      <c r="G3" s="180">
        <v>184098</v>
      </c>
      <c r="H3" s="180">
        <v>42059</v>
      </c>
      <c r="I3" s="180">
        <v>16418</v>
      </c>
      <c r="J3" s="180">
        <v>377</v>
      </c>
      <c r="K3" s="180">
        <v>11276</v>
      </c>
      <c r="L3" s="180">
        <v>5952</v>
      </c>
      <c r="M3" s="180">
        <v>537057</v>
      </c>
      <c r="N3" s="180">
        <v>8027</v>
      </c>
      <c r="O3" s="180">
        <v>53537</v>
      </c>
      <c r="P3" s="180">
        <v>780</v>
      </c>
      <c r="Q3" s="180">
        <v>3118143</v>
      </c>
      <c r="R3" s="180">
        <v>15332</v>
      </c>
      <c r="S3" s="180">
        <v>2483</v>
      </c>
      <c r="T3" s="180">
        <v>6956530</v>
      </c>
      <c r="U3" s="180">
        <v>1047378</v>
      </c>
      <c r="V3" s="180">
        <v>966621</v>
      </c>
      <c r="W3" s="180">
        <v>2504089</v>
      </c>
      <c r="X3" s="180"/>
      <c r="Y3" s="180">
        <v>1269022</v>
      </c>
      <c r="Z3" s="180">
        <v>77606</v>
      </c>
      <c r="AA3" s="180">
        <v>347060</v>
      </c>
      <c r="AB3" s="180">
        <v>204084</v>
      </c>
      <c r="AC3" s="180">
        <v>75441</v>
      </c>
      <c r="AD3" s="180">
        <v>42162</v>
      </c>
      <c r="AE3" s="180">
        <v>77372</v>
      </c>
      <c r="AF3" s="180">
        <v>923070</v>
      </c>
      <c r="AG3" s="180">
        <v>551946</v>
      </c>
      <c r="AH3" s="180">
        <v>27046</v>
      </c>
      <c r="AI3" s="180">
        <v>1978327</v>
      </c>
      <c r="AJ3" s="180">
        <v>10579</v>
      </c>
      <c r="AK3" s="180"/>
      <c r="AL3" s="180"/>
      <c r="AM3" s="180">
        <v>652029</v>
      </c>
      <c r="AN3" s="180">
        <v>25566</v>
      </c>
      <c r="AO3" s="180">
        <v>4945</v>
      </c>
      <c r="AP3" s="180">
        <v>28345</v>
      </c>
      <c r="AQ3" s="180">
        <v>47712</v>
      </c>
      <c r="AR3" s="180">
        <v>160379</v>
      </c>
      <c r="AS3" s="180"/>
      <c r="AT3" s="180">
        <v>451223</v>
      </c>
      <c r="AU3" s="180">
        <v>35525</v>
      </c>
      <c r="AV3" s="180">
        <v>457491</v>
      </c>
      <c r="AW3" s="180">
        <v>906967</v>
      </c>
      <c r="AX3" s="180">
        <v>67734</v>
      </c>
      <c r="AY3" s="180">
        <v>632885</v>
      </c>
      <c r="AZ3" s="180">
        <v>25965</v>
      </c>
      <c r="BA3" s="180">
        <v>41656</v>
      </c>
      <c r="BB3" s="180">
        <v>0</v>
      </c>
      <c r="BC3" s="180">
        <v>14059</v>
      </c>
      <c r="BD3" s="180">
        <v>426673</v>
      </c>
      <c r="BE3" s="180">
        <v>30798</v>
      </c>
      <c r="BF3" s="180">
        <v>13125</v>
      </c>
      <c r="BG3" s="180">
        <v>2018</v>
      </c>
      <c r="BH3" s="180">
        <v>780</v>
      </c>
      <c r="BI3" s="180">
        <v>2698</v>
      </c>
      <c r="BJ3" s="180">
        <v>33505</v>
      </c>
      <c r="BK3" s="180">
        <v>100386</v>
      </c>
      <c r="BL3" s="180"/>
      <c r="BM3" s="180">
        <v>54605</v>
      </c>
      <c r="BN3" s="180">
        <v>206956</v>
      </c>
      <c r="BO3" s="180">
        <v>53491</v>
      </c>
      <c r="BP3" s="180">
        <v>13858</v>
      </c>
      <c r="BQ3" s="180">
        <v>2022818</v>
      </c>
      <c r="BR3" s="180">
        <v>62417</v>
      </c>
      <c r="BS3" s="180">
        <v>1540211</v>
      </c>
      <c r="BT3" s="180">
        <v>82629</v>
      </c>
      <c r="BU3" s="180">
        <v>398991</v>
      </c>
      <c r="BV3" s="180">
        <v>675171</v>
      </c>
      <c r="BW3" s="180">
        <v>104392</v>
      </c>
      <c r="BX3" s="180">
        <v>39926</v>
      </c>
      <c r="BY3" s="180">
        <v>18512</v>
      </c>
      <c r="BZ3" s="180">
        <v>11581</v>
      </c>
      <c r="CA3" s="180">
        <v>11009</v>
      </c>
      <c r="CB3" s="180">
        <v>29612</v>
      </c>
      <c r="CC3" s="180"/>
      <c r="CD3" s="180">
        <v>24574</v>
      </c>
      <c r="CE3" s="180"/>
      <c r="CF3" s="180"/>
      <c r="CG3" s="180"/>
      <c r="CH3" s="180"/>
      <c r="CI3" s="180"/>
      <c r="CJ3" s="180"/>
      <c r="CK3" s="180"/>
      <c r="CL3" s="180"/>
      <c r="CM3" s="180"/>
      <c r="CN3" s="180"/>
      <c r="CO3" s="180"/>
      <c r="CP3" s="180"/>
      <c r="CQ3" s="180"/>
      <c r="CR3" s="180"/>
      <c r="CS3" s="180"/>
      <c r="CT3" s="180"/>
      <c r="CU3" s="180"/>
    </row>
    <row r="4" spans="1:99" x14ac:dyDescent="0.3">
      <c r="A4" s="155">
        <v>5</v>
      </c>
      <c r="B4" s="180" t="s">
        <v>112</v>
      </c>
      <c r="C4" s="180"/>
      <c r="D4" s="180"/>
      <c r="E4" s="180">
        <v>0</v>
      </c>
      <c r="F4" s="180">
        <v>0</v>
      </c>
      <c r="G4" s="180">
        <v>359</v>
      </c>
      <c r="H4" s="180">
        <v>0</v>
      </c>
      <c r="I4" s="180">
        <v>4502</v>
      </c>
      <c r="J4" s="180">
        <v>0</v>
      </c>
      <c r="K4" s="180">
        <v>2</v>
      </c>
      <c r="L4" s="180">
        <v>0</v>
      </c>
      <c r="M4" s="180">
        <v>0</v>
      </c>
      <c r="N4" s="180">
        <v>0</v>
      </c>
      <c r="O4" s="180">
        <v>0</v>
      </c>
      <c r="P4" s="180">
        <v>0</v>
      </c>
      <c r="Q4" s="180">
        <v>22731</v>
      </c>
      <c r="R4" s="180">
        <v>0</v>
      </c>
      <c r="S4" s="180">
        <v>0</v>
      </c>
      <c r="T4" s="180">
        <v>2212904</v>
      </c>
      <c r="U4" s="180">
        <v>796981</v>
      </c>
      <c r="V4" s="180">
        <v>0</v>
      </c>
      <c r="W4" s="180">
        <v>12777</v>
      </c>
      <c r="X4" s="180"/>
      <c r="Y4" s="180">
        <v>29790</v>
      </c>
      <c r="Z4" s="180">
        <v>0</v>
      </c>
      <c r="AA4" s="180">
        <v>0</v>
      </c>
      <c r="AB4" s="180">
        <v>0</v>
      </c>
      <c r="AC4" s="180">
        <v>0</v>
      </c>
      <c r="AD4" s="180">
        <v>0</v>
      </c>
      <c r="AE4" s="180">
        <v>10554</v>
      </c>
      <c r="AF4" s="180">
        <v>8589</v>
      </c>
      <c r="AG4" s="180">
        <v>33910</v>
      </c>
      <c r="AH4" s="180">
        <v>0</v>
      </c>
      <c r="AI4" s="180">
        <v>286706</v>
      </c>
      <c r="AJ4" s="180">
        <v>0</v>
      </c>
      <c r="AK4" s="180"/>
      <c r="AL4" s="180"/>
      <c r="AM4" s="180">
        <v>1096</v>
      </c>
      <c r="AN4" s="180">
        <v>2051</v>
      </c>
      <c r="AO4" s="180">
        <v>0</v>
      </c>
      <c r="AP4" s="180">
        <v>0</v>
      </c>
      <c r="AQ4" s="180">
        <v>0</v>
      </c>
      <c r="AR4" s="180">
        <v>12500000</v>
      </c>
      <c r="AS4" s="180"/>
      <c r="AT4" s="180">
        <v>48777</v>
      </c>
      <c r="AU4" s="180">
        <v>0</v>
      </c>
      <c r="AV4" s="180">
        <v>357013</v>
      </c>
      <c r="AW4" s="180">
        <v>0</v>
      </c>
      <c r="AX4" s="180">
        <v>0</v>
      </c>
      <c r="AY4" s="180">
        <v>0</v>
      </c>
      <c r="AZ4" s="180">
        <v>0</v>
      </c>
      <c r="BA4" s="180">
        <v>0</v>
      </c>
      <c r="BB4" s="180">
        <v>0</v>
      </c>
      <c r="BC4" s="180">
        <v>0</v>
      </c>
      <c r="BD4" s="180">
        <v>0</v>
      </c>
      <c r="BE4" s="180">
        <v>0</v>
      </c>
      <c r="BF4" s="180">
        <v>0</v>
      </c>
      <c r="BG4" s="180">
        <v>39168</v>
      </c>
      <c r="BH4" s="180">
        <v>0</v>
      </c>
      <c r="BI4" s="180">
        <v>0</v>
      </c>
      <c r="BJ4" s="180">
        <v>0</v>
      </c>
      <c r="BK4" s="180">
        <v>0</v>
      </c>
      <c r="BL4" s="180"/>
      <c r="BM4" s="180">
        <v>0</v>
      </c>
      <c r="BN4" s="180">
        <v>42219</v>
      </c>
      <c r="BO4" s="180">
        <v>0</v>
      </c>
      <c r="BP4" s="180">
        <v>1796</v>
      </c>
      <c r="BQ4" s="180">
        <v>0</v>
      </c>
      <c r="BR4" s="180">
        <v>196796</v>
      </c>
      <c r="BS4" s="180">
        <v>0</v>
      </c>
      <c r="BT4" s="180">
        <v>0</v>
      </c>
      <c r="BU4" s="180">
        <v>471158</v>
      </c>
      <c r="BV4" s="180">
        <v>0</v>
      </c>
      <c r="BW4" s="180">
        <v>5111</v>
      </c>
      <c r="BX4" s="180">
        <v>1288</v>
      </c>
      <c r="BY4" s="180">
        <v>0</v>
      </c>
      <c r="BZ4" s="180">
        <v>157219</v>
      </c>
      <c r="CA4" s="180">
        <v>260</v>
      </c>
      <c r="CB4" s="180">
        <v>0</v>
      </c>
      <c r="CC4" s="180"/>
      <c r="CD4" s="180">
        <v>0</v>
      </c>
      <c r="CE4" s="180"/>
      <c r="CF4" s="180"/>
      <c r="CG4" s="180"/>
      <c r="CH4" s="180"/>
      <c r="CI4" s="180"/>
      <c r="CJ4" s="180"/>
      <c r="CK4" s="180"/>
      <c r="CL4" s="180"/>
      <c r="CM4" s="180"/>
      <c r="CN4" s="180"/>
      <c r="CO4" s="180"/>
      <c r="CP4" s="180"/>
      <c r="CQ4" s="180"/>
      <c r="CR4" s="180"/>
      <c r="CS4" s="180"/>
      <c r="CT4" s="180"/>
      <c r="CU4" s="180"/>
    </row>
    <row r="5" spans="1:99" x14ac:dyDescent="0.3">
      <c r="A5" s="155">
        <v>6</v>
      </c>
      <c r="B5" s="180" t="s">
        <v>251</v>
      </c>
      <c r="C5" s="180"/>
      <c r="D5" s="180"/>
      <c r="E5" s="180">
        <v>0</v>
      </c>
      <c r="F5" s="180">
        <v>0</v>
      </c>
      <c r="G5" s="180">
        <v>0</v>
      </c>
      <c r="H5" s="180">
        <v>0</v>
      </c>
      <c r="I5" s="180">
        <v>0</v>
      </c>
      <c r="J5" s="180">
        <v>0</v>
      </c>
      <c r="K5" s="180">
        <v>0</v>
      </c>
      <c r="L5" s="180">
        <v>0</v>
      </c>
      <c r="M5" s="180">
        <v>21750</v>
      </c>
      <c r="N5" s="180">
        <v>0</v>
      </c>
      <c r="O5" s="180">
        <v>0</v>
      </c>
      <c r="P5" s="180">
        <v>0</v>
      </c>
      <c r="Q5" s="180">
        <v>3780216</v>
      </c>
      <c r="R5" s="180">
        <v>0</v>
      </c>
      <c r="S5" s="180">
        <v>0</v>
      </c>
      <c r="T5" s="180">
        <v>3573194</v>
      </c>
      <c r="U5" s="180">
        <v>0</v>
      </c>
      <c r="V5" s="180">
        <v>922564</v>
      </c>
      <c r="W5" s="180">
        <v>1008878</v>
      </c>
      <c r="X5" s="180"/>
      <c r="Y5" s="180">
        <v>1631319</v>
      </c>
      <c r="Z5" s="180">
        <v>0</v>
      </c>
      <c r="AA5" s="180">
        <v>0</v>
      </c>
      <c r="AB5" s="180">
        <v>0</v>
      </c>
      <c r="AC5" s="180">
        <v>0</v>
      </c>
      <c r="AD5" s="180">
        <v>0</v>
      </c>
      <c r="AE5" s="180">
        <v>0</v>
      </c>
      <c r="AF5" s="180">
        <v>1154135</v>
      </c>
      <c r="AG5" s="180">
        <v>0</v>
      </c>
      <c r="AH5" s="180">
        <v>0</v>
      </c>
      <c r="AI5" s="180">
        <v>2126270</v>
      </c>
      <c r="AJ5" s="180">
        <v>0</v>
      </c>
      <c r="AK5" s="180"/>
      <c r="AL5" s="180"/>
      <c r="AM5" s="180">
        <v>743446</v>
      </c>
      <c r="AN5" s="180">
        <v>0</v>
      </c>
      <c r="AO5" s="180">
        <v>0</v>
      </c>
      <c r="AP5" s="180">
        <v>0</v>
      </c>
      <c r="AQ5" s="180">
        <v>0</v>
      </c>
      <c r="AR5" s="180">
        <v>0</v>
      </c>
      <c r="AS5" s="180"/>
      <c r="AT5" s="180">
        <v>0</v>
      </c>
      <c r="AU5" s="180">
        <v>0</v>
      </c>
      <c r="AV5" s="180">
        <v>0</v>
      </c>
      <c r="AW5" s="180">
        <v>0</v>
      </c>
      <c r="AX5" s="180">
        <v>0</v>
      </c>
      <c r="AY5" s="180">
        <v>0</v>
      </c>
      <c r="AZ5" s="180">
        <v>0</v>
      </c>
      <c r="BA5" s="180">
        <v>0</v>
      </c>
      <c r="BB5" s="180">
        <v>0</v>
      </c>
      <c r="BC5" s="180">
        <v>0</v>
      </c>
      <c r="BD5" s="180">
        <v>0</v>
      </c>
      <c r="BE5" s="180">
        <v>0</v>
      </c>
      <c r="BF5" s="180">
        <v>0</v>
      </c>
      <c r="BG5" s="180">
        <v>0</v>
      </c>
      <c r="BH5" s="180">
        <v>0</v>
      </c>
      <c r="BI5" s="180">
        <v>0</v>
      </c>
      <c r="BJ5" s="180">
        <v>0</v>
      </c>
      <c r="BK5" s="180">
        <v>0</v>
      </c>
      <c r="BL5" s="180"/>
      <c r="BM5" s="180">
        <v>0</v>
      </c>
      <c r="BN5" s="180">
        <v>0</v>
      </c>
      <c r="BO5" s="180">
        <v>0</v>
      </c>
      <c r="BP5" s="180">
        <v>0</v>
      </c>
      <c r="BQ5" s="180">
        <v>615675</v>
      </c>
      <c r="BR5" s="180">
        <v>0</v>
      </c>
      <c r="BS5" s="180">
        <v>0</v>
      </c>
      <c r="BT5" s="180">
        <v>0</v>
      </c>
      <c r="BU5" s="180">
        <v>0</v>
      </c>
      <c r="BV5" s="180">
        <v>0</v>
      </c>
      <c r="BW5" s="180">
        <v>0</v>
      </c>
      <c r="BX5" s="180">
        <v>0</v>
      </c>
      <c r="BY5" s="180">
        <v>0</v>
      </c>
      <c r="BZ5" s="180">
        <v>0</v>
      </c>
      <c r="CA5" s="180">
        <v>0</v>
      </c>
      <c r="CB5" s="180">
        <v>0</v>
      </c>
      <c r="CC5" s="180"/>
      <c r="CD5" s="180">
        <v>0</v>
      </c>
      <c r="CE5" s="180"/>
      <c r="CF5" s="180"/>
      <c r="CG5" s="180"/>
      <c r="CH5" s="180"/>
      <c r="CI5" s="180"/>
      <c r="CJ5" s="180"/>
      <c r="CK5" s="180"/>
      <c r="CL5" s="180"/>
      <c r="CM5" s="180"/>
      <c r="CN5" s="180"/>
      <c r="CO5" s="180"/>
      <c r="CP5" s="180"/>
      <c r="CQ5" s="180"/>
      <c r="CR5" s="180"/>
      <c r="CS5" s="180"/>
      <c r="CT5" s="180"/>
      <c r="CU5" s="180"/>
    </row>
    <row r="6" spans="1:99" x14ac:dyDescent="0.3">
      <c r="A6" s="155">
        <v>7</v>
      </c>
      <c r="B6" s="180" t="s">
        <v>193</v>
      </c>
      <c r="C6" s="180"/>
      <c r="D6" s="180"/>
      <c r="E6" s="180">
        <v>0</v>
      </c>
      <c r="F6" s="180">
        <v>0</v>
      </c>
      <c r="G6" s="180">
        <v>0</v>
      </c>
      <c r="H6" s="180">
        <v>0</v>
      </c>
      <c r="I6" s="180">
        <v>28431</v>
      </c>
      <c r="J6" s="180">
        <v>0</v>
      </c>
      <c r="K6" s="180">
        <v>0</v>
      </c>
      <c r="L6" s="180">
        <v>0</v>
      </c>
      <c r="M6" s="180">
        <v>66081</v>
      </c>
      <c r="N6" s="180">
        <v>0</v>
      </c>
      <c r="O6" s="180">
        <v>0</v>
      </c>
      <c r="P6" s="180">
        <v>0</v>
      </c>
      <c r="Q6" s="180">
        <v>724013</v>
      </c>
      <c r="R6" s="180">
        <v>0</v>
      </c>
      <c r="S6" s="180">
        <v>10043</v>
      </c>
      <c r="T6" s="180">
        <v>333710</v>
      </c>
      <c r="U6" s="180">
        <v>25275</v>
      </c>
      <c r="V6" s="180">
        <v>220939</v>
      </c>
      <c r="W6" s="180">
        <v>28888</v>
      </c>
      <c r="X6" s="180"/>
      <c r="Y6" s="180">
        <v>156792</v>
      </c>
      <c r="Z6" s="180">
        <v>2668</v>
      </c>
      <c r="AA6" s="180">
        <v>98693</v>
      </c>
      <c r="AB6" s="180">
        <v>15000</v>
      </c>
      <c r="AC6" s="180">
        <v>0</v>
      </c>
      <c r="AD6" s="180">
        <v>65586</v>
      </c>
      <c r="AE6" s="180">
        <v>12195</v>
      </c>
      <c r="AF6" s="180">
        <v>112860</v>
      </c>
      <c r="AG6" s="180">
        <v>10124</v>
      </c>
      <c r="AH6" s="180">
        <v>0</v>
      </c>
      <c r="AI6" s="180">
        <v>639621</v>
      </c>
      <c r="AJ6" s="180">
        <v>0</v>
      </c>
      <c r="AK6" s="180"/>
      <c r="AL6" s="180"/>
      <c r="AM6" s="180">
        <v>69931</v>
      </c>
      <c r="AN6" s="180">
        <v>0</v>
      </c>
      <c r="AO6" s="180">
        <v>0</v>
      </c>
      <c r="AP6" s="180">
        <v>0</v>
      </c>
      <c r="AQ6" s="180">
        <v>0</v>
      </c>
      <c r="AR6" s="180">
        <v>0</v>
      </c>
      <c r="AS6" s="180"/>
      <c r="AT6" s="180">
        <v>0</v>
      </c>
      <c r="AU6" s="180">
        <v>0</v>
      </c>
      <c r="AV6" s="180">
        <v>268287</v>
      </c>
      <c r="AW6" s="180">
        <v>0</v>
      </c>
      <c r="AX6" s="180">
        <v>0</v>
      </c>
      <c r="AY6" s="180">
        <v>0</v>
      </c>
      <c r="AZ6" s="180">
        <v>0</v>
      </c>
      <c r="BA6" s="180">
        <v>0</v>
      </c>
      <c r="BB6" s="180">
        <v>0</v>
      </c>
      <c r="BC6" s="180">
        <v>3052</v>
      </c>
      <c r="BD6" s="180">
        <v>71030</v>
      </c>
      <c r="BE6" s="180">
        <v>0</v>
      </c>
      <c r="BF6" s="180">
        <v>0</v>
      </c>
      <c r="BG6" s="180">
        <v>0</v>
      </c>
      <c r="BH6" s="180">
        <v>0</v>
      </c>
      <c r="BI6" s="180">
        <v>0</v>
      </c>
      <c r="BJ6" s="180">
        <v>6188</v>
      </c>
      <c r="BK6" s="180">
        <v>0</v>
      </c>
      <c r="BL6" s="180"/>
      <c r="BM6" s="180">
        <v>0</v>
      </c>
      <c r="BN6" s="180">
        <v>42074</v>
      </c>
      <c r="BO6" s="180">
        <v>0</v>
      </c>
      <c r="BP6" s="180">
        <v>0</v>
      </c>
      <c r="BQ6" s="180">
        <v>145753</v>
      </c>
      <c r="BR6" s="180">
        <v>0</v>
      </c>
      <c r="BS6" s="180">
        <v>120383</v>
      </c>
      <c r="BT6" s="180">
        <v>0</v>
      </c>
      <c r="BU6" s="180">
        <v>0</v>
      </c>
      <c r="BV6" s="180">
        <v>350</v>
      </c>
      <c r="BW6" s="180">
        <v>0</v>
      </c>
      <c r="BX6" s="180">
        <v>0</v>
      </c>
      <c r="BY6" s="180">
        <v>0</v>
      </c>
      <c r="BZ6" s="180">
        <v>0</v>
      </c>
      <c r="CA6" s="180">
        <v>0</v>
      </c>
      <c r="CB6" s="180">
        <v>27854</v>
      </c>
      <c r="CC6" s="180"/>
      <c r="CD6" s="180">
        <v>0</v>
      </c>
      <c r="CE6" s="180"/>
      <c r="CF6" s="180"/>
      <c r="CG6" s="180"/>
      <c r="CH6" s="180"/>
      <c r="CI6" s="180"/>
      <c r="CJ6" s="180"/>
      <c r="CK6" s="180"/>
      <c r="CL6" s="180"/>
      <c r="CM6" s="180"/>
      <c r="CN6" s="180"/>
      <c r="CO6" s="180"/>
      <c r="CP6" s="180"/>
      <c r="CQ6" s="180"/>
      <c r="CR6" s="180"/>
      <c r="CS6" s="180"/>
      <c r="CT6" s="180"/>
      <c r="CU6" s="180"/>
    </row>
    <row r="7" spans="1:99" x14ac:dyDescent="0.3">
      <c r="A7" s="155">
        <v>9</v>
      </c>
      <c r="B7" s="180" t="s">
        <v>195</v>
      </c>
      <c r="C7" s="180"/>
      <c r="D7" s="180"/>
      <c r="E7" s="180">
        <v>200441</v>
      </c>
      <c r="F7" s="180">
        <v>1182785</v>
      </c>
      <c r="G7" s="180">
        <v>5852219</v>
      </c>
      <c r="H7" s="180">
        <v>6848543</v>
      </c>
      <c r="I7" s="180">
        <v>6444359</v>
      </c>
      <c r="J7" s="180">
        <v>148516</v>
      </c>
      <c r="K7" s="180">
        <v>1114766</v>
      </c>
      <c r="L7" s="180">
        <v>975785</v>
      </c>
      <c r="M7" s="180">
        <v>12690697</v>
      </c>
      <c r="N7" s="180">
        <v>911645</v>
      </c>
      <c r="O7" s="180">
        <v>8529087</v>
      </c>
      <c r="P7" s="180">
        <v>350328</v>
      </c>
      <c r="Q7" s="180">
        <v>36433117</v>
      </c>
      <c r="R7" s="180">
        <v>1163405</v>
      </c>
      <c r="S7" s="180">
        <v>174011</v>
      </c>
      <c r="T7" s="180">
        <v>82477930</v>
      </c>
      <c r="U7" s="180">
        <v>10341028</v>
      </c>
      <c r="V7" s="180">
        <v>31849321</v>
      </c>
      <c r="W7" s="180">
        <v>31119593</v>
      </c>
      <c r="X7" s="180"/>
      <c r="Y7" s="180">
        <v>16926854</v>
      </c>
      <c r="Z7" s="180">
        <v>1307277</v>
      </c>
      <c r="AA7" s="180">
        <v>20164174</v>
      </c>
      <c r="AB7" s="180">
        <v>2127453</v>
      </c>
      <c r="AC7" s="180">
        <v>2580929</v>
      </c>
      <c r="AD7" s="180">
        <v>2110067</v>
      </c>
      <c r="AE7" s="180">
        <v>3839912</v>
      </c>
      <c r="AF7" s="180">
        <v>19087859</v>
      </c>
      <c r="AG7" s="180">
        <v>5320023</v>
      </c>
      <c r="AH7" s="180">
        <v>1771559</v>
      </c>
      <c r="AI7" s="180">
        <v>26473854</v>
      </c>
      <c r="AJ7" s="180">
        <v>3889403</v>
      </c>
      <c r="AK7" s="180"/>
      <c r="AL7" s="180"/>
      <c r="AM7" s="180">
        <v>14114362</v>
      </c>
      <c r="AN7" s="180">
        <v>754599</v>
      </c>
      <c r="AO7" s="180">
        <v>910794</v>
      </c>
      <c r="AP7" s="180">
        <v>100309</v>
      </c>
      <c r="AQ7" s="180">
        <v>5133511</v>
      </c>
      <c r="AR7" s="180">
        <v>7166282</v>
      </c>
      <c r="AS7" s="180"/>
      <c r="AT7" s="180">
        <v>1946271</v>
      </c>
      <c r="AU7" s="180">
        <v>271625</v>
      </c>
      <c r="AV7" s="180">
        <v>21345785</v>
      </c>
      <c r="AW7" s="180">
        <v>3863090</v>
      </c>
      <c r="AX7" s="180">
        <v>1190515</v>
      </c>
      <c r="AY7" s="180">
        <v>9402351</v>
      </c>
      <c r="AZ7" s="180">
        <v>2445105</v>
      </c>
      <c r="BA7" s="180">
        <v>1318712</v>
      </c>
      <c r="BB7" s="180">
        <v>127262</v>
      </c>
      <c r="BC7" s="180">
        <v>634958</v>
      </c>
      <c r="BD7" s="180">
        <v>9120344</v>
      </c>
      <c r="BE7" s="180">
        <v>700282</v>
      </c>
      <c r="BF7" s="180">
        <v>908414</v>
      </c>
      <c r="BG7" s="180">
        <v>263738</v>
      </c>
      <c r="BH7" s="180">
        <v>305401</v>
      </c>
      <c r="BI7" s="180">
        <v>521608</v>
      </c>
      <c r="BJ7" s="180">
        <v>355351</v>
      </c>
      <c r="BK7" s="180">
        <v>2531062</v>
      </c>
      <c r="BL7" s="180"/>
      <c r="BM7" s="180">
        <v>718772</v>
      </c>
      <c r="BN7" s="180">
        <v>3451670</v>
      </c>
      <c r="BO7" s="180">
        <v>1727507</v>
      </c>
      <c r="BP7" s="180">
        <v>2501148</v>
      </c>
      <c r="BQ7" s="180">
        <v>15239959</v>
      </c>
      <c r="BR7" s="180">
        <v>800050</v>
      </c>
      <c r="BS7" s="180">
        <v>22934355</v>
      </c>
      <c r="BT7" s="180">
        <v>765235</v>
      </c>
      <c r="BU7" s="180">
        <v>6301838</v>
      </c>
      <c r="BV7" s="180">
        <v>2537403</v>
      </c>
      <c r="BW7" s="180">
        <v>1541890</v>
      </c>
      <c r="BX7" s="180">
        <v>2304939</v>
      </c>
      <c r="BY7" s="180">
        <v>369018</v>
      </c>
      <c r="BZ7" s="180">
        <v>972721</v>
      </c>
      <c r="CA7" s="180">
        <v>184613</v>
      </c>
      <c r="CB7" s="180">
        <v>639804</v>
      </c>
      <c r="CC7" s="180"/>
      <c r="CD7" s="180">
        <v>413433</v>
      </c>
      <c r="CE7" s="180"/>
      <c r="CF7" s="180"/>
      <c r="CG7" s="180"/>
      <c r="CH7" s="180"/>
      <c r="CI7" s="180"/>
      <c r="CJ7" s="180"/>
      <c r="CK7" s="180"/>
      <c r="CL7" s="180"/>
      <c r="CM7" s="180"/>
      <c r="CN7" s="180"/>
      <c r="CO7" s="180"/>
      <c r="CP7" s="180"/>
      <c r="CQ7" s="180"/>
      <c r="CR7" s="180"/>
      <c r="CS7" s="180"/>
      <c r="CT7" s="180"/>
      <c r="CU7" s="180"/>
    </row>
    <row r="8" spans="1:99" x14ac:dyDescent="0.3">
      <c r="A8" s="155">
        <v>11</v>
      </c>
      <c r="B8" s="180" t="s">
        <v>194</v>
      </c>
      <c r="C8" s="180"/>
      <c r="D8" s="180"/>
      <c r="E8" s="180">
        <v>41048</v>
      </c>
      <c r="F8" s="180">
        <v>177443</v>
      </c>
      <c r="G8" s="180">
        <v>456285</v>
      </c>
      <c r="H8" s="180">
        <v>0</v>
      </c>
      <c r="I8" s="180">
        <v>156462</v>
      </c>
      <c r="J8" s="180">
        <v>0</v>
      </c>
      <c r="K8" s="180">
        <v>0</v>
      </c>
      <c r="L8" s="180">
        <v>0</v>
      </c>
      <c r="M8" s="180">
        <v>787932</v>
      </c>
      <c r="N8" s="180">
        <v>121365</v>
      </c>
      <c r="O8" s="180">
        <v>185007</v>
      </c>
      <c r="P8" s="180">
        <v>0</v>
      </c>
      <c r="Q8" s="180">
        <v>1870200</v>
      </c>
      <c r="R8" s="180">
        <v>47844</v>
      </c>
      <c r="S8" s="180">
        <v>0</v>
      </c>
      <c r="T8" s="180">
        <v>1278589</v>
      </c>
      <c r="U8" s="180">
        <v>0</v>
      </c>
      <c r="V8" s="180">
        <v>873565</v>
      </c>
      <c r="W8" s="180">
        <v>3069699</v>
      </c>
      <c r="X8" s="180"/>
      <c r="Y8" s="180">
        <v>562009</v>
      </c>
      <c r="Z8" s="180">
        <v>68731</v>
      </c>
      <c r="AA8" s="180">
        <v>2042935</v>
      </c>
      <c r="AB8" s="180">
        <v>324159</v>
      </c>
      <c r="AC8" s="180">
        <v>52735</v>
      </c>
      <c r="AD8" s="180">
        <v>247308</v>
      </c>
      <c r="AE8" s="180">
        <v>100835</v>
      </c>
      <c r="AF8" s="180">
        <v>251599</v>
      </c>
      <c r="AG8" s="180">
        <v>0</v>
      </c>
      <c r="AH8" s="180">
        <v>132999</v>
      </c>
      <c r="AI8" s="180">
        <v>254715</v>
      </c>
      <c r="AJ8" s="180">
        <v>174660</v>
      </c>
      <c r="AK8" s="180"/>
      <c r="AL8" s="180"/>
      <c r="AM8" s="180">
        <v>601946</v>
      </c>
      <c r="AN8" s="180">
        <v>102255</v>
      </c>
      <c r="AO8" s="180">
        <v>42008</v>
      </c>
      <c r="AP8" s="180">
        <v>0</v>
      </c>
      <c r="AQ8" s="180">
        <v>34371</v>
      </c>
      <c r="AR8" s="180">
        <v>155783</v>
      </c>
      <c r="AS8" s="180"/>
      <c r="AT8" s="180">
        <v>189635</v>
      </c>
      <c r="AU8" s="180">
        <v>50228</v>
      </c>
      <c r="AV8" s="180">
        <v>109354</v>
      </c>
      <c r="AW8" s="180">
        <v>0</v>
      </c>
      <c r="AX8" s="180">
        <v>81159</v>
      </c>
      <c r="AY8" s="180">
        <v>64082</v>
      </c>
      <c r="AZ8" s="180">
        <v>51297</v>
      </c>
      <c r="BA8" s="180">
        <v>267753</v>
      </c>
      <c r="BB8" s="180">
        <v>0</v>
      </c>
      <c r="BC8" s="180">
        <v>0</v>
      </c>
      <c r="BD8" s="180">
        <v>283324</v>
      </c>
      <c r="BE8" s="180">
        <v>36423</v>
      </c>
      <c r="BF8" s="180">
        <v>317</v>
      </c>
      <c r="BG8" s="180">
        <v>36866</v>
      </c>
      <c r="BH8" s="180">
        <v>0</v>
      </c>
      <c r="BI8" s="180">
        <v>43462</v>
      </c>
      <c r="BJ8" s="180">
        <v>26632</v>
      </c>
      <c r="BK8" s="180">
        <v>73203</v>
      </c>
      <c r="BL8" s="180"/>
      <c r="BM8" s="180">
        <v>107627</v>
      </c>
      <c r="BN8" s="180">
        <v>62739</v>
      </c>
      <c r="BO8" s="180">
        <v>201980</v>
      </c>
      <c r="BP8" s="180">
        <v>221899</v>
      </c>
      <c r="BQ8" s="180">
        <v>0</v>
      </c>
      <c r="BR8" s="180">
        <v>247308</v>
      </c>
      <c r="BS8" s="180">
        <v>469648</v>
      </c>
      <c r="BT8" s="180">
        <v>92522</v>
      </c>
      <c r="BU8" s="180">
        <v>19934</v>
      </c>
      <c r="BV8" s="180">
        <v>0</v>
      </c>
      <c r="BW8" s="180">
        <v>16255</v>
      </c>
      <c r="BX8" s="180">
        <v>203440</v>
      </c>
      <c r="BY8" s="180">
        <v>128541</v>
      </c>
      <c r="BZ8" s="180">
        <v>36181</v>
      </c>
      <c r="CA8" s="180">
        <v>14756</v>
      </c>
      <c r="CB8" s="180">
        <v>102413</v>
      </c>
      <c r="CC8" s="180"/>
      <c r="CD8" s="180">
        <v>18800</v>
      </c>
      <c r="CE8" s="180"/>
      <c r="CF8" s="180"/>
      <c r="CG8" s="180"/>
      <c r="CH8" s="180"/>
      <c r="CI8" s="180"/>
      <c r="CJ8" s="180"/>
      <c r="CK8" s="180"/>
      <c r="CL8" s="180"/>
      <c r="CM8" s="180"/>
      <c r="CN8" s="180"/>
      <c r="CO8" s="180"/>
      <c r="CP8" s="180"/>
      <c r="CQ8" s="180"/>
      <c r="CR8" s="180"/>
      <c r="CS8" s="180"/>
      <c r="CT8" s="180"/>
      <c r="CU8" s="180"/>
    </row>
    <row r="9" spans="1:99" x14ac:dyDescent="0.3">
      <c r="A9" s="155">
        <v>16</v>
      </c>
      <c r="B9" s="180" t="s">
        <v>197</v>
      </c>
      <c r="C9" s="180"/>
      <c r="D9" s="180"/>
      <c r="E9" s="180">
        <v>69698</v>
      </c>
      <c r="F9" s="180">
        <v>1088057</v>
      </c>
      <c r="G9" s="180">
        <v>2670800</v>
      </c>
      <c r="H9" s="180">
        <v>2370854</v>
      </c>
      <c r="I9" s="180">
        <v>5087697</v>
      </c>
      <c r="J9" s="180">
        <v>123971</v>
      </c>
      <c r="K9" s="180">
        <v>374589</v>
      </c>
      <c r="L9" s="180">
        <v>241612</v>
      </c>
      <c r="M9" s="180">
        <v>17452335</v>
      </c>
      <c r="N9" s="180">
        <v>690908</v>
      </c>
      <c r="O9" s="180">
        <v>6375254</v>
      </c>
      <c r="P9" s="180">
        <v>117564</v>
      </c>
      <c r="Q9" s="180">
        <v>45756808</v>
      </c>
      <c r="R9" s="180">
        <v>2055873</v>
      </c>
      <c r="S9" s="180">
        <v>28377</v>
      </c>
      <c r="T9" s="180">
        <v>86216394</v>
      </c>
      <c r="U9" s="180">
        <v>19112155</v>
      </c>
      <c r="V9" s="180">
        <v>25345694</v>
      </c>
      <c r="W9" s="180">
        <v>39993081</v>
      </c>
      <c r="X9" s="180"/>
      <c r="Y9" s="180">
        <v>16056041</v>
      </c>
      <c r="Z9" s="180">
        <v>1385837</v>
      </c>
      <c r="AA9" s="180">
        <v>18137161</v>
      </c>
      <c r="AB9" s="180">
        <v>5718872</v>
      </c>
      <c r="AC9" s="180">
        <v>2333053</v>
      </c>
      <c r="AD9" s="180">
        <v>2353084</v>
      </c>
      <c r="AE9" s="180">
        <v>2755097</v>
      </c>
      <c r="AF9" s="180">
        <v>22382738</v>
      </c>
      <c r="AG9" s="180">
        <v>6504823</v>
      </c>
      <c r="AH9" s="180">
        <v>1117739</v>
      </c>
      <c r="AI9" s="180">
        <v>34193888</v>
      </c>
      <c r="AJ9" s="180">
        <v>822467</v>
      </c>
      <c r="AK9" s="180"/>
      <c r="AL9" s="180"/>
      <c r="AM9" s="180">
        <v>16019408</v>
      </c>
      <c r="AN9" s="180">
        <v>645302</v>
      </c>
      <c r="AO9" s="180">
        <v>930016</v>
      </c>
      <c r="AP9" s="180">
        <v>35887</v>
      </c>
      <c r="AQ9" s="180">
        <v>6505016</v>
      </c>
      <c r="AR9" s="180">
        <v>7529959</v>
      </c>
      <c r="AS9" s="180"/>
      <c r="AT9" s="180">
        <v>2858654</v>
      </c>
      <c r="AU9" s="180">
        <v>150929</v>
      </c>
      <c r="AV9" s="180">
        <v>17270957</v>
      </c>
      <c r="AW9" s="180">
        <v>2018275</v>
      </c>
      <c r="AX9" s="180">
        <v>2158219</v>
      </c>
      <c r="AY9" s="180">
        <v>10366177</v>
      </c>
      <c r="AZ9" s="180">
        <v>1029642</v>
      </c>
      <c r="BA9" s="180">
        <v>1131474</v>
      </c>
      <c r="BB9" s="180">
        <v>37235</v>
      </c>
      <c r="BC9" s="180">
        <v>289419</v>
      </c>
      <c r="BD9" s="180">
        <v>10167461</v>
      </c>
      <c r="BE9" s="180">
        <v>134452</v>
      </c>
      <c r="BF9" s="180">
        <v>489114</v>
      </c>
      <c r="BG9" s="180">
        <v>164953</v>
      </c>
      <c r="BH9" s="180">
        <v>91244</v>
      </c>
      <c r="BI9" s="180">
        <v>261902</v>
      </c>
      <c r="BJ9" s="180">
        <v>226898</v>
      </c>
      <c r="BK9" s="180">
        <v>3840687</v>
      </c>
      <c r="BL9" s="180"/>
      <c r="BM9" s="180">
        <v>2170861</v>
      </c>
      <c r="BN9" s="180">
        <v>4989986</v>
      </c>
      <c r="BO9" s="180">
        <v>1559283</v>
      </c>
      <c r="BP9" s="180">
        <v>1792259</v>
      </c>
      <c r="BQ9" s="180">
        <v>23024021</v>
      </c>
      <c r="BR9" s="180">
        <v>1007456</v>
      </c>
      <c r="BS9" s="180">
        <v>16336934</v>
      </c>
      <c r="BT9" s="180">
        <v>719158</v>
      </c>
      <c r="BU9" s="180">
        <v>6849189</v>
      </c>
      <c r="BV9" s="180">
        <v>850110</v>
      </c>
      <c r="BW9" s="180">
        <v>2141555</v>
      </c>
      <c r="BX9" s="180">
        <v>1017666</v>
      </c>
      <c r="BY9" s="180">
        <v>81100</v>
      </c>
      <c r="BZ9" s="180">
        <v>579420</v>
      </c>
      <c r="CA9" s="180">
        <v>135364</v>
      </c>
      <c r="CB9" s="180">
        <v>1223044</v>
      </c>
      <c r="CC9" s="180"/>
      <c r="CD9" s="180">
        <v>92769</v>
      </c>
      <c r="CE9" s="180"/>
      <c r="CF9" s="180"/>
      <c r="CG9" s="180"/>
      <c r="CH9" s="180"/>
      <c r="CI9" s="180"/>
      <c r="CJ9" s="180"/>
      <c r="CK9" s="180"/>
      <c r="CL9" s="180"/>
      <c r="CM9" s="180"/>
      <c r="CN9" s="180"/>
      <c r="CO9" s="180"/>
      <c r="CP9" s="180"/>
      <c r="CQ9" s="180"/>
      <c r="CR9" s="180"/>
      <c r="CS9" s="180"/>
      <c r="CT9" s="180"/>
      <c r="CU9" s="180"/>
    </row>
    <row r="10" spans="1:99" x14ac:dyDescent="0.3">
      <c r="A10" s="155">
        <v>17</v>
      </c>
      <c r="B10" s="180" t="s">
        <v>200</v>
      </c>
      <c r="C10" s="180"/>
      <c r="D10" s="180"/>
      <c r="E10" s="180">
        <v>0</v>
      </c>
      <c r="F10" s="180">
        <v>25645</v>
      </c>
      <c r="G10" s="180">
        <v>0</v>
      </c>
      <c r="H10" s="180">
        <v>0</v>
      </c>
      <c r="I10" s="180">
        <v>773302</v>
      </c>
      <c r="J10" s="180">
        <v>0</v>
      </c>
      <c r="K10" s="180">
        <v>0</v>
      </c>
      <c r="L10" s="180">
        <v>34377</v>
      </c>
      <c r="M10" s="180">
        <v>0</v>
      </c>
      <c r="N10" s="180">
        <v>0</v>
      </c>
      <c r="O10" s="180">
        <v>0</v>
      </c>
      <c r="P10" s="180">
        <v>0</v>
      </c>
      <c r="Q10" s="180">
        <v>6721885</v>
      </c>
      <c r="R10" s="180">
        <v>0</v>
      </c>
      <c r="S10" s="180">
        <v>0</v>
      </c>
      <c r="T10" s="180">
        <v>0</v>
      </c>
      <c r="U10" s="180">
        <v>184320</v>
      </c>
      <c r="V10" s="180">
        <v>794458</v>
      </c>
      <c r="W10" s="180">
        <v>1149496</v>
      </c>
      <c r="X10" s="180"/>
      <c r="Y10" s="180">
        <v>10000</v>
      </c>
      <c r="Z10" s="180">
        <v>0</v>
      </c>
      <c r="AA10" s="180">
        <v>0</v>
      </c>
      <c r="AB10" s="180">
        <v>100000</v>
      </c>
      <c r="AC10" s="180">
        <v>196150</v>
      </c>
      <c r="AD10" s="180">
        <v>0</v>
      </c>
      <c r="AE10" s="180">
        <v>99598</v>
      </c>
      <c r="AF10" s="180">
        <v>0</v>
      </c>
      <c r="AG10" s="180">
        <v>182307</v>
      </c>
      <c r="AH10" s="180">
        <v>0</v>
      </c>
      <c r="AI10" s="180">
        <v>2693022</v>
      </c>
      <c r="AJ10" s="180">
        <v>0</v>
      </c>
      <c r="AK10" s="180"/>
      <c r="AL10" s="180"/>
      <c r="AM10" s="180">
        <v>0</v>
      </c>
      <c r="AN10" s="180">
        <v>0</v>
      </c>
      <c r="AO10" s="180">
        <v>0</v>
      </c>
      <c r="AP10" s="180">
        <v>0</v>
      </c>
      <c r="AQ10" s="180">
        <v>0</v>
      </c>
      <c r="AR10" s="180">
        <v>484764</v>
      </c>
      <c r="AS10" s="180"/>
      <c r="AT10" s="180">
        <v>0</v>
      </c>
      <c r="AU10" s="180">
        <v>0</v>
      </c>
      <c r="AV10" s="180">
        <v>512954</v>
      </c>
      <c r="AW10" s="180">
        <v>0</v>
      </c>
      <c r="AX10" s="180">
        <v>0</v>
      </c>
      <c r="AY10" s="180">
        <v>700000</v>
      </c>
      <c r="AZ10" s="180">
        <v>147238</v>
      </c>
      <c r="BA10" s="180">
        <v>0</v>
      </c>
      <c r="BB10" s="180">
        <v>0</v>
      </c>
      <c r="BC10" s="180">
        <v>0</v>
      </c>
      <c r="BD10" s="180">
        <v>225975</v>
      </c>
      <c r="BE10" s="180">
        <v>0</v>
      </c>
      <c r="BF10" s="180">
        <v>0</v>
      </c>
      <c r="BG10" s="180">
        <v>0</v>
      </c>
      <c r="BH10" s="180">
        <v>0</v>
      </c>
      <c r="BI10" s="180">
        <v>4135</v>
      </c>
      <c r="BJ10" s="180">
        <v>0</v>
      </c>
      <c r="BK10" s="180">
        <v>0</v>
      </c>
      <c r="BL10" s="180"/>
      <c r="BM10" s="180">
        <v>0</v>
      </c>
      <c r="BN10" s="180">
        <v>158519</v>
      </c>
      <c r="BO10" s="180">
        <v>0</v>
      </c>
      <c r="BP10" s="180">
        <v>0</v>
      </c>
      <c r="BQ10" s="180">
        <v>0</v>
      </c>
      <c r="BR10" s="180">
        <v>344778</v>
      </c>
      <c r="BS10" s="180">
        <v>42717</v>
      </c>
      <c r="BT10" s="180">
        <v>27650</v>
      </c>
      <c r="BU10" s="180">
        <v>473313</v>
      </c>
      <c r="BV10" s="180">
        <v>1402328</v>
      </c>
      <c r="BW10" s="180">
        <v>0</v>
      </c>
      <c r="BX10" s="180">
        <v>0</v>
      </c>
      <c r="BY10" s="180">
        <v>14029</v>
      </c>
      <c r="BZ10" s="180">
        <v>0</v>
      </c>
      <c r="CA10" s="180">
        <v>0</v>
      </c>
      <c r="CB10" s="180">
        <v>0</v>
      </c>
      <c r="CC10" s="180"/>
      <c r="CD10" s="180">
        <v>0</v>
      </c>
      <c r="CE10" s="180"/>
      <c r="CF10" s="180"/>
      <c r="CG10" s="180"/>
      <c r="CH10" s="180"/>
      <c r="CI10" s="180"/>
      <c r="CJ10" s="180"/>
      <c r="CK10" s="180"/>
      <c r="CL10" s="180"/>
      <c r="CM10" s="180"/>
      <c r="CN10" s="180"/>
      <c r="CO10" s="180"/>
      <c r="CP10" s="180"/>
      <c r="CQ10" s="180"/>
      <c r="CR10" s="180"/>
      <c r="CS10" s="180"/>
      <c r="CT10" s="180"/>
      <c r="CU10" s="180"/>
    </row>
    <row r="11" spans="1:99" x14ac:dyDescent="0.3">
      <c r="A11" s="155">
        <v>20</v>
      </c>
      <c r="B11" s="180" t="s">
        <v>201</v>
      </c>
      <c r="C11" s="180"/>
      <c r="D11" s="180"/>
      <c r="E11" s="180">
        <v>0</v>
      </c>
      <c r="F11" s="180">
        <v>0</v>
      </c>
      <c r="G11" s="180">
        <v>0</v>
      </c>
      <c r="H11" s="180">
        <v>0</v>
      </c>
      <c r="I11" s="180">
        <v>668000</v>
      </c>
      <c r="J11" s="180">
        <v>15000</v>
      </c>
      <c r="K11" s="180">
        <v>0</v>
      </c>
      <c r="L11" s="180">
        <v>0</v>
      </c>
      <c r="M11" s="180">
        <v>0</v>
      </c>
      <c r="N11" s="180">
        <v>0</v>
      </c>
      <c r="O11" s="180">
        <v>0</v>
      </c>
      <c r="P11" s="180">
        <v>0</v>
      </c>
      <c r="Q11" s="180">
        <v>15749259</v>
      </c>
      <c r="R11" s="180">
        <v>145454</v>
      </c>
      <c r="S11" s="180">
        <v>0</v>
      </c>
      <c r="T11" s="180">
        <v>14008959</v>
      </c>
      <c r="U11" s="180">
        <v>4530028</v>
      </c>
      <c r="V11" s="180">
        <v>409107</v>
      </c>
      <c r="W11" s="180">
        <v>4847650</v>
      </c>
      <c r="X11" s="180"/>
      <c r="Y11" s="180">
        <v>99759</v>
      </c>
      <c r="Z11" s="180">
        <v>1913</v>
      </c>
      <c r="AA11" s="180">
        <v>0</v>
      </c>
      <c r="AB11" s="180">
        <v>0</v>
      </c>
      <c r="AC11" s="180">
        <v>346421</v>
      </c>
      <c r="AD11" s="180">
        <v>0</v>
      </c>
      <c r="AE11" s="180">
        <v>0</v>
      </c>
      <c r="AF11" s="180">
        <v>2102426</v>
      </c>
      <c r="AG11" s="180">
        <v>0</v>
      </c>
      <c r="AH11" s="180">
        <v>0</v>
      </c>
      <c r="AI11" s="180">
        <v>2889948</v>
      </c>
      <c r="AJ11" s="180">
        <v>0</v>
      </c>
      <c r="AK11" s="180"/>
      <c r="AL11" s="180"/>
      <c r="AM11" s="180">
        <v>40250</v>
      </c>
      <c r="AN11" s="180">
        <v>0</v>
      </c>
      <c r="AO11" s="180">
        <v>0</v>
      </c>
      <c r="AP11" s="180">
        <v>0</v>
      </c>
      <c r="AQ11" s="180">
        <v>0</v>
      </c>
      <c r="AR11" s="180">
        <v>883000</v>
      </c>
      <c r="AS11" s="180"/>
      <c r="AT11" s="180">
        <v>0</v>
      </c>
      <c r="AU11" s="180">
        <v>0</v>
      </c>
      <c r="AV11" s="180">
        <v>280000</v>
      </c>
      <c r="AW11" s="180">
        <v>0</v>
      </c>
      <c r="AX11" s="180">
        <v>0</v>
      </c>
      <c r="AY11" s="180">
        <v>0</v>
      </c>
      <c r="AZ11" s="180">
        <v>40000</v>
      </c>
      <c r="BA11" s="180">
        <v>0</v>
      </c>
      <c r="BB11" s="180">
        <v>0</v>
      </c>
      <c r="BC11" s="180">
        <v>20000</v>
      </c>
      <c r="BD11" s="180">
        <v>0</v>
      </c>
      <c r="BE11" s="180">
        <v>0</v>
      </c>
      <c r="BF11" s="180">
        <v>0</v>
      </c>
      <c r="BG11" s="180">
        <v>0</v>
      </c>
      <c r="BH11" s="180">
        <v>0</v>
      </c>
      <c r="BI11" s="180">
        <v>0</v>
      </c>
      <c r="BJ11" s="180">
        <v>0</v>
      </c>
      <c r="BK11" s="180">
        <v>0</v>
      </c>
      <c r="BL11" s="180"/>
      <c r="BM11" s="180">
        <v>0</v>
      </c>
      <c r="BN11" s="180">
        <v>100000</v>
      </c>
      <c r="BO11" s="180">
        <v>0</v>
      </c>
      <c r="BP11" s="180">
        <v>0</v>
      </c>
      <c r="BQ11" s="180">
        <v>400000</v>
      </c>
      <c r="BR11" s="180">
        <v>0</v>
      </c>
      <c r="BS11" s="180">
        <v>89451</v>
      </c>
      <c r="BT11" s="180">
        <v>0</v>
      </c>
      <c r="BU11" s="180">
        <v>473313</v>
      </c>
      <c r="BV11" s="180">
        <v>6394</v>
      </c>
      <c r="BW11" s="180">
        <v>0</v>
      </c>
      <c r="BX11" s="180">
        <v>0</v>
      </c>
      <c r="BY11" s="180">
        <v>0</v>
      </c>
      <c r="BZ11" s="180">
        <v>483234</v>
      </c>
      <c r="CA11" s="180">
        <v>0</v>
      </c>
      <c r="CB11" s="180">
        <v>0</v>
      </c>
      <c r="CC11" s="180"/>
      <c r="CD11" s="180">
        <v>0</v>
      </c>
      <c r="CE11" s="180"/>
      <c r="CF11" s="180"/>
      <c r="CG11" s="180"/>
      <c r="CH11" s="180"/>
      <c r="CI11" s="180"/>
      <c r="CJ11" s="180"/>
      <c r="CK11" s="180"/>
      <c r="CL11" s="180"/>
      <c r="CM11" s="180"/>
      <c r="CN11" s="180"/>
      <c r="CO11" s="180"/>
      <c r="CP11" s="180"/>
      <c r="CQ11" s="180"/>
      <c r="CR11" s="180"/>
      <c r="CS11" s="180"/>
      <c r="CT11" s="180"/>
      <c r="CU11" s="180"/>
    </row>
    <row r="12" spans="1:99" x14ac:dyDescent="0.3">
      <c r="A12" s="155">
        <v>22</v>
      </c>
      <c r="B12" s="180" t="s">
        <v>203</v>
      </c>
      <c r="C12" s="180"/>
      <c r="D12" s="180"/>
      <c r="E12" s="180">
        <v>0</v>
      </c>
      <c r="F12" s="180">
        <v>0</v>
      </c>
      <c r="G12" s="180">
        <v>0</v>
      </c>
      <c r="H12" s="180">
        <v>0</v>
      </c>
      <c r="I12" s="180">
        <v>168000</v>
      </c>
      <c r="J12" s="180">
        <v>0</v>
      </c>
      <c r="K12" s="180">
        <v>0</v>
      </c>
      <c r="L12" s="180">
        <v>0</v>
      </c>
      <c r="M12" s="180">
        <v>0</v>
      </c>
      <c r="N12" s="180">
        <v>0</v>
      </c>
      <c r="O12" s="180">
        <v>-138341</v>
      </c>
      <c r="P12" s="180">
        <v>0</v>
      </c>
      <c r="Q12" s="180">
        <v>110955</v>
      </c>
      <c r="R12" s="180">
        <v>1140</v>
      </c>
      <c r="S12" s="180">
        <v>0</v>
      </c>
      <c r="T12" s="180">
        <v>1943027</v>
      </c>
      <c r="U12" s="180">
        <v>2114852</v>
      </c>
      <c r="V12" s="180">
        <v>0</v>
      </c>
      <c r="W12" s="180">
        <v>0</v>
      </c>
      <c r="X12" s="180"/>
      <c r="Y12" s="180">
        <v>32994</v>
      </c>
      <c r="Z12" s="180">
        <v>0</v>
      </c>
      <c r="AA12" s="180">
        <v>671680</v>
      </c>
      <c r="AB12" s="180">
        <v>0</v>
      </c>
      <c r="AC12" s="180">
        <v>362551</v>
      </c>
      <c r="AD12" s="180">
        <v>0</v>
      </c>
      <c r="AE12" s="180">
        <v>0</v>
      </c>
      <c r="AF12" s="180">
        <v>24633</v>
      </c>
      <c r="AG12" s="180">
        <v>0</v>
      </c>
      <c r="AH12" s="180">
        <v>0</v>
      </c>
      <c r="AI12" s="180">
        <v>99979</v>
      </c>
      <c r="AJ12" s="180">
        <v>0</v>
      </c>
      <c r="AK12" s="180"/>
      <c r="AL12" s="180"/>
      <c r="AM12" s="180">
        <v>0</v>
      </c>
      <c r="AN12" s="180">
        <v>0</v>
      </c>
      <c r="AO12" s="180">
        <v>875</v>
      </c>
      <c r="AP12" s="180">
        <v>0</v>
      </c>
      <c r="AQ12" s="180">
        <v>0</v>
      </c>
      <c r="AR12" s="180">
        <v>20124</v>
      </c>
      <c r="AS12" s="180"/>
      <c r="AT12" s="180">
        <v>0</v>
      </c>
      <c r="AU12" s="180">
        <v>0</v>
      </c>
      <c r="AV12" s="180">
        <v>0</v>
      </c>
      <c r="AW12" s="180">
        <v>3000</v>
      </c>
      <c r="AX12" s="180">
        <v>0</v>
      </c>
      <c r="AY12" s="180">
        <v>71673</v>
      </c>
      <c r="AZ12" s="180">
        <v>0</v>
      </c>
      <c r="BA12" s="180">
        <v>0</v>
      </c>
      <c r="BB12" s="180">
        <v>0</v>
      </c>
      <c r="BC12" s="180">
        <v>0</v>
      </c>
      <c r="BD12" s="180">
        <v>0</v>
      </c>
      <c r="BE12" s="180">
        <v>0</v>
      </c>
      <c r="BF12" s="180">
        <v>0</v>
      </c>
      <c r="BG12" s="180">
        <v>0</v>
      </c>
      <c r="BH12" s="180">
        <v>0</v>
      </c>
      <c r="BI12" s="180">
        <v>13558</v>
      </c>
      <c r="BJ12" s="180">
        <v>0</v>
      </c>
      <c r="BK12" s="180">
        <v>0</v>
      </c>
      <c r="BL12" s="180"/>
      <c r="BM12" s="180">
        <v>29500</v>
      </c>
      <c r="BN12" s="180">
        <v>0</v>
      </c>
      <c r="BO12" s="180">
        <v>0</v>
      </c>
      <c r="BP12" s="180">
        <v>0</v>
      </c>
      <c r="BQ12" s="180">
        <v>70576</v>
      </c>
      <c r="BR12" s="180">
        <v>0</v>
      </c>
      <c r="BS12" s="180">
        <v>0</v>
      </c>
      <c r="BT12" s="180">
        <v>0</v>
      </c>
      <c r="BU12" s="180">
        <v>0</v>
      </c>
      <c r="BV12" s="180">
        <v>0</v>
      </c>
      <c r="BW12" s="180">
        <v>0</v>
      </c>
      <c r="BX12" s="180">
        <v>5411</v>
      </c>
      <c r="BY12" s="180">
        <v>0</v>
      </c>
      <c r="BZ12" s="180">
        <v>55310</v>
      </c>
      <c r="CA12" s="180">
        <v>0</v>
      </c>
      <c r="CB12" s="180">
        <v>0</v>
      </c>
      <c r="CC12" s="180"/>
      <c r="CD12" s="180">
        <v>0</v>
      </c>
      <c r="CE12" s="180"/>
      <c r="CF12" s="180"/>
      <c r="CG12" s="180"/>
      <c r="CH12" s="180"/>
      <c r="CI12" s="180"/>
      <c r="CJ12" s="180"/>
      <c r="CK12" s="180"/>
      <c r="CL12" s="180"/>
      <c r="CM12" s="180"/>
      <c r="CN12" s="180"/>
      <c r="CO12" s="180"/>
      <c r="CP12" s="180"/>
      <c r="CQ12" s="180"/>
      <c r="CR12" s="180"/>
      <c r="CS12" s="180"/>
      <c r="CT12" s="180"/>
      <c r="CU12" s="180"/>
    </row>
    <row r="13" spans="1:99" x14ac:dyDescent="0.3">
      <c r="A13" s="155">
        <v>23</v>
      </c>
      <c r="B13" s="180" t="s">
        <v>206</v>
      </c>
      <c r="C13" s="180"/>
      <c r="D13" s="180"/>
      <c r="E13" s="180">
        <v>9450</v>
      </c>
      <c r="F13" s="180">
        <v>187759</v>
      </c>
      <c r="G13" s="180">
        <v>742022</v>
      </c>
      <c r="H13" s="180">
        <v>637496</v>
      </c>
      <c r="I13" s="180">
        <v>1245004</v>
      </c>
      <c r="J13" s="180">
        <v>20990</v>
      </c>
      <c r="K13" s="180">
        <v>52126</v>
      </c>
      <c r="L13" s="180">
        <v>-126006</v>
      </c>
      <c r="M13" s="180">
        <v>1900621</v>
      </c>
      <c r="N13" s="180">
        <v>133513</v>
      </c>
      <c r="O13" s="180">
        <v>737281</v>
      </c>
      <c r="P13" s="180">
        <v>31063</v>
      </c>
      <c r="Q13" s="180">
        <v>-2211809</v>
      </c>
      <c r="R13" s="180">
        <v>438169</v>
      </c>
      <c r="S13" s="180">
        <v>-13579</v>
      </c>
      <c r="T13" s="180">
        <v>4638960</v>
      </c>
      <c r="U13" s="180">
        <v>-315461</v>
      </c>
      <c r="V13" s="180">
        <v>4853153</v>
      </c>
      <c r="W13" s="180">
        <v>-1435173</v>
      </c>
      <c r="X13" s="180"/>
      <c r="Y13" s="180">
        <v>1988416</v>
      </c>
      <c r="Z13" s="180">
        <v>-375595</v>
      </c>
      <c r="AA13" s="180">
        <v>2767658</v>
      </c>
      <c r="AB13" s="180">
        <v>435483</v>
      </c>
      <c r="AC13" s="180">
        <v>116179</v>
      </c>
      <c r="AD13" s="180">
        <v>367492</v>
      </c>
      <c r="AE13" s="180">
        <v>-8488</v>
      </c>
      <c r="AF13" s="180">
        <v>-727297</v>
      </c>
      <c r="AG13" s="180">
        <v>-690312</v>
      </c>
      <c r="AH13" s="180">
        <v>306054</v>
      </c>
      <c r="AI13" s="180">
        <v>786663</v>
      </c>
      <c r="AJ13" s="180">
        <v>234381</v>
      </c>
      <c r="AK13" s="180"/>
      <c r="AL13" s="180"/>
      <c r="AM13" s="180">
        <v>846712</v>
      </c>
      <c r="AN13" s="180">
        <v>29927</v>
      </c>
      <c r="AO13" s="180">
        <v>176203</v>
      </c>
      <c r="AP13" s="180">
        <v>-1416</v>
      </c>
      <c r="AQ13" s="180">
        <v>805987</v>
      </c>
      <c r="AR13" s="180">
        <v>-5334</v>
      </c>
      <c r="AS13" s="180"/>
      <c r="AT13" s="180">
        <v>-239890</v>
      </c>
      <c r="AU13" s="180">
        <v>-27974</v>
      </c>
      <c r="AV13" s="180">
        <v>4013464</v>
      </c>
      <c r="AW13" s="180">
        <v>-134305</v>
      </c>
      <c r="AX13" s="180">
        <v>126565</v>
      </c>
      <c r="AY13" s="180">
        <v>-11612787</v>
      </c>
      <c r="AZ13" s="180">
        <v>163752</v>
      </c>
      <c r="BA13" s="180">
        <v>-20035</v>
      </c>
      <c r="BB13" s="180">
        <v>6340</v>
      </c>
      <c r="BC13" s="180">
        <v>50909</v>
      </c>
      <c r="BD13" s="180">
        <v>1473394</v>
      </c>
      <c r="BE13" s="180">
        <v>35216</v>
      </c>
      <c r="BF13" s="180">
        <v>15406</v>
      </c>
      <c r="BG13" s="180">
        <v>17789</v>
      </c>
      <c r="BH13" s="180">
        <v>-29474</v>
      </c>
      <c r="BI13" s="180">
        <v>3456</v>
      </c>
      <c r="BJ13" s="180">
        <v>80616</v>
      </c>
      <c r="BK13" s="180">
        <v>65214</v>
      </c>
      <c r="BL13" s="180"/>
      <c r="BM13" s="180">
        <v>21740</v>
      </c>
      <c r="BN13" s="180">
        <v>338892</v>
      </c>
      <c r="BO13" s="180">
        <v>347474</v>
      </c>
      <c r="BP13" s="180">
        <v>-122397</v>
      </c>
      <c r="BQ13" s="180">
        <v>1951091</v>
      </c>
      <c r="BR13" s="180">
        <v>111991</v>
      </c>
      <c r="BS13" s="180">
        <v>2889667</v>
      </c>
      <c r="BT13" s="180">
        <v>-102059</v>
      </c>
      <c r="BU13" s="180">
        <v>773699</v>
      </c>
      <c r="BV13" s="180">
        <v>1629275</v>
      </c>
      <c r="BW13" s="180">
        <v>63354</v>
      </c>
      <c r="BX13" s="180">
        <v>220838</v>
      </c>
      <c r="BY13" s="180">
        <v>28529</v>
      </c>
      <c r="BZ13" s="180">
        <v>403101</v>
      </c>
      <c r="CA13" s="180">
        <v>4126</v>
      </c>
      <c r="CB13" s="180">
        <v>-15048</v>
      </c>
      <c r="CC13" s="180"/>
      <c r="CD13" s="180">
        <v>26061</v>
      </c>
      <c r="CE13" s="180"/>
      <c r="CF13" s="180"/>
      <c r="CG13" s="180"/>
      <c r="CH13" s="180"/>
      <c r="CI13" s="180"/>
      <c r="CJ13" s="180"/>
      <c r="CK13" s="180"/>
      <c r="CL13" s="180"/>
      <c r="CM13" s="180"/>
      <c r="CN13" s="180"/>
      <c r="CO13" s="180"/>
      <c r="CP13" s="180"/>
      <c r="CQ13" s="180"/>
      <c r="CR13" s="180"/>
      <c r="CS13" s="180"/>
      <c r="CT13" s="180"/>
      <c r="CU13" s="180"/>
    </row>
    <row r="14" spans="1:99" s="560" customFormat="1" x14ac:dyDescent="0.3">
      <c r="A14" s="559">
        <v>44</v>
      </c>
      <c r="B14" s="560" t="s">
        <v>908</v>
      </c>
      <c r="E14" s="560">
        <v>0</v>
      </c>
      <c r="F14" s="560">
        <v>778602</v>
      </c>
      <c r="G14" s="560">
        <v>0</v>
      </c>
      <c r="H14" s="560">
        <v>0</v>
      </c>
      <c r="I14" s="560">
        <v>0</v>
      </c>
      <c r="J14" s="560">
        <v>61741</v>
      </c>
      <c r="K14" s="560">
        <v>0</v>
      </c>
      <c r="L14" s="560">
        <v>0</v>
      </c>
      <c r="M14" s="560">
        <v>0</v>
      </c>
      <c r="N14" s="560">
        <v>0</v>
      </c>
      <c r="O14" s="560">
        <v>2790933</v>
      </c>
      <c r="P14" s="560">
        <v>0</v>
      </c>
      <c r="Q14" s="560">
        <v>57476799</v>
      </c>
      <c r="R14" s="560">
        <v>922821</v>
      </c>
      <c r="S14" s="560">
        <v>0</v>
      </c>
      <c r="T14" s="560">
        <v>28874899</v>
      </c>
      <c r="U14" s="560">
        <v>9496458</v>
      </c>
      <c r="V14" s="560">
        <v>21934652</v>
      </c>
      <c r="W14" s="560">
        <v>0</v>
      </c>
      <c r="Y14" s="560">
        <v>9824110</v>
      </c>
      <c r="Z14" s="560">
        <v>1763987</v>
      </c>
      <c r="AA14" s="560">
        <v>17013395</v>
      </c>
      <c r="AB14" s="560">
        <v>2339177</v>
      </c>
      <c r="AC14" s="560">
        <v>1526674</v>
      </c>
      <c r="AD14" s="560">
        <v>1302604</v>
      </c>
      <c r="AE14" s="560">
        <v>2181333</v>
      </c>
      <c r="AF14" s="560">
        <v>4642639</v>
      </c>
      <c r="AG14" s="560">
        <v>1121200</v>
      </c>
      <c r="AH14" s="560">
        <v>0</v>
      </c>
      <c r="AI14" s="560">
        <v>24708352</v>
      </c>
      <c r="AJ14" s="560">
        <v>410254</v>
      </c>
      <c r="AM14" s="560">
        <v>4513790</v>
      </c>
      <c r="AN14" s="560">
        <v>50450</v>
      </c>
      <c r="AO14" s="560">
        <v>179032</v>
      </c>
      <c r="AP14" s="560">
        <v>0</v>
      </c>
      <c r="AQ14" s="560">
        <v>0</v>
      </c>
      <c r="AR14" s="560">
        <v>5664545</v>
      </c>
      <c r="AT14" s="560">
        <v>2135120</v>
      </c>
      <c r="AU14" s="560">
        <v>0</v>
      </c>
      <c r="AV14" s="560">
        <v>35468949</v>
      </c>
      <c r="AW14" s="560">
        <v>0</v>
      </c>
      <c r="AX14" s="560">
        <v>3107054</v>
      </c>
      <c r="AY14" s="560">
        <v>18393142</v>
      </c>
      <c r="AZ14" s="560">
        <v>1077305</v>
      </c>
      <c r="BA14" s="560">
        <v>282656</v>
      </c>
      <c r="BB14" s="560">
        <v>0</v>
      </c>
      <c r="BC14" s="560">
        <v>81868</v>
      </c>
      <c r="BD14" s="560">
        <v>9853347</v>
      </c>
      <c r="BE14" s="560">
        <v>0</v>
      </c>
      <c r="BF14" s="560">
        <v>298792</v>
      </c>
      <c r="BG14" s="560">
        <v>132118</v>
      </c>
      <c r="BH14" s="560">
        <v>0</v>
      </c>
      <c r="BI14" s="560">
        <v>358281</v>
      </c>
      <c r="BJ14" s="560">
        <v>0</v>
      </c>
      <c r="BK14" s="560">
        <v>2367135</v>
      </c>
      <c r="BM14" s="560">
        <v>717479</v>
      </c>
      <c r="BN14" s="560">
        <v>1164674</v>
      </c>
      <c r="BO14" s="560">
        <v>949906</v>
      </c>
      <c r="BP14" s="560">
        <v>1212280</v>
      </c>
      <c r="BQ14" s="560">
        <v>0</v>
      </c>
      <c r="BR14" s="560">
        <v>954297</v>
      </c>
      <c r="BS14" s="560">
        <v>0</v>
      </c>
      <c r="BT14" s="560">
        <v>650428</v>
      </c>
      <c r="BU14" s="560">
        <v>7062334</v>
      </c>
      <c r="BV14" s="560">
        <v>0</v>
      </c>
      <c r="BW14" s="560">
        <v>1873982</v>
      </c>
      <c r="BX14" s="560">
        <v>1435209</v>
      </c>
      <c r="BY14" s="560">
        <v>36114</v>
      </c>
      <c r="BZ14" s="560">
        <v>395742</v>
      </c>
      <c r="CA14" s="560">
        <v>67186</v>
      </c>
      <c r="CB14" s="560">
        <v>1540739</v>
      </c>
      <c r="CD14" s="560">
        <v>35503</v>
      </c>
    </row>
    <row r="15" spans="1:99" s="560" customFormat="1" x14ac:dyDescent="0.3">
      <c r="A15" s="559">
        <v>45</v>
      </c>
      <c r="B15" s="560" t="s">
        <v>909</v>
      </c>
      <c r="E15" s="560">
        <v>0</v>
      </c>
      <c r="F15" s="560">
        <v>52478</v>
      </c>
      <c r="G15" s="560">
        <v>0</v>
      </c>
      <c r="H15" s="560">
        <v>0</v>
      </c>
      <c r="I15" s="560">
        <v>0</v>
      </c>
      <c r="J15" s="560">
        <v>9268</v>
      </c>
      <c r="K15" s="560">
        <v>0</v>
      </c>
      <c r="L15" s="560">
        <v>0</v>
      </c>
      <c r="M15" s="560">
        <v>0</v>
      </c>
      <c r="N15" s="560">
        <v>0</v>
      </c>
      <c r="O15" s="560">
        <v>321896</v>
      </c>
      <c r="P15" s="560">
        <v>0</v>
      </c>
      <c r="Q15" s="560">
        <v>2647317</v>
      </c>
      <c r="R15" s="560">
        <v>43876</v>
      </c>
      <c r="S15" s="560">
        <v>0</v>
      </c>
      <c r="T15" s="560">
        <v>8242652</v>
      </c>
      <c r="U15" s="560">
        <v>2080676</v>
      </c>
      <c r="V15" s="560">
        <v>2043200</v>
      </c>
      <c r="W15" s="560">
        <v>0</v>
      </c>
      <c r="Y15" s="560">
        <v>998893</v>
      </c>
      <c r="Z15" s="560">
        <v>258448</v>
      </c>
      <c r="AA15" s="560">
        <v>739590</v>
      </c>
      <c r="AB15" s="560">
        <v>780427</v>
      </c>
      <c r="AC15" s="560">
        <v>375528</v>
      </c>
      <c r="AD15" s="560">
        <v>301824</v>
      </c>
      <c r="AE15" s="560">
        <v>157301</v>
      </c>
      <c r="AF15" s="560">
        <v>486101</v>
      </c>
      <c r="AG15" s="560">
        <v>260832</v>
      </c>
      <c r="AH15" s="560">
        <v>0</v>
      </c>
      <c r="AI15" s="560">
        <v>5259175</v>
      </c>
      <c r="AJ15" s="560">
        <v>64896</v>
      </c>
      <c r="AM15" s="560">
        <v>1642584</v>
      </c>
      <c r="AN15" s="560">
        <v>46235</v>
      </c>
      <c r="AO15" s="560">
        <v>155736</v>
      </c>
      <c r="AP15" s="560">
        <v>0</v>
      </c>
      <c r="AQ15" s="560">
        <v>0</v>
      </c>
      <c r="AR15" s="560">
        <v>335556</v>
      </c>
      <c r="AT15" s="560">
        <v>960525</v>
      </c>
      <c r="AU15" s="560">
        <v>0</v>
      </c>
      <c r="AV15" s="560">
        <v>1522131</v>
      </c>
      <c r="AW15" s="560">
        <v>0</v>
      </c>
      <c r="AX15" s="560">
        <v>432517</v>
      </c>
      <c r="AY15" s="560">
        <v>409085</v>
      </c>
      <c r="AZ15" s="560">
        <v>49786</v>
      </c>
      <c r="BA15" s="560">
        <v>70830</v>
      </c>
      <c r="BB15" s="560">
        <v>0</v>
      </c>
      <c r="BC15" s="560">
        <v>9016</v>
      </c>
      <c r="BD15" s="560">
        <v>2895408</v>
      </c>
      <c r="BE15" s="560">
        <v>0</v>
      </c>
      <c r="BF15" s="560">
        <v>262550</v>
      </c>
      <c r="BG15" s="560">
        <v>5856</v>
      </c>
      <c r="BH15" s="560">
        <v>0</v>
      </c>
      <c r="BI15" s="560">
        <v>11206</v>
      </c>
      <c r="BJ15" s="560">
        <v>0</v>
      </c>
      <c r="BK15" s="560">
        <v>473077</v>
      </c>
      <c r="BM15" s="560">
        <v>315380</v>
      </c>
      <c r="BN15" s="560">
        <v>110883</v>
      </c>
      <c r="BO15" s="560">
        <v>196671</v>
      </c>
      <c r="BP15" s="560">
        <v>110582</v>
      </c>
      <c r="BQ15" s="560">
        <v>0</v>
      </c>
      <c r="BR15" s="560">
        <v>181771</v>
      </c>
      <c r="BS15" s="560">
        <v>0</v>
      </c>
      <c r="BT15" s="560">
        <v>86845</v>
      </c>
      <c r="BU15" s="560">
        <v>791440</v>
      </c>
      <c r="BV15" s="560">
        <v>0</v>
      </c>
      <c r="BW15" s="560">
        <v>1053940</v>
      </c>
      <c r="BX15" s="560">
        <v>16201</v>
      </c>
      <c r="BY15" s="560">
        <v>35125</v>
      </c>
      <c r="BZ15" s="560">
        <v>688972</v>
      </c>
      <c r="CA15" s="560">
        <v>18881</v>
      </c>
      <c r="CB15" s="560">
        <v>85117</v>
      </c>
      <c r="CD15" s="560">
        <v>0</v>
      </c>
    </row>
    <row r="16" spans="1:99" s="560" customFormat="1" x14ac:dyDescent="0.3">
      <c r="A16" s="559">
        <v>47</v>
      </c>
      <c r="B16" s="560" t="s">
        <v>910</v>
      </c>
      <c r="E16" s="560">
        <v>0</v>
      </c>
      <c r="F16" s="560">
        <v>0</v>
      </c>
      <c r="G16" s="560">
        <v>0</v>
      </c>
      <c r="H16" s="560">
        <v>0</v>
      </c>
      <c r="I16" s="560">
        <v>0</v>
      </c>
      <c r="J16" s="560">
        <v>0</v>
      </c>
      <c r="K16" s="560">
        <v>0</v>
      </c>
      <c r="L16" s="560">
        <v>0</v>
      </c>
      <c r="M16" s="560">
        <v>0</v>
      </c>
      <c r="N16" s="560">
        <v>0</v>
      </c>
      <c r="O16" s="560">
        <v>0</v>
      </c>
      <c r="P16" s="560">
        <v>0</v>
      </c>
      <c r="Q16" s="560">
        <v>99669701</v>
      </c>
      <c r="R16" s="560">
        <v>0</v>
      </c>
      <c r="S16" s="560">
        <v>0</v>
      </c>
      <c r="T16" s="560">
        <v>0</v>
      </c>
      <c r="U16" s="560">
        <v>0</v>
      </c>
      <c r="V16" s="560">
        <v>23101351</v>
      </c>
      <c r="W16" s="560">
        <v>0</v>
      </c>
      <c r="Y16" s="560">
        <v>0</v>
      </c>
      <c r="Z16" s="560">
        <v>0</v>
      </c>
      <c r="AA16" s="560">
        <v>0</v>
      </c>
      <c r="AB16" s="560">
        <v>0</v>
      </c>
      <c r="AC16" s="560">
        <v>0</v>
      </c>
      <c r="AD16" s="560">
        <v>0</v>
      </c>
      <c r="AE16" s="560">
        <v>0</v>
      </c>
      <c r="AF16" s="560">
        <v>0</v>
      </c>
      <c r="AG16" s="560">
        <v>0</v>
      </c>
      <c r="AH16" s="560">
        <v>0</v>
      </c>
      <c r="AI16" s="560">
        <v>26689429</v>
      </c>
      <c r="AJ16" s="560">
        <v>0</v>
      </c>
      <c r="AM16" s="560">
        <v>13955402</v>
      </c>
      <c r="AN16" s="560">
        <v>0</v>
      </c>
      <c r="AO16" s="560">
        <v>0</v>
      </c>
      <c r="AP16" s="560">
        <v>0</v>
      </c>
      <c r="AQ16" s="560">
        <v>0</v>
      </c>
      <c r="AR16" s="560">
        <v>0</v>
      </c>
      <c r="AT16" s="560">
        <v>0</v>
      </c>
      <c r="AU16" s="560">
        <v>756220</v>
      </c>
      <c r="AV16" s="560">
        <v>0</v>
      </c>
      <c r="AW16" s="560">
        <v>0</v>
      </c>
      <c r="AX16" s="560">
        <v>0</v>
      </c>
      <c r="AY16" s="560">
        <v>0</v>
      </c>
      <c r="AZ16" s="560">
        <v>0</v>
      </c>
      <c r="BA16" s="560">
        <v>0</v>
      </c>
      <c r="BB16" s="560">
        <v>0</v>
      </c>
      <c r="BC16" s="560">
        <v>0</v>
      </c>
      <c r="BD16" s="560">
        <v>0</v>
      </c>
      <c r="BE16" s="560">
        <v>0</v>
      </c>
      <c r="BF16" s="560">
        <v>0</v>
      </c>
      <c r="BG16" s="560">
        <v>0</v>
      </c>
      <c r="BH16" s="560">
        <v>0</v>
      </c>
      <c r="BI16" s="560">
        <v>0</v>
      </c>
      <c r="BJ16" s="560">
        <v>0</v>
      </c>
      <c r="BK16" s="560">
        <v>0</v>
      </c>
      <c r="BM16" s="560">
        <v>0</v>
      </c>
      <c r="BN16" s="560">
        <v>0</v>
      </c>
      <c r="BO16" s="560">
        <v>0</v>
      </c>
      <c r="BP16" s="560">
        <v>0</v>
      </c>
      <c r="BQ16" s="560">
        <v>0</v>
      </c>
      <c r="BR16" s="560">
        <v>2155718</v>
      </c>
      <c r="BS16" s="560">
        <v>6468719</v>
      </c>
      <c r="BT16" s="560">
        <v>0</v>
      </c>
      <c r="BU16" s="560">
        <v>0</v>
      </c>
      <c r="BV16" s="560">
        <v>0</v>
      </c>
      <c r="BW16" s="560">
        <v>0</v>
      </c>
      <c r="BX16" s="560">
        <v>0</v>
      </c>
      <c r="BY16" s="560">
        <v>0</v>
      </c>
      <c r="BZ16" s="560">
        <v>0</v>
      </c>
      <c r="CA16" s="560">
        <v>0</v>
      </c>
      <c r="CB16" s="560">
        <v>0</v>
      </c>
      <c r="CD16" s="560">
        <v>0</v>
      </c>
    </row>
    <row r="17" spans="1:99" s="560" customFormat="1" x14ac:dyDescent="0.3">
      <c r="A17" s="559">
        <v>48</v>
      </c>
      <c r="B17" s="560" t="s">
        <v>115</v>
      </c>
      <c r="E17" s="560">
        <v>0</v>
      </c>
      <c r="F17" s="560">
        <v>0</v>
      </c>
      <c r="G17" s="560">
        <v>0</v>
      </c>
      <c r="H17" s="560">
        <v>0</v>
      </c>
      <c r="I17" s="560">
        <v>0</v>
      </c>
      <c r="J17" s="560">
        <v>0</v>
      </c>
      <c r="K17" s="560">
        <v>0</v>
      </c>
      <c r="L17" s="560">
        <v>0</v>
      </c>
      <c r="M17" s="560">
        <v>0</v>
      </c>
      <c r="N17" s="560">
        <v>0</v>
      </c>
      <c r="O17" s="560">
        <v>0</v>
      </c>
      <c r="P17" s="560">
        <v>0</v>
      </c>
      <c r="Q17" s="560">
        <v>7121139</v>
      </c>
      <c r="R17" s="560">
        <v>0</v>
      </c>
      <c r="S17" s="560">
        <v>0</v>
      </c>
      <c r="T17" s="560">
        <v>0</v>
      </c>
      <c r="U17" s="560">
        <v>0</v>
      </c>
      <c r="V17" s="560">
        <v>2759675</v>
      </c>
      <c r="W17" s="560">
        <v>0</v>
      </c>
      <c r="Y17" s="560">
        <v>0</v>
      </c>
      <c r="Z17" s="560">
        <v>0</v>
      </c>
      <c r="AA17" s="560">
        <v>0</v>
      </c>
      <c r="AB17" s="560">
        <v>0</v>
      </c>
      <c r="AC17" s="560">
        <v>0</v>
      </c>
      <c r="AD17" s="560">
        <v>0</v>
      </c>
      <c r="AE17" s="560">
        <v>0</v>
      </c>
      <c r="AF17" s="560">
        <v>0</v>
      </c>
      <c r="AG17" s="560">
        <v>0</v>
      </c>
      <c r="AH17" s="560">
        <v>0</v>
      </c>
      <c r="AI17" s="560">
        <v>8194430</v>
      </c>
      <c r="AJ17" s="560">
        <v>0</v>
      </c>
      <c r="AM17" s="560">
        <v>1881833</v>
      </c>
      <c r="AN17" s="560">
        <v>0</v>
      </c>
      <c r="AO17" s="560">
        <v>0</v>
      </c>
      <c r="AP17" s="560">
        <v>0</v>
      </c>
      <c r="AQ17" s="560">
        <v>0</v>
      </c>
      <c r="AR17" s="560">
        <v>0</v>
      </c>
      <c r="AT17" s="560">
        <v>0</v>
      </c>
      <c r="AU17" s="560">
        <v>63148</v>
      </c>
      <c r="AV17" s="560">
        <v>0</v>
      </c>
      <c r="AW17" s="560">
        <v>0</v>
      </c>
      <c r="AX17" s="560">
        <v>0</v>
      </c>
      <c r="AY17" s="560">
        <v>0</v>
      </c>
      <c r="AZ17" s="560">
        <v>0</v>
      </c>
      <c r="BA17" s="560">
        <v>0</v>
      </c>
      <c r="BB17" s="560">
        <v>0</v>
      </c>
      <c r="BC17" s="560">
        <v>0</v>
      </c>
      <c r="BD17" s="560">
        <v>0</v>
      </c>
      <c r="BE17" s="560">
        <v>0</v>
      </c>
      <c r="BF17" s="560">
        <v>0</v>
      </c>
      <c r="BG17" s="560">
        <v>0</v>
      </c>
      <c r="BH17" s="560">
        <v>0</v>
      </c>
      <c r="BI17" s="560">
        <v>0</v>
      </c>
      <c r="BJ17" s="560">
        <v>0</v>
      </c>
      <c r="BK17" s="560">
        <v>0</v>
      </c>
      <c r="BM17" s="560">
        <v>0</v>
      </c>
      <c r="BN17" s="560">
        <v>0</v>
      </c>
      <c r="BO17" s="560">
        <v>0</v>
      </c>
      <c r="BP17" s="560">
        <v>0</v>
      </c>
      <c r="BQ17" s="560">
        <v>0</v>
      </c>
      <c r="BR17" s="560">
        <v>320784</v>
      </c>
      <c r="BS17" s="560">
        <v>1106466</v>
      </c>
      <c r="BT17" s="560">
        <v>0</v>
      </c>
      <c r="BU17" s="560">
        <v>0</v>
      </c>
      <c r="BV17" s="560">
        <v>0</v>
      </c>
      <c r="BW17" s="560">
        <v>0</v>
      </c>
      <c r="BX17" s="560">
        <v>0</v>
      </c>
      <c r="BY17" s="560">
        <v>0</v>
      </c>
      <c r="BZ17" s="560">
        <v>0</v>
      </c>
      <c r="CA17" s="560">
        <v>0</v>
      </c>
      <c r="CB17" s="560">
        <v>0</v>
      </c>
      <c r="CD17" s="560">
        <v>0</v>
      </c>
    </row>
    <row r="18" spans="1:99" x14ac:dyDescent="0.3">
      <c r="A18" s="155">
        <v>49</v>
      </c>
      <c r="B18" s="180" t="s">
        <v>219</v>
      </c>
      <c r="C18" s="180"/>
      <c r="D18" s="180"/>
      <c r="E18" s="180">
        <v>0</v>
      </c>
      <c r="F18" s="180">
        <v>254384</v>
      </c>
      <c r="G18" s="180">
        <v>0</v>
      </c>
      <c r="H18" s="180">
        <v>0</v>
      </c>
      <c r="I18" s="180">
        <v>0</v>
      </c>
      <c r="J18" s="180">
        <v>68272</v>
      </c>
      <c r="K18" s="180">
        <v>0</v>
      </c>
      <c r="L18" s="180">
        <v>0</v>
      </c>
      <c r="M18" s="180">
        <v>0</v>
      </c>
      <c r="N18" s="180">
        <v>0</v>
      </c>
      <c r="O18" s="180">
        <v>719233</v>
      </c>
      <c r="P18" s="180">
        <v>0</v>
      </c>
      <c r="Q18" s="180">
        <v>3899504</v>
      </c>
      <c r="R18" s="180">
        <v>81997</v>
      </c>
      <c r="S18" s="180">
        <v>0</v>
      </c>
      <c r="T18" s="180">
        <v>5001977</v>
      </c>
      <c r="U18" s="180">
        <v>1868757</v>
      </c>
      <c r="V18" s="180">
        <v>2746946</v>
      </c>
      <c r="W18" s="180">
        <v>0</v>
      </c>
      <c r="X18" s="180"/>
      <c r="Y18" s="180">
        <v>2046594</v>
      </c>
      <c r="Z18" s="180">
        <v>499363</v>
      </c>
      <c r="AA18" s="180">
        <v>1173763</v>
      </c>
      <c r="AB18" s="180">
        <v>628266</v>
      </c>
      <c r="AC18" s="180">
        <v>124602</v>
      </c>
      <c r="AD18" s="180">
        <v>222983</v>
      </c>
      <c r="AE18" s="180">
        <v>863223</v>
      </c>
      <c r="AF18" s="180">
        <v>365539</v>
      </c>
      <c r="AG18" s="180">
        <v>384490</v>
      </c>
      <c r="AH18" s="180">
        <v>0</v>
      </c>
      <c r="AI18" s="180">
        <v>4049372</v>
      </c>
      <c r="AJ18" s="180">
        <v>81145</v>
      </c>
      <c r="AK18" s="180"/>
      <c r="AL18" s="180"/>
      <c r="AM18" s="180">
        <v>2145129</v>
      </c>
      <c r="AN18" s="180">
        <v>76784</v>
      </c>
      <c r="AO18" s="180">
        <v>92219</v>
      </c>
      <c r="AP18" s="180">
        <v>0</v>
      </c>
      <c r="AQ18" s="180">
        <v>0</v>
      </c>
      <c r="AR18" s="180">
        <v>790654</v>
      </c>
      <c r="AS18" s="180"/>
      <c r="AT18" s="180">
        <v>398995</v>
      </c>
      <c r="AU18" s="180">
        <v>0</v>
      </c>
      <c r="AV18" s="180">
        <v>3560083</v>
      </c>
      <c r="AW18" s="180">
        <v>0</v>
      </c>
      <c r="AX18" s="180">
        <v>256003</v>
      </c>
      <c r="AY18" s="180">
        <v>181066</v>
      </c>
      <c r="AZ18" s="180">
        <v>212867</v>
      </c>
      <c r="BA18" s="180">
        <v>43334</v>
      </c>
      <c r="BB18" s="180">
        <v>0</v>
      </c>
      <c r="BC18" s="180">
        <v>26499</v>
      </c>
      <c r="BD18" s="180">
        <v>1055164</v>
      </c>
      <c r="BE18" s="180">
        <v>0</v>
      </c>
      <c r="BF18" s="180">
        <v>66384</v>
      </c>
      <c r="BG18" s="180">
        <v>74766</v>
      </c>
      <c r="BH18" s="180">
        <v>0</v>
      </c>
      <c r="BI18" s="180">
        <v>91322</v>
      </c>
      <c r="BJ18" s="180">
        <v>0</v>
      </c>
      <c r="BK18" s="180">
        <v>589999</v>
      </c>
      <c r="BL18" s="180"/>
      <c r="BM18" s="180">
        <v>361722</v>
      </c>
      <c r="BN18" s="180">
        <v>172965</v>
      </c>
      <c r="BO18" s="180">
        <v>108010</v>
      </c>
      <c r="BP18" s="180">
        <v>41511</v>
      </c>
      <c r="BQ18" s="180">
        <v>0</v>
      </c>
      <c r="BR18" s="180">
        <v>179944</v>
      </c>
      <c r="BS18" s="180">
        <v>0</v>
      </c>
      <c r="BT18" s="180">
        <v>274002</v>
      </c>
      <c r="BU18" s="180">
        <v>577576</v>
      </c>
      <c r="BV18" s="180">
        <v>0</v>
      </c>
      <c r="BW18" s="180">
        <v>532872</v>
      </c>
      <c r="BX18" s="180">
        <v>79476</v>
      </c>
      <c r="BY18" s="180">
        <v>18215</v>
      </c>
      <c r="BZ18" s="180">
        <v>189430</v>
      </c>
      <c r="CA18" s="180">
        <v>155043</v>
      </c>
      <c r="CB18" s="180">
        <v>159362</v>
      </c>
      <c r="CC18" s="180"/>
      <c r="CD18" s="180">
        <v>30020</v>
      </c>
      <c r="CE18" s="180"/>
      <c r="CF18" s="180"/>
      <c r="CG18" s="180"/>
      <c r="CH18" s="180"/>
      <c r="CI18" s="180"/>
      <c r="CJ18" s="180"/>
      <c r="CK18" s="180"/>
      <c r="CL18" s="180"/>
      <c r="CM18" s="180"/>
      <c r="CN18" s="180"/>
      <c r="CO18" s="180"/>
      <c r="CP18" s="180"/>
      <c r="CQ18" s="180"/>
      <c r="CR18" s="180"/>
      <c r="CS18" s="180"/>
      <c r="CT18" s="180"/>
      <c r="CU18" s="180"/>
    </row>
    <row r="19" spans="1:99" x14ac:dyDescent="0.3">
      <c r="A19" s="155">
        <v>50</v>
      </c>
      <c r="B19" s="180" t="s">
        <v>92</v>
      </c>
      <c r="C19" s="180"/>
      <c r="D19" s="180"/>
      <c r="E19" s="180">
        <v>0</v>
      </c>
      <c r="F19" s="180">
        <v>-129610</v>
      </c>
      <c r="G19" s="180">
        <v>0</v>
      </c>
      <c r="H19" s="180">
        <v>0</v>
      </c>
      <c r="I19" s="180">
        <v>0</v>
      </c>
      <c r="J19" s="180">
        <v>-66812</v>
      </c>
      <c r="K19" s="180">
        <v>0</v>
      </c>
      <c r="L19" s="180">
        <v>0</v>
      </c>
      <c r="M19" s="180">
        <v>0</v>
      </c>
      <c r="N19" s="180">
        <v>0</v>
      </c>
      <c r="O19" s="180">
        <v>1551136</v>
      </c>
      <c r="P19" s="180">
        <v>0</v>
      </c>
      <c r="Q19" s="180">
        <v>13327648</v>
      </c>
      <c r="R19" s="180">
        <v>16733</v>
      </c>
      <c r="S19" s="180">
        <v>0</v>
      </c>
      <c r="T19" s="180">
        <v>12515172</v>
      </c>
      <c r="U19" s="180">
        <v>388358</v>
      </c>
      <c r="V19" s="180">
        <v>2453244</v>
      </c>
      <c r="W19" s="180">
        <v>0</v>
      </c>
      <c r="X19" s="180"/>
      <c r="Y19" s="180">
        <v>589151</v>
      </c>
      <c r="Z19" s="180">
        <v>-136906</v>
      </c>
      <c r="AA19" s="180">
        <v>4855075</v>
      </c>
      <c r="AB19" s="180">
        <v>3937920</v>
      </c>
      <c r="AC19" s="180">
        <v>231930</v>
      </c>
      <c r="AD19" s="180">
        <v>529497</v>
      </c>
      <c r="AE19" s="180">
        <v>-366335</v>
      </c>
      <c r="AF19" s="180">
        <v>636156</v>
      </c>
      <c r="AG19" s="180">
        <v>321505</v>
      </c>
      <c r="AH19" s="180">
        <v>0</v>
      </c>
      <c r="AI19" s="180">
        <v>4226887</v>
      </c>
      <c r="AJ19" s="180">
        <v>-10819</v>
      </c>
      <c r="AK19" s="180"/>
      <c r="AL19" s="180"/>
      <c r="AM19" s="180">
        <v>1122157</v>
      </c>
      <c r="AN19" s="180">
        <v>1019</v>
      </c>
      <c r="AO19" s="180">
        <v>-14990</v>
      </c>
      <c r="AP19" s="180">
        <v>0</v>
      </c>
      <c r="AQ19" s="180">
        <v>0</v>
      </c>
      <c r="AR19" s="180">
        <v>2262455</v>
      </c>
      <c r="AS19" s="180"/>
      <c r="AT19" s="180">
        <v>1914084</v>
      </c>
      <c r="AU19" s="180">
        <v>0</v>
      </c>
      <c r="AV19" s="180">
        <v>1162243</v>
      </c>
      <c r="AW19" s="180">
        <v>0</v>
      </c>
      <c r="AX19" s="180">
        <v>49956</v>
      </c>
      <c r="AY19" s="180">
        <v>10735354</v>
      </c>
      <c r="AZ19" s="180">
        <v>-65800</v>
      </c>
      <c r="BA19" s="180">
        <v>-17857</v>
      </c>
      <c r="BB19" s="180">
        <v>0</v>
      </c>
      <c r="BC19" s="180">
        <v>-30243</v>
      </c>
      <c r="BD19" s="180">
        <v>4454227</v>
      </c>
      <c r="BE19" s="180">
        <v>0</v>
      </c>
      <c r="BF19" s="180">
        <v>-70004</v>
      </c>
      <c r="BG19" s="180">
        <v>1232260</v>
      </c>
      <c r="BH19" s="180">
        <v>0</v>
      </c>
      <c r="BI19" s="180">
        <v>-40359</v>
      </c>
      <c r="BJ19" s="180">
        <v>0</v>
      </c>
      <c r="BK19" s="180">
        <v>-173142</v>
      </c>
      <c r="BL19" s="180"/>
      <c r="BM19" s="180">
        <v>2138567</v>
      </c>
      <c r="BN19" s="180">
        <v>119254</v>
      </c>
      <c r="BO19" s="180">
        <v>209490</v>
      </c>
      <c r="BP19" s="180">
        <v>100483</v>
      </c>
      <c r="BQ19" s="180">
        <v>0</v>
      </c>
      <c r="BR19" s="180">
        <v>351346</v>
      </c>
      <c r="BS19" s="180">
        <v>0</v>
      </c>
      <c r="BT19" s="180">
        <v>-151914</v>
      </c>
      <c r="BU19" s="180">
        <v>2614038</v>
      </c>
      <c r="BV19" s="180">
        <v>0</v>
      </c>
      <c r="BW19" s="180">
        <v>230905</v>
      </c>
      <c r="BX19" s="180">
        <v>40975</v>
      </c>
      <c r="BY19" s="180">
        <v>-18108</v>
      </c>
      <c r="BZ19" s="180">
        <v>181699</v>
      </c>
      <c r="CA19" s="180">
        <v>-130674</v>
      </c>
      <c r="CB19" s="180">
        <v>1075291</v>
      </c>
      <c r="CC19" s="180"/>
      <c r="CD19" s="180">
        <v>-21866</v>
      </c>
      <c r="CE19" s="180"/>
      <c r="CF19" s="180"/>
      <c r="CG19" s="180"/>
      <c r="CH19" s="180"/>
      <c r="CI19" s="180"/>
      <c r="CJ19" s="180"/>
      <c r="CK19" s="180"/>
      <c r="CL19" s="180"/>
      <c r="CM19" s="180"/>
      <c r="CN19" s="180"/>
      <c r="CO19" s="180"/>
      <c r="CP19" s="180"/>
      <c r="CQ19" s="180"/>
      <c r="CR19" s="180"/>
      <c r="CS19" s="180"/>
      <c r="CT19" s="180"/>
      <c r="CU19" s="180"/>
    </row>
    <row r="20" spans="1:99" x14ac:dyDescent="0.3">
      <c r="A20" s="155">
        <v>51</v>
      </c>
      <c r="B20" s="180" t="s">
        <v>237</v>
      </c>
      <c r="C20" s="180"/>
      <c r="D20" s="180"/>
      <c r="E20" s="180">
        <v>0</v>
      </c>
      <c r="F20" s="180">
        <v>114839</v>
      </c>
      <c r="G20" s="180">
        <v>0</v>
      </c>
      <c r="H20" s="180">
        <v>0</v>
      </c>
      <c r="I20" s="180">
        <v>0</v>
      </c>
      <c r="J20" s="180">
        <v>11994</v>
      </c>
      <c r="K20" s="180">
        <v>0</v>
      </c>
      <c r="L20" s="180">
        <v>0</v>
      </c>
      <c r="M20" s="180">
        <v>0</v>
      </c>
      <c r="N20" s="180">
        <v>0</v>
      </c>
      <c r="O20" s="180">
        <v>1380626</v>
      </c>
      <c r="P20" s="180">
        <v>0</v>
      </c>
      <c r="Q20" s="180">
        <v>18523867</v>
      </c>
      <c r="R20" s="180">
        <v>115331</v>
      </c>
      <c r="S20" s="180">
        <v>0</v>
      </c>
      <c r="T20" s="180">
        <v>5141117</v>
      </c>
      <c r="U20" s="180">
        <v>2489923</v>
      </c>
      <c r="V20" s="180">
        <v>4500746</v>
      </c>
      <c r="W20" s="180">
        <v>0</v>
      </c>
      <c r="X20" s="180"/>
      <c r="Y20" s="180">
        <v>2446542</v>
      </c>
      <c r="Z20" s="180">
        <v>334907</v>
      </c>
      <c r="AA20" s="180">
        <v>5031054</v>
      </c>
      <c r="AB20" s="180">
        <v>1521509</v>
      </c>
      <c r="AC20" s="180">
        <v>408520</v>
      </c>
      <c r="AD20" s="180">
        <v>705261</v>
      </c>
      <c r="AE20" s="180">
        <v>299805</v>
      </c>
      <c r="AF20" s="180">
        <v>1096252</v>
      </c>
      <c r="AG20" s="180">
        <v>1618146</v>
      </c>
      <c r="AH20" s="180">
        <v>0</v>
      </c>
      <c r="AI20" s="180">
        <v>7993628</v>
      </c>
      <c r="AJ20" s="180">
        <v>90182</v>
      </c>
      <c r="AK20" s="180"/>
      <c r="AL20" s="180"/>
      <c r="AM20" s="180">
        <v>2293045</v>
      </c>
      <c r="AN20" s="180">
        <v>14782</v>
      </c>
      <c r="AO20" s="180">
        <v>60999</v>
      </c>
      <c r="AP20" s="180">
        <v>0</v>
      </c>
      <c r="AQ20" s="180">
        <v>0</v>
      </c>
      <c r="AR20" s="180">
        <v>1136700</v>
      </c>
      <c r="AS20" s="180"/>
      <c r="AT20" s="180">
        <v>960067</v>
      </c>
      <c r="AU20" s="180">
        <v>0</v>
      </c>
      <c r="AV20" s="180">
        <v>6833838</v>
      </c>
      <c r="AW20" s="180">
        <v>0</v>
      </c>
      <c r="AX20" s="180">
        <v>170892</v>
      </c>
      <c r="AY20" s="180">
        <v>1046355</v>
      </c>
      <c r="AZ20" s="180">
        <v>114825</v>
      </c>
      <c r="BA20" s="180">
        <v>-1163</v>
      </c>
      <c r="BB20" s="180">
        <v>0</v>
      </c>
      <c r="BC20" s="180">
        <v>-13749</v>
      </c>
      <c r="BD20" s="180">
        <v>4319353</v>
      </c>
      <c r="BE20" s="180">
        <v>0</v>
      </c>
      <c r="BF20" s="180">
        <v>149629</v>
      </c>
      <c r="BG20" s="180">
        <v>22066</v>
      </c>
      <c r="BH20" s="180">
        <v>0</v>
      </c>
      <c r="BI20" s="180">
        <v>46455</v>
      </c>
      <c r="BJ20" s="180">
        <v>0</v>
      </c>
      <c r="BK20" s="180">
        <v>695617</v>
      </c>
      <c r="BL20" s="180"/>
      <c r="BM20" s="180">
        <v>-22118</v>
      </c>
      <c r="BN20" s="180">
        <v>0</v>
      </c>
      <c r="BO20" s="180">
        <v>425160</v>
      </c>
      <c r="BP20" s="180">
        <v>152782</v>
      </c>
      <c r="BQ20" s="180">
        <v>0</v>
      </c>
      <c r="BR20" s="180">
        <v>261235</v>
      </c>
      <c r="BS20" s="180">
        <v>0</v>
      </c>
      <c r="BT20" s="180">
        <v>13753</v>
      </c>
      <c r="BU20" s="180">
        <v>2540691</v>
      </c>
      <c r="BV20" s="180">
        <v>0</v>
      </c>
      <c r="BW20" s="180">
        <v>325519</v>
      </c>
      <c r="BX20" s="180">
        <v>158645</v>
      </c>
      <c r="BY20" s="180">
        <v>-2931</v>
      </c>
      <c r="BZ20" s="180">
        <v>107139</v>
      </c>
      <c r="CA20" s="180">
        <v>45991</v>
      </c>
      <c r="CB20" s="180">
        <v>250853</v>
      </c>
      <c r="CC20" s="180"/>
      <c r="CD20" s="180">
        <v>1864</v>
      </c>
      <c r="CE20" s="180"/>
      <c r="CF20" s="180"/>
      <c r="CG20" s="180"/>
      <c r="CH20" s="180"/>
      <c r="CI20" s="180"/>
      <c r="CJ20" s="180"/>
      <c r="CK20" s="180"/>
      <c r="CL20" s="180"/>
      <c r="CM20" s="180"/>
      <c r="CN20" s="180"/>
      <c r="CO20" s="180"/>
      <c r="CP20" s="180"/>
      <c r="CQ20" s="180"/>
      <c r="CR20" s="180"/>
      <c r="CS20" s="180"/>
      <c r="CT20" s="180"/>
      <c r="CU20" s="180"/>
    </row>
    <row r="21" spans="1:99" x14ac:dyDescent="0.3">
      <c r="A21" s="155">
        <v>52</v>
      </c>
      <c r="B21" s="180" t="s">
        <v>230</v>
      </c>
      <c r="C21" s="180"/>
      <c r="D21" s="180"/>
      <c r="E21" s="180">
        <v>0</v>
      </c>
      <c r="F21" s="180">
        <v>0</v>
      </c>
      <c r="G21" s="180">
        <v>0</v>
      </c>
      <c r="H21" s="180">
        <v>0</v>
      </c>
      <c r="I21" s="180">
        <v>0</v>
      </c>
      <c r="J21" s="180">
        <v>0</v>
      </c>
      <c r="K21" s="180">
        <v>0</v>
      </c>
      <c r="L21" s="180">
        <v>0</v>
      </c>
      <c r="M21" s="180">
        <v>0</v>
      </c>
      <c r="N21" s="180">
        <v>0</v>
      </c>
      <c r="O21" s="180">
        <v>0</v>
      </c>
      <c r="P21" s="180">
        <v>0</v>
      </c>
      <c r="Q21" s="180">
        <v>2267598</v>
      </c>
      <c r="R21" s="180">
        <v>0</v>
      </c>
      <c r="S21" s="180">
        <v>0</v>
      </c>
      <c r="T21" s="180">
        <v>0</v>
      </c>
      <c r="U21" s="180">
        <v>0</v>
      </c>
      <c r="V21" s="180">
        <v>1253245</v>
      </c>
      <c r="W21" s="180">
        <v>0</v>
      </c>
      <c r="X21" s="180"/>
      <c r="Y21" s="180">
        <v>0</v>
      </c>
      <c r="Z21" s="180">
        <v>0</v>
      </c>
      <c r="AA21" s="180">
        <v>0</v>
      </c>
      <c r="AB21" s="180">
        <v>0</v>
      </c>
      <c r="AC21" s="180">
        <v>0</v>
      </c>
      <c r="AD21" s="180">
        <v>0</v>
      </c>
      <c r="AE21" s="180">
        <v>0</v>
      </c>
      <c r="AF21" s="180">
        <v>0</v>
      </c>
      <c r="AG21" s="180">
        <v>0</v>
      </c>
      <c r="AH21" s="180">
        <v>0</v>
      </c>
      <c r="AI21" s="180">
        <v>2356879</v>
      </c>
      <c r="AJ21" s="180">
        <v>0</v>
      </c>
      <c r="AK21" s="180"/>
      <c r="AL21" s="180"/>
      <c r="AM21" s="180">
        <v>1207175</v>
      </c>
      <c r="AN21" s="180">
        <v>0</v>
      </c>
      <c r="AO21" s="180">
        <v>0</v>
      </c>
      <c r="AP21" s="180">
        <v>0</v>
      </c>
      <c r="AQ21" s="180">
        <v>0</v>
      </c>
      <c r="AR21" s="180">
        <v>0</v>
      </c>
      <c r="AS21" s="180"/>
      <c r="AT21" s="180">
        <v>0</v>
      </c>
      <c r="AU21" s="180">
        <v>7958</v>
      </c>
      <c r="AV21" s="180">
        <v>0</v>
      </c>
      <c r="AW21" s="180">
        <v>0</v>
      </c>
      <c r="AX21" s="180">
        <v>0</v>
      </c>
      <c r="AY21" s="180">
        <v>0</v>
      </c>
      <c r="AZ21" s="180">
        <v>0</v>
      </c>
      <c r="BA21" s="180">
        <v>0</v>
      </c>
      <c r="BB21" s="180">
        <v>0</v>
      </c>
      <c r="BC21" s="180">
        <v>0</v>
      </c>
      <c r="BD21" s="180">
        <v>0</v>
      </c>
      <c r="BE21" s="180">
        <v>0</v>
      </c>
      <c r="BF21" s="180">
        <v>0</v>
      </c>
      <c r="BG21" s="180">
        <v>0</v>
      </c>
      <c r="BH21" s="180">
        <v>0</v>
      </c>
      <c r="BI21" s="180">
        <v>0</v>
      </c>
      <c r="BJ21" s="180">
        <v>0</v>
      </c>
      <c r="BK21" s="180">
        <v>0</v>
      </c>
      <c r="BL21" s="180"/>
      <c r="BM21" s="180">
        <v>0</v>
      </c>
      <c r="BN21" s="180">
        <v>0</v>
      </c>
      <c r="BO21" s="180">
        <v>0</v>
      </c>
      <c r="BP21" s="180">
        <v>0</v>
      </c>
      <c r="BQ21" s="180">
        <v>0</v>
      </c>
      <c r="BR21" s="180">
        <v>27803</v>
      </c>
      <c r="BS21" s="180">
        <v>578939</v>
      </c>
      <c r="BT21" s="180">
        <v>0</v>
      </c>
      <c r="BU21" s="180">
        <v>0</v>
      </c>
      <c r="BV21" s="180">
        <v>0</v>
      </c>
      <c r="BW21" s="180">
        <v>0</v>
      </c>
      <c r="BX21" s="180">
        <v>0</v>
      </c>
      <c r="BY21" s="180">
        <v>0</v>
      </c>
      <c r="BZ21" s="180">
        <v>0</v>
      </c>
      <c r="CA21" s="180">
        <v>0</v>
      </c>
      <c r="CB21" s="180">
        <v>0</v>
      </c>
      <c r="CC21" s="180"/>
      <c r="CD21" s="180">
        <v>0</v>
      </c>
      <c r="CE21" s="180"/>
      <c r="CF21" s="180"/>
      <c r="CG21" s="180"/>
      <c r="CH21" s="180"/>
      <c r="CI21" s="180"/>
      <c r="CJ21" s="180"/>
      <c r="CK21" s="180"/>
      <c r="CL21" s="180"/>
      <c r="CM21" s="180"/>
      <c r="CN21" s="180"/>
      <c r="CO21" s="180"/>
      <c r="CP21" s="180"/>
      <c r="CQ21" s="180"/>
      <c r="CR21" s="180"/>
      <c r="CS21" s="180"/>
      <c r="CT21" s="180"/>
      <c r="CU21" s="180"/>
    </row>
    <row r="22" spans="1:99" x14ac:dyDescent="0.3">
      <c r="A22" s="155">
        <v>53</v>
      </c>
      <c r="B22" s="180" t="s">
        <v>93</v>
      </c>
      <c r="C22" s="180"/>
      <c r="D22" s="180"/>
      <c r="E22" s="180">
        <v>0</v>
      </c>
      <c r="F22" s="180">
        <v>0</v>
      </c>
      <c r="G22" s="180">
        <v>0</v>
      </c>
      <c r="H22" s="180">
        <v>0</v>
      </c>
      <c r="I22" s="180">
        <v>0</v>
      </c>
      <c r="J22" s="180">
        <v>0</v>
      </c>
      <c r="K22" s="180">
        <v>0</v>
      </c>
      <c r="L22" s="180">
        <v>0</v>
      </c>
      <c r="M22" s="180">
        <v>0</v>
      </c>
      <c r="N22" s="180">
        <v>0</v>
      </c>
      <c r="O22" s="180">
        <v>0</v>
      </c>
      <c r="P22" s="180">
        <v>0</v>
      </c>
      <c r="Q22" s="180">
        <v>3214368</v>
      </c>
      <c r="R22" s="180">
        <v>0</v>
      </c>
      <c r="S22" s="180">
        <v>0</v>
      </c>
      <c r="T22" s="180">
        <v>0</v>
      </c>
      <c r="U22" s="180">
        <v>0</v>
      </c>
      <c r="V22" s="180">
        <v>693591</v>
      </c>
      <c r="W22" s="180">
        <v>0</v>
      </c>
      <c r="X22" s="180"/>
      <c r="Y22" s="180">
        <v>0</v>
      </c>
      <c r="Z22" s="180">
        <v>0</v>
      </c>
      <c r="AA22" s="180">
        <v>0</v>
      </c>
      <c r="AB22" s="180">
        <v>0</v>
      </c>
      <c r="AC22" s="180">
        <v>0</v>
      </c>
      <c r="AD22" s="180">
        <v>0</v>
      </c>
      <c r="AE22" s="180">
        <v>0</v>
      </c>
      <c r="AF22" s="180">
        <v>0</v>
      </c>
      <c r="AG22" s="180">
        <v>0</v>
      </c>
      <c r="AH22" s="180">
        <v>0</v>
      </c>
      <c r="AI22" s="180">
        <v>1708294</v>
      </c>
      <c r="AJ22" s="180">
        <v>0</v>
      </c>
      <c r="AK22" s="180"/>
      <c r="AL22" s="180"/>
      <c r="AM22" s="180">
        <v>300230</v>
      </c>
      <c r="AN22" s="180">
        <v>0</v>
      </c>
      <c r="AO22" s="180">
        <v>0</v>
      </c>
      <c r="AP22" s="180">
        <v>0</v>
      </c>
      <c r="AQ22" s="180">
        <v>0</v>
      </c>
      <c r="AR22" s="180">
        <v>0</v>
      </c>
      <c r="AS22" s="180"/>
      <c r="AT22" s="180">
        <v>0</v>
      </c>
      <c r="AU22" s="180">
        <v>39407</v>
      </c>
      <c r="AV22" s="180">
        <v>0</v>
      </c>
      <c r="AW22" s="180">
        <v>0</v>
      </c>
      <c r="AX22" s="180">
        <v>0</v>
      </c>
      <c r="AY22" s="180">
        <v>0</v>
      </c>
      <c r="AZ22" s="180">
        <v>0</v>
      </c>
      <c r="BA22" s="180">
        <v>0</v>
      </c>
      <c r="BB22" s="180">
        <v>0</v>
      </c>
      <c r="BC22" s="180">
        <v>0</v>
      </c>
      <c r="BD22" s="180">
        <v>0</v>
      </c>
      <c r="BE22" s="180">
        <v>0</v>
      </c>
      <c r="BF22" s="180">
        <v>0</v>
      </c>
      <c r="BG22" s="180">
        <v>0</v>
      </c>
      <c r="BH22" s="180">
        <v>0</v>
      </c>
      <c r="BI22" s="180">
        <v>0</v>
      </c>
      <c r="BJ22" s="180">
        <v>0</v>
      </c>
      <c r="BK22" s="180">
        <v>0</v>
      </c>
      <c r="BL22" s="180"/>
      <c r="BM22" s="180">
        <v>0</v>
      </c>
      <c r="BN22" s="180">
        <v>0</v>
      </c>
      <c r="BO22" s="180">
        <v>0</v>
      </c>
      <c r="BP22" s="180">
        <v>0</v>
      </c>
      <c r="BQ22" s="180">
        <v>0</v>
      </c>
      <c r="BR22" s="180">
        <v>374035</v>
      </c>
      <c r="BS22" s="180">
        <v>926254</v>
      </c>
      <c r="BT22" s="180">
        <v>0</v>
      </c>
      <c r="BU22" s="180">
        <v>0</v>
      </c>
      <c r="BV22" s="180">
        <v>0</v>
      </c>
      <c r="BW22" s="180">
        <v>0</v>
      </c>
      <c r="BX22" s="180">
        <v>0</v>
      </c>
      <c r="BY22" s="180">
        <v>0</v>
      </c>
      <c r="BZ22" s="180">
        <v>0</v>
      </c>
      <c r="CA22" s="180">
        <v>0</v>
      </c>
      <c r="CB22" s="180">
        <v>0</v>
      </c>
      <c r="CC22" s="180"/>
      <c r="CD22" s="180">
        <v>0</v>
      </c>
      <c r="CE22" s="180"/>
      <c r="CF22" s="180"/>
      <c r="CG22" s="180"/>
      <c r="CH22" s="180"/>
      <c r="CI22" s="180"/>
      <c r="CJ22" s="180"/>
      <c r="CK22" s="180"/>
      <c r="CL22" s="180"/>
      <c r="CM22" s="180"/>
      <c r="CN22" s="180"/>
      <c r="CO22" s="180"/>
      <c r="CP22" s="180"/>
      <c r="CQ22" s="180"/>
      <c r="CR22" s="180"/>
      <c r="CS22" s="180"/>
      <c r="CT22" s="180"/>
      <c r="CU22" s="180"/>
    </row>
    <row r="23" spans="1:99" x14ac:dyDescent="0.3">
      <c r="A23" s="155">
        <v>55</v>
      </c>
      <c r="B23" s="180" t="s">
        <v>240</v>
      </c>
      <c r="C23" s="180"/>
      <c r="D23" s="180"/>
      <c r="E23" s="180">
        <v>0</v>
      </c>
      <c r="F23" s="180">
        <v>0</v>
      </c>
      <c r="G23" s="180">
        <v>0</v>
      </c>
      <c r="H23" s="180">
        <v>0</v>
      </c>
      <c r="I23" s="180">
        <v>0</v>
      </c>
      <c r="J23" s="180">
        <v>0</v>
      </c>
      <c r="K23" s="180">
        <v>0</v>
      </c>
      <c r="L23" s="180">
        <v>0</v>
      </c>
      <c r="M23" s="180">
        <v>0</v>
      </c>
      <c r="N23" s="180">
        <v>0</v>
      </c>
      <c r="O23" s="180">
        <v>0</v>
      </c>
      <c r="P23" s="180">
        <v>0</v>
      </c>
      <c r="Q23" s="180">
        <v>7023247</v>
      </c>
      <c r="R23" s="180">
        <v>0</v>
      </c>
      <c r="S23" s="180">
        <v>0</v>
      </c>
      <c r="T23" s="180">
        <v>0</v>
      </c>
      <c r="U23" s="180">
        <v>0</v>
      </c>
      <c r="V23" s="180">
        <v>1538662</v>
      </c>
      <c r="W23" s="180">
        <v>0</v>
      </c>
      <c r="X23" s="180"/>
      <c r="Y23" s="180">
        <v>0</v>
      </c>
      <c r="Z23" s="180">
        <v>0</v>
      </c>
      <c r="AA23" s="180">
        <v>0</v>
      </c>
      <c r="AB23" s="180">
        <v>0</v>
      </c>
      <c r="AC23" s="180">
        <v>0</v>
      </c>
      <c r="AD23" s="180">
        <v>0</v>
      </c>
      <c r="AE23" s="180">
        <v>0</v>
      </c>
      <c r="AF23" s="180">
        <v>0</v>
      </c>
      <c r="AG23" s="180">
        <v>0</v>
      </c>
      <c r="AH23" s="180">
        <v>0</v>
      </c>
      <c r="AI23" s="180">
        <v>4409211</v>
      </c>
      <c r="AJ23" s="180">
        <v>0</v>
      </c>
      <c r="AK23" s="180"/>
      <c r="AL23" s="180"/>
      <c r="AM23" s="180">
        <v>1550342</v>
      </c>
      <c r="AN23" s="180">
        <v>0</v>
      </c>
      <c r="AO23" s="180">
        <v>0</v>
      </c>
      <c r="AP23" s="180">
        <v>0</v>
      </c>
      <c r="AQ23" s="180">
        <v>0</v>
      </c>
      <c r="AR23" s="180">
        <v>0</v>
      </c>
      <c r="AS23" s="180"/>
      <c r="AT23" s="180">
        <v>0</v>
      </c>
      <c r="AU23" s="180">
        <v>41080</v>
      </c>
      <c r="AV23" s="180">
        <v>0</v>
      </c>
      <c r="AW23" s="180">
        <v>0</v>
      </c>
      <c r="AX23" s="180">
        <v>0</v>
      </c>
      <c r="AY23" s="180">
        <v>0</v>
      </c>
      <c r="AZ23" s="180">
        <v>0</v>
      </c>
      <c r="BA23" s="180">
        <v>0</v>
      </c>
      <c r="BB23" s="180">
        <v>0</v>
      </c>
      <c r="BC23" s="180">
        <v>0</v>
      </c>
      <c r="BD23" s="180">
        <v>0</v>
      </c>
      <c r="BE23" s="180">
        <v>0</v>
      </c>
      <c r="BF23" s="180">
        <v>0</v>
      </c>
      <c r="BG23" s="180">
        <v>0</v>
      </c>
      <c r="BH23" s="180">
        <v>0</v>
      </c>
      <c r="BI23" s="180">
        <v>0</v>
      </c>
      <c r="BJ23" s="180">
        <v>0</v>
      </c>
      <c r="BK23" s="180">
        <v>0</v>
      </c>
      <c r="BL23" s="180"/>
      <c r="BM23" s="180">
        <v>0</v>
      </c>
      <c r="BN23" s="180">
        <v>0</v>
      </c>
      <c r="BO23" s="180">
        <v>0</v>
      </c>
      <c r="BP23" s="180">
        <v>0</v>
      </c>
      <c r="BQ23" s="180">
        <v>0</v>
      </c>
      <c r="BR23" s="180">
        <v>892050</v>
      </c>
      <c r="BS23" s="180">
        <v>1399718</v>
      </c>
      <c r="BT23" s="180">
        <v>0</v>
      </c>
      <c r="BU23" s="180">
        <v>0</v>
      </c>
      <c r="BV23" s="180">
        <v>0</v>
      </c>
      <c r="BW23" s="180">
        <v>0</v>
      </c>
      <c r="BX23" s="180">
        <v>0</v>
      </c>
      <c r="BY23" s="180">
        <v>0</v>
      </c>
      <c r="BZ23" s="180">
        <v>0</v>
      </c>
      <c r="CA23" s="180">
        <v>0</v>
      </c>
      <c r="CB23" s="180">
        <v>0</v>
      </c>
      <c r="CC23" s="180"/>
      <c r="CD23" s="180">
        <v>0</v>
      </c>
      <c r="CE23" s="180"/>
      <c r="CF23" s="180"/>
      <c r="CG23" s="180"/>
      <c r="CH23" s="180"/>
      <c r="CI23" s="180"/>
      <c r="CJ23" s="180"/>
      <c r="CK23" s="180"/>
      <c r="CL23" s="180"/>
      <c r="CM23" s="180"/>
      <c r="CN23" s="180"/>
      <c r="CO23" s="180"/>
      <c r="CP23" s="180"/>
      <c r="CQ23" s="180"/>
      <c r="CR23" s="180"/>
      <c r="CS23" s="180"/>
      <c r="CT23" s="180"/>
      <c r="CU23" s="180"/>
    </row>
    <row r="24" spans="1:99" x14ac:dyDescent="0.3">
      <c r="A24" s="155">
        <v>61</v>
      </c>
      <c r="B24" s="180" t="s">
        <v>254</v>
      </c>
      <c r="C24" s="180"/>
      <c r="D24" s="180"/>
      <c r="E24" s="180">
        <v>97.13</v>
      </c>
      <c r="F24" s="180">
        <v>98.67</v>
      </c>
      <c r="G24" s="180">
        <v>99.28</v>
      </c>
      <c r="H24" s="180">
        <v>98.64</v>
      </c>
      <c r="I24" s="180">
        <v>99.25</v>
      </c>
      <c r="J24" s="180">
        <v>97.43</v>
      </c>
      <c r="K24" s="180">
        <v>99.77</v>
      </c>
      <c r="L24" s="180">
        <v>99.59</v>
      </c>
      <c r="M24" s="180">
        <v>99.4</v>
      </c>
      <c r="N24" s="180">
        <v>97.47</v>
      </c>
      <c r="O24" s="180">
        <v>99.27</v>
      </c>
      <c r="P24" s="180">
        <v>98.43</v>
      </c>
      <c r="Q24" s="180">
        <v>99.39</v>
      </c>
      <c r="R24" s="180">
        <v>99.96</v>
      </c>
      <c r="S24" s="180">
        <v>0</v>
      </c>
      <c r="T24" s="180">
        <v>99.6</v>
      </c>
      <c r="U24" s="180">
        <v>98.81</v>
      </c>
      <c r="V24" s="180">
        <v>98.07</v>
      </c>
      <c r="W24" s="180">
        <v>99.75</v>
      </c>
      <c r="X24" s="180"/>
      <c r="Y24" s="180">
        <v>98.78</v>
      </c>
      <c r="Z24" s="180">
        <v>96.08</v>
      </c>
      <c r="AA24" s="180">
        <v>99.55</v>
      </c>
      <c r="AB24" s="180">
        <v>97.2</v>
      </c>
      <c r="AC24" s="180">
        <v>99.39</v>
      </c>
      <c r="AD24" s="180">
        <v>97.94</v>
      </c>
      <c r="AE24" s="180">
        <v>93.92</v>
      </c>
      <c r="AF24" s="180">
        <v>99.99</v>
      </c>
      <c r="AG24" s="180">
        <v>98.72</v>
      </c>
      <c r="AH24" s="180">
        <v>96.95</v>
      </c>
      <c r="AI24" s="180">
        <v>99.15</v>
      </c>
      <c r="AJ24" s="180">
        <v>99.68</v>
      </c>
      <c r="AK24" s="180"/>
      <c r="AL24" s="180"/>
      <c r="AM24" s="180">
        <v>98.6</v>
      </c>
      <c r="AN24" s="180">
        <v>95.68</v>
      </c>
      <c r="AO24" s="180">
        <v>97.06</v>
      </c>
      <c r="AP24" s="180">
        <v>0</v>
      </c>
      <c r="AQ24" s="180">
        <v>99.31</v>
      </c>
      <c r="AR24" s="180">
        <v>96.11</v>
      </c>
      <c r="AS24" s="180"/>
      <c r="AT24" s="180">
        <v>98.54</v>
      </c>
      <c r="AU24" s="180">
        <v>90.4</v>
      </c>
      <c r="AV24" s="180">
        <v>97.68</v>
      </c>
      <c r="AW24" s="180">
        <v>99.64</v>
      </c>
      <c r="AX24" s="180">
        <v>98.76</v>
      </c>
      <c r="AY24" s="180">
        <v>99.96</v>
      </c>
      <c r="AZ24" s="180">
        <v>99.66</v>
      </c>
      <c r="BA24" s="180">
        <v>97.02</v>
      </c>
      <c r="BB24" s="180">
        <v>0</v>
      </c>
      <c r="BC24" s="180">
        <v>99.47</v>
      </c>
      <c r="BD24" s="180">
        <v>98.89</v>
      </c>
      <c r="BE24" s="180">
        <v>100</v>
      </c>
      <c r="BF24" s="180">
        <v>96.58</v>
      </c>
      <c r="BG24" s="180">
        <v>83.21</v>
      </c>
      <c r="BH24" s="180">
        <v>98.59</v>
      </c>
      <c r="BI24" s="180">
        <v>90.03</v>
      </c>
      <c r="BJ24" s="180">
        <v>96.95</v>
      </c>
      <c r="BK24" s="180">
        <v>96.94</v>
      </c>
      <c r="BL24" s="180"/>
      <c r="BM24" s="180">
        <v>99.2</v>
      </c>
      <c r="BN24" s="180">
        <v>99.73</v>
      </c>
      <c r="BO24" s="180">
        <v>99.92</v>
      </c>
      <c r="BP24" s="180">
        <v>99.4</v>
      </c>
      <c r="BQ24" s="180">
        <v>99.93</v>
      </c>
      <c r="BR24" s="180">
        <v>94.54</v>
      </c>
      <c r="BS24" s="180">
        <v>99.24</v>
      </c>
      <c r="BT24" s="180">
        <v>97.84</v>
      </c>
      <c r="BU24" s="180">
        <v>99.41</v>
      </c>
      <c r="BV24" s="180">
        <v>98.96</v>
      </c>
      <c r="BW24" s="180">
        <v>84.04</v>
      </c>
      <c r="BX24" s="180">
        <v>92.95</v>
      </c>
      <c r="BY24" s="180">
        <v>99.27</v>
      </c>
      <c r="BZ24" s="180">
        <v>94.97</v>
      </c>
      <c r="CA24" s="180">
        <v>97.33</v>
      </c>
      <c r="CB24" s="180">
        <v>99.61</v>
      </c>
      <c r="CC24" s="180"/>
      <c r="CD24" s="180">
        <v>95.46</v>
      </c>
      <c r="CE24" s="180"/>
      <c r="CF24" s="180"/>
      <c r="CG24" s="180"/>
      <c r="CH24" s="180"/>
      <c r="CI24" s="180"/>
      <c r="CJ24" s="180"/>
      <c r="CK24" s="180"/>
      <c r="CL24" s="180"/>
      <c r="CM24" s="180"/>
      <c r="CN24" s="180"/>
      <c r="CO24" s="180"/>
      <c r="CP24" s="180"/>
      <c r="CQ24" s="180"/>
      <c r="CR24" s="180"/>
      <c r="CS24" s="180"/>
      <c r="CT24" s="180"/>
      <c r="CU24" s="180"/>
    </row>
    <row r="25" spans="1:99" x14ac:dyDescent="0.3">
      <c r="A25" s="155">
        <v>80</v>
      </c>
      <c r="B25" s="180" t="s">
        <v>209</v>
      </c>
      <c r="C25" s="180"/>
      <c r="D25" s="180"/>
      <c r="E25" s="180">
        <v>0</v>
      </c>
      <c r="F25" s="180">
        <v>729395</v>
      </c>
      <c r="G25" s="180">
        <v>0</v>
      </c>
      <c r="H25" s="180">
        <v>0</v>
      </c>
      <c r="I25" s="180">
        <v>0</v>
      </c>
      <c r="J25" s="180">
        <v>18259</v>
      </c>
      <c r="K25" s="180">
        <v>0</v>
      </c>
      <c r="L25" s="180">
        <v>0</v>
      </c>
      <c r="M25" s="180">
        <v>0</v>
      </c>
      <c r="N25" s="180">
        <v>0</v>
      </c>
      <c r="O25" s="180">
        <v>1754560</v>
      </c>
      <c r="P25" s="180">
        <v>0</v>
      </c>
      <c r="Q25" s="180">
        <v>54585578</v>
      </c>
      <c r="R25" s="180">
        <v>880436</v>
      </c>
      <c r="S25" s="180">
        <v>0</v>
      </c>
      <c r="T25" s="180">
        <v>21183995</v>
      </c>
      <c r="U25" s="180">
        <v>7836273</v>
      </c>
      <c r="V25" s="180">
        <v>20207627</v>
      </c>
      <c r="W25" s="180">
        <v>0</v>
      </c>
      <c r="X25" s="180"/>
      <c r="Y25" s="180">
        <v>5917843</v>
      </c>
      <c r="Z25" s="180">
        <v>1488329</v>
      </c>
      <c r="AA25" s="180">
        <v>14947278</v>
      </c>
      <c r="AB25" s="180">
        <v>1718682</v>
      </c>
      <c r="AC25" s="180">
        <v>1371965</v>
      </c>
      <c r="AD25" s="180">
        <v>1059027</v>
      </c>
      <c r="AE25" s="180">
        <v>2006977</v>
      </c>
      <c r="AF25" s="180">
        <v>3933212</v>
      </c>
      <c r="AG25" s="180">
        <v>805688</v>
      </c>
      <c r="AH25" s="180">
        <v>0</v>
      </c>
      <c r="AI25" s="180">
        <v>21529398</v>
      </c>
      <c r="AJ25" s="180">
        <v>378161</v>
      </c>
      <c r="AK25" s="180"/>
      <c r="AL25" s="180"/>
      <c r="AM25" s="180">
        <v>2010460</v>
      </c>
      <c r="AN25" s="180">
        <v>-25119</v>
      </c>
      <c r="AO25" s="180">
        <v>47818</v>
      </c>
      <c r="AP25" s="180">
        <v>0</v>
      </c>
      <c r="AQ25" s="180">
        <v>0</v>
      </c>
      <c r="AR25" s="180">
        <v>5128263</v>
      </c>
      <c r="AS25" s="180"/>
      <c r="AT25" s="180">
        <v>1270850</v>
      </c>
      <c r="AU25" s="180">
        <v>0</v>
      </c>
      <c r="AV25" s="180">
        <v>31741542</v>
      </c>
      <c r="AW25" s="180">
        <v>0</v>
      </c>
      <c r="AX25" s="180">
        <v>2752670</v>
      </c>
      <c r="AY25" s="180">
        <v>17354515</v>
      </c>
      <c r="AZ25" s="180">
        <v>935562</v>
      </c>
      <c r="BA25" s="180">
        <v>194504</v>
      </c>
      <c r="BB25" s="180">
        <v>0</v>
      </c>
      <c r="BC25" s="180">
        <v>65290</v>
      </c>
      <c r="BD25" s="180">
        <v>8910658</v>
      </c>
      <c r="BE25" s="180">
        <v>0</v>
      </c>
      <c r="BF25" s="180">
        <v>258798</v>
      </c>
      <c r="BG25" s="180">
        <v>112468</v>
      </c>
      <c r="BH25" s="180">
        <v>0</v>
      </c>
      <c r="BI25" s="180">
        <v>336687</v>
      </c>
      <c r="BJ25" s="180">
        <v>0</v>
      </c>
      <c r="BK25" s="180">
        <v>1720826</v>
      </c>
      <c r="BL25" s="180"/>
      <c r="BM25" s="180">
        <v>416697</v>
      </c>
      <c r="BN25" s="180">
        <v>883272</v>
      </c>
      <c r="BO25" s="180">
        <v>822154</v>
      </c>
      <c r="BP25" s="180">
        <v>1201953</v>
      </c>
      <c r="BQ25" s="180">
        <v>0</v>
      </c>
      <c r="BR25" s="180">
        <v>748122</v>
      </c>
      <c r="BS25" s="180">
        <v>0</v>
      </c>
      <c r="BT25" s="180">
        <v>541542</v>
      </c>
      <c r="BU25" s="180">
        <v>6171313</v>
      </c>
      <c r="BV25" s="180">
        <v>0</v>
      </c>
      <c r="BW25" s="180">
        <v>406763</v>
      </c>
      <c r="BX25" s="180">
        <v>1369118</v>
      </c>
      <c r="BY25" s="180">
        <v>3129</v>
      </c>
      <c r="BZ25" s="180">
        <v>367066</v>
      </c>
      <c r="CA25" s="180">
        <v>50849</v>
      </c>
      <c r="CB25" s="180">
        <v>1354338</v>
      </c>
      <c r="CC25" s="180"/>
      <c r="CD25" s="180">
        <v>1499</v>
      </c>
      <c r="CE25" s="180"/>
      <c r="CF25" s="180"/>
      <c r="CG25" s="180"/>
      <c r="CH25" s="180"/>
      <c r="CI25" s="180"/>
      <c r="CJ25" s="180"/>
      <c r="CK25" s="180"/>
      <c r="CL25" s="180"/>
      <c r="CM25" s="180"/>
      <c r="CN25" s="180"/>
      <c r="CO25" s="180"/>
      <c r="CP25" s="180"/>
      <c r="CQ25" s="180"/>
      <c r="CR25" s="180"/>
      <c r="CS25" s="180"/>
      <c r="CT25" s="180"/>
      <c r="CU25" s="180"/>
    </row>
    <row r="26" spans="1:99" x14ac:dyDescent="0.3">
      <c r="A26" s="155">
        <v>81</v>
      </c>
      <c r="B26" s="180" t="s">
        <v>210</v>
      </c>
      <c r="C26" s="180"/>
      <c r="D26" s="180"/>
      <c r="E26" s="180">
        <v>0</v>
      </c>
      <c r="F26" s="180">
        <v>49207</v>
      </c>
      <c r="G26" s="180">
        <v>0</v>
      </c>
      <c r="H26" s="180">
        <v>0</v>
      </c>
      <c r="I26" s="180">
        <v>0</v>
      </c>
      <c r="J26" s="180">
        <v>12023</v>
      </c>
      <c r="K26" s="180">
        <v>0</v>
      </c>
      <c r="L26" s="180">
        <v>0</v>
      </c>
      <c r="M26" s="180">
        <v>0</v>
      </c>
      <c r="N26" s="180">
        <v>0</v>
      </c>
      <c r="O26" s="180">
        <v>697775</v>
      </c>
      <c r="P26" s="180">
        <v>0</v>
      </c>
      <c r="Q26" s="180">
        <v>2449842</v>
      </c>
      <c r="R26" s="180">
        <v>25845</v>
      </c>
      <c r="S26" s="180">
        <v>0</v>
      </c>
      <c r="T26" s="180">
        <v>4786142</v>
      </c>
      <c r="U26" s="180">
        <v>1425653</v>
      </c>
      <c r="V26" s="180">
        <v>1654713</v>
      </c>
      <c r="W26" s="180">
        <v>0</v>
      </c>
      <c r="X26" s="180"/>
      <c r="Y26" s="180">
        <v>773959</v>
      </c>
      <c r="Z26" s="180">
        <v>191232</v>
      </c>
      <c r="AA26" s="180">
        <v>1904938</v>
      </c>
      <c r="AB26" s="180">
        <v>620495</v>
      </c>
      <c r="AC26" s="180">
        <v>140860</v>
      </c>
      <c r="AD26" s="180">
        <v>143655</v>
      </c>
      <c r="AE26" s="180">
        <v>166265</v>
      </c>
      <c r="AF26" s="180">
        <v>577183</v>
      </c>
      <c r="AG26" s="180">
        <v>103847</v>
      </c>
      <c r="AH26" s="180">
        <v>0</v>
      </c>
      <c r="AI26" s="180">
        <v>2858535</v>
      </c>
      <c r="AJ26" s="180">
        <v>32093</v>
      </c>
      <c r="AK26" s="180"/>
      <c r="AL26" s="180"/>
      <c r="AM26" s="180">
        <v>1121400</v>
      </c>
      <c r="AN26" s="180">
        <v>61617</v>
      </c>
      <c r="AO26" s="180">
        <v>131214</v>
      </c>
      <c r="AP26" s="180">
        <v>0</v>
      </c>
      <c r="AQ26" s="180">
        <v>0</v>
      </c>
      <c r="AR26" s="180">
        <v>506603</v>
      </c>
      <c r="AS26" s="180"/>
      <c r="AT26" s="180">
        <v>569122</v>
      </c>
      <c r="AU26" s="180">
        <v>0</v>
      </c>
      <c r="AV26" s="180">
        <v>2848646</v>
      </c>
      <c r="AW26" s="180">
        <v>0</v>
      </c>
      <c r="AX26" s="180">
        <v>143057</v>
      </c>
      <c r="AY26" s="180">
        <v>866511</v>
      </c>
      <c r="AZ26" s="180">
        <v>95392</v>
      </c>
      <c r="BA26" s="180">
        <v>45608</v>
      </c>
      <c r="BB26" s="180">
        <v>0</v>
      </c>
      <c r="BC26" s="180">
        <v>15972</v>
      </c>
      <c r="BD26" s="180">
        <v>765848</v>
      </c>
      <c r="BE26" s="180">
        <v>0</v>
      </c>
      <c r="BF26" s="180">
        <v>37777</v>
      </c>
      <c r="BG26" s="180">
        <v>3297</v>
      </c>
      <c r="BH26" s="180">
        <v>0</v>
      </c>
      <c r="BI26" s="180">
        <v>21011</v>
      </c>
      <c r="BJ26" s="180">
        <v>0</v>
      </c>
      <c r="BK26" s="180">
        <v>123402</v>
      </c>
      <c r="BL26" s="180"/>
      <c r="BM26" s="180">
        <v>175588</v>
      </c>
      <c r="BN26" s="180">
        <v>153501</v>
      </c>
      <c r="BO26" s="180">
        <v>100022</v>
      </c>
      <c r="BP26" s="180">
        <v>10327</v>
      </c>
      <c r="BQ26" s="180">
        <v>0</v>
      </c>
      <c r="BR26" s="180">
        <v>112742</v>
      </c>
      <c r="BS26" s="180">
        <v>0</v>
      </c>
      <c r="BT26" s="180">
        <v>89333</v>
      </c>
      <c r="BU26" s="180">
        <v>747716</v>
      </c>
      <c r="BV26" s="180">
        <v>0</v>
      </c>
      <c r="BW26" s="180">
        <v>476230</v>
      </c>
      <c r="BX26" s="180">
        <v>30170</v>
      </c>
      <c r="BY26" s="180">
        <v>1748</v>
      </c>
      <c r="BZ26" s="180">
        <v>26419</v>
      </c>
      <c r="CA26" s="180">
        <v>12349</v>
      </c>
      <c r="CB26" s="180">
        <v>166093</v>
      </c>
      <c r="CC26" s="180"/>
      <c r="CD26" s="180">
        <v>10446</v>
      </c>
      <c r="CE26" s="180"/>
      <c r="CF26" s="180"/>
      <c r="CG26" s="180"/>
      <c r="CH26" s="180"/>
      <c r="CI26" s="180"/>
      <c r="CJ26" s="180"/>
      <c r="CK26" s="180"/>
      <c r="CL26" s="180"/>
      <c r="CM26" s="180"/>
      <c r="CN26" s="180"/>
      <c r="CO26" s="180"/>
      <c r="CP26" s="180"/>
      <c r="CQ26" s="180"/>
      <c r="CR26" s="180"/>
      <c r="CS26" s="180"/>
      <c r="CT26" s="180"/>
      <c r="CU26" s="180"/>
    </row>
    <row r="27" spans="1:99" s="562" customFormat="1" x14ac:dyDescent="0.3">
      <c r="A27" s="561">
        <v>82</v>
      </c>
      <c r="B27" s="562" t="s">
        <v>309</v>
      </c>
      <c r="E27" s="562">
        <v>0</v>
      </c>
      <c r="F27" s="562">
        <v>460198</v>
      </c>
      <c r="G27" s="562">
        <v>0</v>
      </c>
      <c r="H27" s="562">
        <v>0</v>
      </c>
      <c r="I27" s="562">
        <v>0</v>
      </c>
      <c r="J27" s="562">
        <v>398000</v>
      </c>
      <c r="K27" s="562">
        <v>0</v>
      </c>
      <c r="L27" s="562">
        <v>0</v>
      </c>
      <c r="M27" s="562">
        <v>0</v>
      </c>
      <c r="N27" s="562">
        <v>0</v>
      </c>
      <c r="O27" s="562">
        <v>3472141</v>
      </c>
      <c r="P27" s="562">
        <v>0</v>
      </c>
      <c r="Q27" s="562">
        <v>20147417</v>
      </c>
      <c r="R27" s="562">
        <v>301481</v>
      </c>
      <c r="S27" s="562">
        <v>0</v>
      </c>
      <c r="T27" s="562">
        <v>42861524</v>
      </c>
      <c r="U27" s="562">
        <v>13067000</v>
      </c>
      <c r="V27" s="562">
        <v>12579783</v>
      </c>
      <c r="W27" s="562">
        <v>0</v>
      </c>
      <c r="Y27" s="562">
        <v>5127547</v>
      </c>
      <c r="Z27" s="562">
        <v>3625772</v>
      </c>
      <c r="AA27" s="562">
        <v>5553806</v>
      </c>
      <c r="AB27" s="562">
        <v>6496961</v>
      </c>
      <c r="AC27" s="562">
        <v>287446</v>
      </c>
      <c r="AD27" s="562">
        <v>0</v>
      </c>
      <c r="AE27" s="562">
        <v>1111923</v>
      </c>
      <c r="AF27" s="562">
        <v>40799</v>
      </c>
      <c r="AG27" s="562">
        <v>80100</v>
      </c>
      <c r="AH27" s="562">
        <v>0</v>
      </c>
      <c r="AI27" s="562">
        <v>17569404</v>
      </c>
      <c r="AJ27" s="562">
        <v>0</v>
      </c>
      <c r="AM27" s="562">
        <v>8298978</v>
      </c>
      <c r="AN27" s="562">
        <v>0</v>
      </c>
      <c r="AO27" s="562">
        <v>155891</v>
      </c>
      <c r="AP27" s="562">
        <v>0</v>
      </c>
      <c r="AQ27" s="562">
        <v>0</v>
      </c>
      <c r="AR27" s="562">
        <v>933390</v>
      </c>
      <c r="AT27" s="562">
        <v>4493778</v>
      </c>
      <c r="AU27" s="562">
        <v>0</v>
      </c>
      <c r="AV27" s="562">
        <v>73976588</v>
      </c>
      <c r="AW27" s="562">
        <v>0</v>
      </c>
      <c r="AX27" s="562">
        <v>3735135</v>
      </c>
      <c r="AY27" s="562">
        <v>0</v>
      </c>
      <c r="AZ27" s="562">
        <v>646000</v>
      </c>
      <c r="BA27" s="562">
        <v>0</v>
      </c>
      <c r="BB27" s="562">
        <v>0</v>
      </c>
      <c r="BC27" s="562">
        <v>0</v>
      </c>
      <c r="BD27" s="562">
        <v>19465325</v>
      </c>
      <c r="BE27" s="562">
        <v>0</v>
      </c>
      <c r="BF27" s="562">
        <v>407141</v>
      </c>
      <c r="BG27" s="562">
        <v>0</v>
      </c>
      <c r="BH27" s="562">
        <v>0</v>
      </c>
      <c r="BI27" s="562">
        <v>66689</v>
      </c>
      <c r="BJ27" s="562">
        <v>0</v>
      </c>
      <c r="BK27" s="562">
        <v>1310484</v>
      </c>
      <c r="BM27" s="562">
        <v>3508884</v>
      </c>
      <c r="BN27" s="562">
        <v>2261242</v>
      </c>
      <c r="BO27" s="562">
        <v>2861191</v>
      </c>
      <c r="BP27" s="562">
        <v>0</v>
      </c>
      <c r="BQ27" s="562">
        <v>0</v>
      </c>
      <c r="BR27" s="562">
        <v>1483615</v>
      </c>
      <c r="BS27" s="562">
        <v>1500000</v>
      </c>
      <c r="BT27" s="562">
        <v>953515</v>
      </c>
      <c r="BU27" s="562">
        <v>1164174</v>
      </c>
      <c r="BV27" s="562">
        <v>0</v>
      </c>
      <c r="BW27" s="562">
        <v>1811325</v>
      </c>
      <c r="BX27" s="562">
        <v>0</v>
      </c>
      <c r="BY27" s="562">
        <v>0</v>
      </c>
      <c r="BZ27" s="562">
        <v>0</v>
      </c>
      <c r="CA27" s="562">
        <v>378000</v>
      </c>
      <c r="CB27" s="562">
        <v>993061</v>
      </c>
      <c r="CD27" s="562">
        <v>0</v>
      </c>
    </row>
    <row r="28" spans="1:99" s="562" customFormat="1" x14ac:dyDescent="0.3">
      <c r="A28" s="561">
        <v>83</v>
      </c>
      <c r="B28" s="562" t="s">
        <v>94</v>
      </c>
      <c r="E28" s="562">
        <v>0</v>
      </c>
      <c r="F28" s="562">
        <v>5626442</v>
      </c>
      <c r="G28" s="562">
        <v>0</v>
      </c>
      <c r="H28" s="562">
        <v>0</v>
      </c>
      <c r="I28" s="562">
        <v>0</v>
      </c>
      <c r="J28" s="562">
        <v>1920481</v>
      </c>
      <c r="K28" s="562">
        <v>0</v>
      </c>
      <c r="L28" s="562">
        <v>0</v>
      </c>
      <c r="M28" s="562">
        <v>0</v>
      </c>
      <c r="N28" s="562">
        <v>0</v>
      </c>
      <c r="O28" s="562">
        <v>15107141</v>
      </c>
      <c r="P28" s="562">
        <v>0</v>
      </c>
      <c r="Q28" s="562">
        <v>134991554</v>
      </c>
      <c r="R28" s="562">
        <v>1965734</v>
      </c>
      <c r="S28" s="562">
        <v>0</v>
      </c>
      <c r="T28" s="562">
        <v>152168062</v>
      </c>
      <c r="U28" s="562">
        <v>46567917</v>
      </c>
      <c r="V28" s="562">
        <v>64620872</v>
      </c>
      <c r="W28" s="562">
        <v>0</v>
      </c>
      <c r="Y28" s="562">
        <v>41493799</v>
      </c>
      <c r="Z28" s="562">
        <v>9773217</v>
      </c>
      <c r="AA28" s="562">
        <v>40682681</v>
      </c>
      <c r="AB28" s="562">
        <v>22304206</v>
      </c>
      <c r="AC28" s="562">
        <v>4374360</v>
      </c>
      <c r="AD28" s="562">
        <v>5967533</v>
      </c>
      <c r="AE28" s="562">
        <v>12709278</v>
      </c>
      <c r="AF28" s="562">
        <v>9730094</v>
      </c>
      <c r="AG28" s="562">
        <v>8201557</v>
      </c>
      <c r="AH28" s="562">
        <v>0</v>
      </c>
      <c r="AI28" s="562">
        <v>114108786</v>
      </c>
      <c r="AJ28" s="562">
        <v>1785680</v>
      </c>
      <c r="AM28" s="562">
        <v>24914010</v>
      </c>
      <c r="AN28" s="562">
        <v>719779</v>
      </c>
      <c r="AO28" s="562">
        <v>834328</v>
      </c>
      <c r="AP28" s="562">
        <v>0</v>
      </c>
      <c r="AQ28" s="562">
        <v>0</v>
      </c>
      <c r="AR28" s="562">
        <v>21943439</v>
      </c>
      <c r="AT28" s="562">
        <v>12135356</v>
      </c>
      <c r="AU28" s="562">
        <v>0</v>
      </c>
      <c r="AV28" s="562">
        <v>54496570</v>
      </c>
      <c r="AW28" s="562">
        <v>0</v>
      </c>
      <c r="AX28" s="562">
        <v>11292114</v>
      </c>
      <c r="AY28" s="562">
        <v>22637145</v>
      </c>
      <c r="AZ28" s="562">
        <v>5880138</v>
      </c>
      <c r="BA28" s="562">
        <v>1177840</v>
      </c>
      <c r="BB28" s="562">
        <v>0</v>
      </c>
      <c r="BC28" s="562">
        <v>553498</v>
      </c>
      <c r="BD28" s="562">
        <v>40754939</v>
      </c>
      <c r="BE28" s="562">
        <v>0</v>
      </c>
      <c r="BF28" s="562">
        <v>2594285</v>
      </c>
      <c r="BG28" s="562">
        <v>4191720</v>
      </c>
      <c r="BH28" s="562">
        <v>0</v>
      </c>
      <c r="BI28" s="562">
        <v>3043070</v>
      </c>
      <c r="BJ28" s="562">
        <v>0</v>
      </c>
      <c r="BK28" s="562">
        <v>15288804</v>
      </c>
      <c r="BM28" s="562">
        <v>9045197</v>
      </c>
      <c r="BN28" s="562">
        <v>1925036</v>
      </c>
      <c r="BO28" s="562">
        <v>2004631</v>
      </c>
      <c r="BP28" s="562">
        <v>1670239</v>
      </c>
      <c r="BQ28" s="562">
        <v>0</v>
      </c>
      <c r="BR28" s="562">
        <v>5222954</v>
      </c>
      <c r="BS28" s="562">
        <v>0</v>
      </c>
      <c r="BT28" s="562">
        <v>5890009</v>
      </c>
      <c r="BU28" s="562">
        <v>17355276</v>
      </c>
      <c r="BV28" s="562">
        <v>0</v>
      </c>
      <c r="BW28" s="562">
        <v>11273428</v>
      </c>
      <c r="BX28" s="562">
        <v>3298727</v>
      </c>
      <c r="BY28" s="562">
        <v>595862</v>
      </c>
      <c r="BZ28" s="562">
        <v>4054806</v>
      </c>
      <c r="CA28" s="562">
        <v>4054694</v>
      </c>
      <c r="CB28" s="562">
        <v>3980111</v>
      </c>
      <c r="CD28" s="562">
        <v>767808</v>
      </c>
    </row>
    <row r="29" spans="1:99" s="562" customFormat="1" x14ac:dyDescent="0.3">
      <c r="A29" s="561">
        <v>84</v>
      </c>
      <c r="B29" s="562" t="s">
        <v>218</v>
      </c>
      <c r="E29" s="562">
        <v>0</v>
      </c>
      <c r="F29" s="562">
        <v>607996</v>
      </c>
      <c r="G29" s="562">
        <v>0</v>
      </c>
      <c r="H29" s="562">
        <v>0</v>
      </c>
      <c r="I29" s="562">
        <v>0</v>
      </c>
      <c r="J29" s="562">
        <v>129212</v>
      </c>
      <c r="K29" s="562">
        <v>0</v>
      </c>
      <c r="L29" s="562">
        <v>0</v>
      </c>
      <c r="M29" s="562">
        <v>0</v>
      </c>
      <c r="N29" s="562">
        <v>0</v>
      </c>
      <c r="O29" s="562">
        <v>4074302</v>
      </c>
      <c r="P29" s="562">
        <v>0</v>
      </c>
      <c r="Q29" s="562">
        <v>22940169</v>
      </c>
      <c r="R29" s="562">
        <v>347544</v>
      </c>
      <c r="S29" s="562">
        <v>0</v>
      </c>
      <c r="T29" s="562">
        <v>27478209</v>
      </c>
      <c r="U29" s="562">
        <v>8500069</v>
      </c>
      <c r="V29" s="562">
        <v>11904346</v>
      </c>
      <c r="W29" s="562">
        <v>0</v>
      </c>
      <c r="Y29" s="562">
        <v>6456483</v>
      </c>
      <c r="Z29" s="562">
        <v>1301399</v>
      </c>
      <c r="AA29" s="562">
        <v>11740992</v>
      </c>
      <c r="AB29" s="562">
        <v>3857689</v>
      </c>
      <c r="AC29" s="562">
        <v>1366033</v>
      </c>
      <c r="AD29" s="562">
        <v>1838650</v>
      </c>
      <c r="AE29" s="562">
        <v>2090086</v>
      </c>
      <c r="AF29" s="562">
        <v>3812298</v>
      </c>
      <c r="AG29" s="562">
        <v>5052831</v>
      </c>
      <c r="AH29" s="562">
        <v>0</v>
      </c>
      <c r="AI29" s="562">
        <v>23806064</v>
      </c>
      <c r="AJ29" s="562">
        <v>348564</v>
      </c>
      <c r="AM29" s="562">
        <v>8892455</v>
      </c>
      <c r="AN29" s="562">
        <v>397645</v>
      </c>
      <c r="AO29" s="562">
        <v>790768</v>
      </c>
      <c r="AP29" s="562">
        <v>0</v>
      </c>
      <c r="AQ29" s="562">
        <v>0</v>
      </c>
      <c r="AR29" s="562">
        <v>3194397</v>
      </c>
      <c r="AT29" s="562">
        <v>2202188</v>
      </c>
      <c r="AU29" s="562">
        <v>0</v>
      </c>
      <c r="AV29" s="562">
        <v>17778677</v>
      </c>
      <c r="AW29" s="562">
        <v>0</v>
      </c>
      <c r="AX29" s="562">
        <v>1375743</v>
      </c>
      <c r="AY29" s="562">
        <v>3956897</v>
      </c>
      <c r="AZ29" s="562">
        <v>578899</v>
      </c>
      <c r="BA29" s="562">
        <v>481725</v>
      </c>
      <c r="BB29" s="562">
        <v>0</v>
      </c>
      <c r="BC29" s="562">
        <v>116523</v>
      </c>
      <c r="BD29" s="562">
        <v>7390447</v>
      </c>
      <c r="BE29" s="562">
        <v>0</v>
      </c>
      <c r="BF29" s="562">
        <v>240968</v>
      </c>
      <c r="BG29" s="562">
        <v>97738</v>
      </c>
      <c r="BH29" s="562">
        <v>0</v>
      </c>
      <c r="BI29" s="562">
        <v>165910</v>
      </c>
      <c r="BJ29" s="562">
        <v>0</v>
      </c>
      <c r="BK29" s="562">
        <v>2663394</v>
      </c>
      <c r="BM29" s="562">
        <v>1105632</v>
      </c>
      <c r="BN29" s="562">
        <v>850818</v>
      </c>
      <c r="BO29" s="562">
        <v>1040045</v>
      </c>
      <c r="BP29" s="562">
        <v>478940</v>
      </c>
      <c r="BQ29" s="562">
        <v>0</v>
      </c>
      <c r="BR29" s="562">
        <v>751541</v>
      </c>
      <c r="BS29" s="562">
        <v>0</v>
      </c>
      <c r="BT29" s="562">
        <v>554746</v>
      </c>
      <c r="BU29" s="562">
        <v>5815317</v>
      </c>
      <c r="BV29" s="562">
        <v>0</v>
      </c>
      <c r="BW29" s="562">
        <v>1951410</v>
      </c>
      <c r="BX29" s="562">
        <v>405329</v>
      </c>
      <c r="BY29" s="562">
        <v>13958</v>
      </c>
      <c r="BZ29" s="562">
        <v>286819</v>
      </c>
      <c r="CA29" s="562">
        <v>212421</v>
      </c>
      <c r="CB29" s="562">
        <v>817663</v>
      </c>
      <c r="CD29" s="562">
        <v>31520</v>
      </c>
    </row>
    <row r="30" spans="1:99" s="562" customFormat="1" ht="13.95" customHeight="1" x14ac:dyDescent="0.3">
      <c r="A30" s="561">
        <v>85</v>
      </c>
      <c r="B30" s="562" t="s">
        <v>220</v>
      </c>
      <c r="E30" s="562">
        <v>0</v>
      </c>
      <c r="F30" s="562">
        <v>773176</v>
      </c>
      <c r="G30" s="562">
        <v>0</v>
      </c>
      <c r="H30" s="562">
        <v>0</v>
      </c>
      <c r="I30" s="562">
        <v>0</v>
      </c>
      <c r="J30" s="562">
        <v>188901</v>
      </c>
      <c r="K30" s="562">
        <v>0</v>
      </c>
      <c r="L30" s="562">
        <v>0</v>
      </c>
      <c r="M30" s="562">
        <v>0</v>
      </c>
      <c r="N30" s="562">
        <v>0</v>
      </c>
      <c r="O30" s="562">
        <v>3042544</v>
      </c>
      <c r="P30" s="562">
        <v>0</v>
      </c>
      <c r="Q30" s="562">
        <v>9088448</v>
      </c>
      <c r="R30" s="562">
        <v>325873</v>
      </c>
      <c r="S30" s="562">
        <v>0</v>
      </c>
      <c r="T30" s="562">
        <v>19605201</v>
      </c>
      <c r="U30" s="562">
        <v>7916563</v>
      </c>
      <c r="V30" s="562">
        <v>9280756</v>
      </c>
      <c r="W30" s="562">
        <v>0</v>
      </c>
      <c r="Y30" s="562">
        <v>5809960</v>
      </c>
      <c r="Z30" s="562">
        <v>1401827</v>
      </c>
      <c r="AA30" s="562">
        <v>7752116</v>
      </c>
      <c r="AB30" s="562">
        <v>2890355</v>
      </c>
      <c r="AC30" s="562">
        <v>1124978</v>
      </c>
      <c r="AD30" s="562">
        <v>1322628</v>
      </c>
      <c r="AE30" s="562">
        <v>2715613</v>
      </c>
      <c r="AF30" s="562">
        <v>3400083</v>
      </c>
      <c r="AG30" s="562">
        <v>3566506</v>
      </c>
      <c r="AH30" s="562">
        <v>0</v>
      </c>
      <c r="AI30" s="562">
        <v>19625901</v>
      </c>
      <c r="AJ30" s="562">
        <v>359810</v>
      </c>
      <c r="AM30" s="562">
        <v>8027814</v>
      </c>
      <c r="AN30" s="562">
        <v>459388</v>
      </c>
      <c r="AO30" s="562">
        <v>772568</v>
      </c>
      <c r="AP30" s="562">
        <v>0</v>
      </c>
      <c r="AQ30" s="562">
        <v>0</v>
      </c>
      <c r="AR30" s="562">
        <v>2818464</v>
      </c>
      <c r="AT30" s="562">
        <v>1773984</v>
      </c>
      <c r="AU30" s="562">
        <v>0</v>
      </c>
      <c r="AV30" s="562">
        <v>14303447</v>
      </c>
      <c r="AW30" s="562">
        <v>0</v>
      </c>
      <c r="AX30" s="562">
        <v>1319557</v>
      </c>
      <c r="AY30" s="562">
        <v>3135450</v>
      </c>
      <c r="AZ30" s="562">
        <v>621914</v>
      </c>
      <c r="BA30" s="562">
        <v>499680</v>
      </c>
      <c r="BB30" s="562">
        <v>0</v>
      </c>
      <c r="BC30" s="562">
        <v>147610</v>
      </c>
      <c r="BD30" s="562">
        <v>3595673</v>
      </c>
      <c r="BE30" s="562">
        <v>0</v>
      </c>
      <c r="BF30" s="562">
        <v>311024</v>
      </c>
      <c r="BG30" s="562">
        <v>150438</v>
      </c>
      <c r="BH30" s="562">
        <v>0</v>
      </c>
      <c r="BI30" s="562">
        <v>210324</v>
      </c>
      <c r="BJ30" s="562">
        <v>0</v>
      </c>
      <c r="BK30" s="562">
        <v>2930958</v>
      </c>
      <c r="BM30" s="562">
        <v>1587630</v>
      </c>
      <c r="BN30" s="562">
        <v>713698</v>
      </c>
      <c r="BO30" s="562">
        <v>871359</v>
      </c>
      <c r="BP30" s="562">
        <v>381197</v>
      </c>
      <c r="BQ30" s="562">
        <v>0</v>
      </c>
      <c r="BR30" s="562">
        <v>683012</v>
      </c>
      <c r="BS30" s="562">
        <v>0</v>
      </c>
      <c r="BT30" s="562">
        <v>756665</v>
      </c>
      <c r="BU30" s="562">
        <v>3970040</v>
      </c>
      <c r="BV30" s="562">
        <v>0</v>
      </c>
      <c r="BW30" s="562">
        <v>2226207</v>
      </c>
      <c r="BX30" s="562">
        <v>365945</v>
      </c>
      <c r="BY30" s="562">
        <v>32066</v>
      </c>
      <c r="BZ30" s="562">
        <v>371934</v>
      </c>
      <c r="CA30" s="562">
        <v>333950</v>
      </c>
      <c r="CB30" s="562">
        <v>689099</v>
      </c>
      <c r="CD30" s="562">
        <v>53386</v>
      </c>
    </row>
    <row r="31" spans="1:99" x14ac:dyDescent="0.3">
      <c r="A31" s="155">
        <v>88</v>
      </c>
      <c r="B31" s="180" t="s">
        <v>217</v>
      </c>
      <c r="C31" s="180"/>
      <c r="D31" s="180"/>
      <c r="E31" s="180">
        <v>0</v>
      </c>
      <c r="F31" s="180">
        <v>499022</v>
      </c>
      <c r="G31" s="180">
        <v>0</v>
      </c>
      <c r="H31" s="180">
        <v>0</v>
      </c>
      <c r="I31" s="180">
        <v>0</v>
      </c>
      <c r="J31" s="180">
        <v>129162</v>
      </c>
      <c r="K31" s="180">
        <v>0</v>
      </c>
      <c r="L31" s="180">
        <v>0</v>
      </c>
      <c r="M31" s="180">
        <v>0</v>
      </c>
      <c r="N31" s="180">
        <v>0</v>
      </c>
      <c r="O31" s="180">
        <v>4052082</v>
      </c>
      <c r="P31" s="180">
        <v>0</v>
      </c>
      <c r="Q31" s="180">
        <v>18740030</v>
      </c>
      <c r="R31" s="180">
        <v>298891</v>
      </c>
      <c r="S31" s="180">
        <v>0</v>
      </c>
      <c r="T31" s="180">
        <v>26824525</v>
      </c>
      <c r="U31" s="180">
        <v>8102439</v>
      </c>
      <c r="V31" s="180">
        <v>11904346</v>
      </c>
      <c r="W31" s="180">
        <v>0</v>
      </c>
      <c r="X31" s="180"/>
      <c r="Y31" s="180">
        <v>6436424</v>
      </c>
      <c r="Z31" s="180">
        <v>1219940</v>
      </c>
      <c r="AA31" s="180">
        <v>9986344</v>
      </c>
      <c r="AB31" s="180">
        <v>3835120</v>
      </c>
      <c r="AC31" s="180">
        <v>1235749</v>
      </c>
      <c r="AD31" s="180">
        <v>1771052</v>
      </c>
      <c r="AE31" s="180">
        <v>1957448</v>
      </c>
      <c r="AF31" s="180">
        <v>3760396</v>
      </c>
      <c r="AG31" s="180">
        <v>4837801</v>
      </c>
      <c r="AH31" s="180">
        <v>0</v>
      </c>
      <c r="AI31" s="180">
        <v>22431425</v>
      </c>
      <c r="AJ31" s="180">
        <v>341884</v>
      </c>
      <c r="AK31" s="180"/>
      <c r="AL31" s="180"/>
      <c r="AM31" s="180">
        <v>8194822</v>
      </c>
      <c r="AN31" s="180">
        <v>397645</v>
      </c>
      <c r="AO31" s="180">
        <v>763291</v>
      </c>
      <c r="AP31" s="180">
        <v>0</v>
      </c>
      <c r="AQ31" s="180">
        <v>0</v>
      </c>
      <c r="AR31" s="180">
        <v>3105147</v>
      </c>
      <c r="AS31" s="180"/>
      <c r="AT31" s="180">
        <v>1989166</v>
      </c>
      <c r="AU31" s="180">
        <v>0</v>
      </c>
      <c r="AV31" s="180">
        <v>17051918</v>
      </c>
      <c r="AW31" s="180">
        <v>0</v>
      </c>
      <c r="AX31" s="180">
        <v>1249148</v>
      </c>
      <c r="AY31" s="180">
        <v>3461752</v>
      </c>
      <c r="AZ31" s="180">
        <v>422787</v>
      </c>
      <c r="BA31" s="180">
        <v>324896</v>
      </c>
      <c r="BB31" s="180">
        <v>0</v>
      </c>
      <c r="BC31" s="180">
        <v>113030</v>
      </c>
      <c r="BD31" s="180">
        <v>6199662</v>
      </c>
      <c r="BE31" s="180">
        <v>0</v>
      </c>
      <c r="BF31" s="180">
        <v>220516</v>
      </c>
      <c r="BG31" s="180">
        <v>97714</v>
      </c>
      <c r="BH31" s="180">
        <v>0</v>
      </c>
      <c r="BI31" s="180">
        <v>165910</v>
      </c>
      <c r="BJ31" s="180">
        <v>0</v>
      </c>
      <c r="BK31" s="180">
        <v>2663394</v>
      </c>
      <c r="BL31" s="180"/>
      <c r="BM31" s="180">
        <v>1019258</v>
      </c>
      <c r="BN31" s="180">
        <v>849733</v>
      </c>
      <c r="BO31" s="180">
        <v>1039780</v>
      </c>
      <c r="BP31" s="180">
        <v>478940</v>
      </c>
      <c r="BQ31" s="180">
        <v>0</v>
      </c>
      <c r="BR31" s="180">
        <v>750356</v>
      </c>
      <c r="BS31" s="180">
        <v>0</v>
      </c>
      <c r="BT31" s="180">
        <v>536928</v>
      </c>
      <c r="BU31" s="180">
        <v>4901011</v>
      </c>
      <c r="BV31" s="180">
        <v>0</v>
      </c>
      <c r="BW31" s="180">
        <v>1951410</v>
      </c>
      <c r="BX31" s="180">
        <v>397086</v>
      </c>
      <c r="BY31" s="180">
        <v>13958</v>
      </c>
      <c r="BZ31" s="180">
        <v>281919</v>
      </c>
      <c r="CA31" s="180">
        <v>203126</v>
      </c>
      <c r="CB31" s="180">
        <v>675900</v>
      </c>
      <c r="CC31" s="180"/>
      <c r="CD31" s="180">
        <v>31520</v>
      </c>
      <c r="CE31" s="180"/>
      <c r="CF31" s="180"/>
      <c r="CG31" s="180"/>
      <c r="CH31" s="180"/>
      <c r="CI31" s="180"/>
      <c r="CJ31" s="180"/>
      <c r="CK31" s="180"/>
      <c r="CL31" s="180"/>
      <c r="CM31" s="180"/>
      <c r="CN31" s="180"/>
      <c r="CO31" s="180"/>
      <c r="CP31" s="180"/>
      <c r="CQ31" s="180"/>
      <c r="CR31" s="180"/>
      <c r="CS31" s="180"/>
      <c r="CT31" s="180"/>
      <c r="CU31" s="180"/>
    </row>
    <row r="32" spans="1:99" x14ac:dyDescent="0.3">
      <c r="A32" s="155">
        <v>89</v>
      </c>
      <c r="B32" s="180" t="s">
        <v>221</v>
      </c>
      <c r="C32" s="180"/>
      <c r="D32" s="180"/>
      <c r="E32" s="180">
        <v>0</v>
      </c>
      <c r="F32" s="180">
        <v>7734</v>
      </c>
      <c r="G32" s="180">
        <v>0</v>
      </c>
      <c r="H32" s="180">
        <v>0</v>
      </c>
      <c r="I32" s="180">
        <v>0</v>
      </c>
      <c r="J32" s="180">
        <v>7123</v>
      </c>
      <c r="K32" s="180">
        <v>0</v>
      </c>
      <c r="L32" s="180">
        <v>0</v>
      </c>
      <c r="M32" s="180">
        <v>0</v>
      </c>
      <c r="N32" s="180">
        <v>0</v>
      </c>
      <c r="O32" s="180">
        <v>52761</v>
      </c>
      <c r="P32" s="180">
        <v>0</v>
      </c>
      <c r="Q32" s="180">
        <v>690654</v>
      </c>
      <c r="R32" s="180">
        <v>4983</v>
      </c>
      <c r="S32" s="180">
        <v>0</v>
      </c>
      <c r="T32" s="180">
        <v>1236528</v>
      </c>
      <c r="U32" s="180">
        <v>305200</v>
      </c>
      <c r="V32" s="180">
        <v>299588</v>
      </c>
      <c r="W32" s="180">
        <v>0</v>
      </c>
      <c r="X32" s="180"/>
      <c r="Y32" s="180">
        <v>180711</v>
      </c>
      <c r="Z32" s="180">
        <v>36673</v>
      </c>
      <c r="AA32" s="180">
        <v>63412</v>
      </c>
      <c r="AB32" s="180">
        <v>281383</v>
      </c>
      <c r="AC32" s="180">
        <v>11115</v>
      </c>
      <c r="AD32" s="180">
        <v>32149</v>
      </c>
      <c r="AE32" s="180">
        <v>0</v>
      </c>
      <c r="AF32" s="180">
        <v>1219</v>
      </c>
      <c r="AG32" s="180">
        <v>1781</v>
      </c>
      <c r="AH32" s="180">
        <v>0</v>
      </c>
      <c r="AI32" s="180">
        <v>471342</v>
      </c>
      <c r="AJ32" s="180">
        <v>0</v>
      </c>
      <c r="AK32" s="180"/>
      <c r="AL32" s="180"/>
      <c r="AM32" s="180">
        <v>191236</v>
      </c>
      <c r="AN32" s="180">
        <v>13513</v>
      </c>
      <c r="AO32" s="180">
        <v>39291</v>
      </c>
      <c r="AP32" s="180">
        <v>0</v>
      </c>
      <c r="AQ32" s="180">
        <v>0</v>
      </c>
      <c r="AR32" s="180">
        <v>9204</v>
      </c>
      <c r="AS32" s="180"/>
      <c r="AT32" s="180">
        <v>37700</v>
      </c>
      <c r="AU32" s="180">
        <v>0</v>
      </c>
      <c r="AV32" s="180">
        <v>3101128</v>
      </c>
      <c r="AW32" s="180">
        <v>0</v>
      </c>
      <c r="AX32" s="180">
        <v>0</v>
      </c>
      <c r="AY32" s="180">
        <v>0</v>
      </c>
      <c r="AZ32" s="180">
        <v>30495</v>
      </c>
      <c r="BA32" s="180">
        <v>0</v>
      </c>
      <c r="BB32" s="180">
        <v>0</v>
      </c>
      <c r="BC32" s="180">
        <v>0</v>
      </c>
      <c r="BD32" s="180">
        <v>54706</v>
      </c>
      <c r="BE32" s="180">
        <v>0</v>
      </c>
      <c r="BF32" s="180">
        <v>0</v>
      </c>
      <c r="BG32" s="180">
        <v>0</v>
      </c>
      <c r="BH32" s="180">
        <v>0</v>
      </c>
      <c r="BI32" s="180">
        <v>0</v>
      </c>
      <c r="BJ32" s="180">
        <v>0</v>
      </c>
      <c r="BK32" s="180">
        <v>57762</v>
      </c>
      <c r="BL32" s="180"/>
      <c r="BM32" s="180">
        <v>60774</v>
      </c>
      <c r="BN32" s="180">
        <v>96043</v>
      </c>
      <c r="BO32" s="180">
        <v>99936</v>
      </c>
      <c r="BP32" s="180">
        <v>0</v>
      </c>
      <c r="BQ32" s="180">
        <v>0</v>
      </c>
      <c r="BR32" s="180">
        <v>29728</v>
      </c>
      <c r="BS32" s="180">
        <v>0</v>
      </c>
      <c r="BT32" s="180">
        <v>26262</v>
      </c>
      <c r="BU32" s="180">
        <v>16263</v>
      </c>
      <c r="BV32" s="180">
        <v>0</v>
      </c>
      <c r="BW32" s="180">
        <v>11843</v>
      </c>
      <c r="BX32" s="180">
        <v>0</v>
      </c>
      <c r="BY32" s="180">
        <v>0</v>
      </c>
      <c r="BZ32" s="180">
        <v>26957</v>
      </c>
      <c r="CA32" s="180">
        <v>9168</v>
      </c>
      <c r="CB32" s="180">
        <v>59124</v>
      </c>
      <c r="CC32" s="180"/>
      <c r="CD32" s="180">
        <v>0</v>
      </c>
      <c r="CE32" s="180"/>
      <c r="CF32" s="180"/>
      <c r="CG32" s="180"/>
      <c r="CH32" s="180"/>
      <c r="CI32" s="180"/>
      <c r="CJ32" s="180"/>
      <c r="CK32" s="180"/>
      <c r="CL32" s="180"/>
      <c r="CM32" s="180"/>
      <c r="CN32" s="180"/>
      <c r="CO32" s="180"/>
      <c r="CP32" s="180"/>
      <c r="CQ32" s="180"/>
      <c r="CR32" s="180"/>
      <c r="CS32" s="180"/>
      <c r="CT32" s="180"/>
      <c r="CU32" s="180"/>
    </row>
    <row r="33" spans="1:99" x14ac:dyDescent="0.3">
      <c r="A33" s="155">
        <v>90</v>
      </c>
      <c r="B33" s="180" t="s">
        <v>214</v>
      </c>
      <c r="C33" s="180"/>
      <c r="D33" s="180"/>
      <c r="E33" s="180">
        <v>0</v>
      </c>
      <c r="F33" s="180">
        <v>0</v>
      </c>
      <c r="G33" s="180">
        <v>0</v>
      </c>
      <c r="H33" s="180">
        <v>0</v>
      </c>
      <c r="I33" s="180">
        <v>0</v>
      </c>
      <c r="J33" s="180">
        <v>0</v>
      </c>
      <c r="K33" s="180">
        <v>0</v>
      </c>
      <c r="L33" s="180">
        <v>0</v>
      </c>
      <c r="M33" s="180">
        <v>0</v>
      </c>
      <c r="N33" s="180">
        <v>0</v>
      </c>
      <c r="O33" s="180">
        <v>0</v>
      </c>
      <c r="P33" s="180">
        <v>0</v>
      </c>
      <c r="Q33" s="180">
        <v>85518669</v>
      </c>
      <c r="R33" s="180">
        <v>0</v>
      </c>
      <c r="S33" s="180">
        <v>0</v>
      </c>
      <c r="T33" s="180">
        <v>0</v>
      </c>
      <c r="U33" s="180">
        <v>0</v>
      </c>
      <c r="V33" s="180">
        <v>19503061</v>
      </c>
      <c r="W33" s="180">
        <v>0</v>
      </c>
      <c r="X33" s="180"/>
      <c r="Y33" s="180">
        <v>0</v>
      </c>
      <c r="Z33" s="180">
        <v>0</v>
      </c>
      <c r="AA33" s="180">
        <v>0</v>
      </c>
      <c r="AB33" s="180">
        <v>0</v>
      </c>
      <c r="AC33" s="180">
        <v>0</v>
      </c>
      <c r="AD33" s="180">
        <v>0</v>
      </c>
      <c r="AE33" s="180">
        <v>0</v>
      </c>
      <c r="AF33" s="180">
        <v>0</v>
      </c>
      <c r="AG33" s="180">
        <v>0</v>
      </c>
      <c r="AH33" s="180">
        <v>0</v>
      </c>
      <c r="AI33" s="180">
        <v>15944733</v>
      </c>
      <c r="AJ33" s="180">
        <v>0</v>
      </c>
      <c r="AK33" s="180"/>
      <c r="AL33" s="180"/>
      <c r="AM33" s="180">
        <v>10994549</v>
      </c>
      <c r="AN33" s="180">
        <v>0</v>
      </c>
      <c r="AO33" s="180">
        <v>0</v>
      </c>
      <c r="AP33" s="180">
        <v>0</v>
      </c>
      <c r="AQ33" s="180">
        <v>0</v>
      </c>
      <c r="AR33" s="180">
        <v>0</v>
      </c>
      <c r="AS33" s="180"/>
      <c r="AT33" s="180">
        <v>0</v>
      </c>
      <c r="AU33" s="180">
        <v>695714</v>
      </c>
      <c r="AV33" s="180">
        <v>0</v>
      </c>
      <c r="AW33" s="180">
        <v>0</v>
      </c>
      <c r="AX33" s="180">
        <v>0</v>
      </c>
      <c r="AY33" s="180">
        <v>0</v>
      </c>
      <c r="AZ33" s="180">
        <v>0</v>
      </c>
      <c r="BA33" s="180">
        <v>0</v>
      </c>
      <c r="BB33" s="180">
        <v>0</v>
      </c>
      <c r="BC33" s="180">
        <v>0</v>
      </c>
      <c r="BD33" s="180">
        <v>0</v>
      </c>
      <c r="BE33" s="180">
        <v>0</v>
      </c>
      <c r="BF33" s="180">
        <v>0</v>
      </c>
      <c r="BG33" s="180">
        <v>0</v>
      </c>
      <c r="BH33" s="180">
        <v>0</v>
      </c>
      <c r="BI33" s="180">
        <v>0</v>
      </c>
      <c r="BJ33" s="180">
        <v>0</v>
      </c>
      <c r="BK33" s="180">
        <v>0</v>
      </c>
      <c r="BL33" s="180"/>
      <c r="BM33" s="180">
        <v>0</v>
      </c>
      <c r="BN33" s="180">
        <v>0</v>
      </c>
      <c r="BO33" s="180">
        <v>0</v>
      </c>
      <c r="BP33" s="180">
        <v>0</v>
      </c>
      <c r="BQ33" s="180">
        <v>0</v>
      </c>
      <c r="BR33" s="180">
        <v>1760340</v>
      </c>
      <c r="BS33" s="180">
        <v>4136723</v>
      </c>
      <c r="BT33" s="180">
        <v>0</v>
      </c>
      <c r="BU33" s="180">
        <v>0</v>
      </c>
      <c r="BV33" s="180">
        <v>0</v>
      </c>
      <c r="BW33" s="180">
        <v>0</v>
      </c>
      <c r="BX33" s="180">
        <v>0</v>
      </c>
      <c r="BY33" s="180">
        <v>0</v>
      </c>
      <c r="BZ33" s="180">
        <v>0</v>
      </c>
      <c r="CA33" s="180">
        <v>0</v>
      </c>
      <c r="CB33" s="180">
        <v>0</v>
      </c>
      <c r="CC33" s="180"/>
      <c r="CD33" s="180">
        <v>0</v>
      </c>
      <c r="CE33" s="180"/>
      <c r="CF33" s="180"/>
      <c r="CG33" s="180"/>
      <c r="CH33" s="180"/>
      <c r="CI33" s="180"/>
      <c r="CJ33" s="180"/>
      <c r="CK33" s="180"/>
      <c r="CL33" s="180"/>
      <c r="CM33" s="180"/>
      <c r="CN33" s="180"/>
      <c r="CO33" s="180"/>
      <c r="CP33" s="180"/>
      <c r="CQ33" s="180"/>
      <c r="CR33" s="180"/>
      <c r="CS33" s="180"/>
      <c r="CT33" s="180"/>
      <c r="CU33" s="180"/>
    </row>
    <row r="34" spans="1:99" x14ac:dyDescent="0.3">
      <c r="A34" s="155">
        <v>91</v>
      </c>
      <c r="B34" s="180" t="s">
        <v>215</v>
      </c>
      <c r="C34" s="180"/>
      <c r="D34" s="180"/>
      <c r="E34" s="180">
        <v>0</v>
      </c>
      <c r="F34" s="180">
        <v>0</v>
      </c>
      <c r="G34" s="180">
        <v>0</v>
      </c>
      <c r="H34" s="180">
        <v>0</v>
      </c>
      <c r="I34" s="180">
        <v>0</v>
      </c>
      <c r="J34" s="180">
        <v>0</v>
      </c>
      <c r="K34" s="180">
        <v>0</v>
      </c>
      <c r="L34" s="180">
        <v>0</v>
      </c>
      <c r="M34" s="180">
        <v>0</v>
      </c>
      <c r="N34" s="180">
        <v>0</v>
      </c>
      <c r="O34" s="180">
        <v>0</v>
      </c>
      <c r="P34" s="180">
        <v>0</v>
      </c>
      <c r="Q34" s="180">
        <v>8079939</v>
      </c>
      <c r="R34" s="180">
        <v>0</v>
      </c>
      <c r="S34" s="180">
        <v>0</v>
      </c>
      <c r="T34" s="180">
        <v>0</v>
      </c>
      <c r="U34" s="180">
        <v>0</v>
      </c>
      <c r="V34" s="180">
        <v>3552382</v>
      </c>
      <c r="W34" s="180">
        <v>0</v>
      </c>
      <c r="X34" s="180"/>
      <c r="Y34" s="180">
        <v>0</v>
      </c>
      <c r="Z34" s="180">
        <v>0</v>
      </c>
      <c r="AA34" s="180">
        <v>0</v>
      </c>
      <c r="AB34" s="180">
        <v>0</v>
      </c>
      <c r="AC34" s="180">
        <v>0</v>
      </c>
      <c r="AD34" s="180">
        <v>0</v>
      </c>
      <c r="AE34" s="180">
        <v>0</v>
      </c>
      <c r="AF34" s="180">
        <v>0</v>
      </c>
      <c r="AG34" s="180">
        <v>0</v>
      </c>
      <c r="AH34" s="180">
        <v>0</v>
      </c>
      <c r="AI34" s="180">
        <v>7819274</v>
      </c>
      <c r="AJ34" s="180">
        <v>0</v>
      </c>
      <c r="AK34" s="180"/>
      <c r="AL34" s="180"/>
      <c r="AM34" s="180">
        <v>1962006</v>
      </c>
      <c r="AN34" s="180">
        <v>0</v>
      </c>
      <c r="AO34" s="180">
        <v>0</v>
      </c>
      <c r="AP34" s="180">
        <v>0</v>
      </c>
      <c r="AQ34" s="180">
        <v>0</v>
      </c>
      <c r="AR34" s="180">
        <v>0</v>
      </c>
      <c r="AS34" s="180"/>
      <c r="AT34" s="180">
        <v>0</v>
      </c>
      <c r="AU34" s="180">
        <v>55923</v>
      </c>
      <c r="AV34" s="180">
        <v>0</v>
      </c>
      <c r="AW34" s="180">
        <v>0</v>
      </c>
      <c r="AX34" s="180">
        <v>0</v>
      </c>
      <c r="AY34" s="180">
        <v>0</v>
      </c>
      <c r="AZ34" s="180">
        <v>0</v>
      </c>
      <c r="BA34" s="180">
        <v>0</v>
      </c>
      <c r="BB34" s="180">
        <v>0</v>
      </c>
      <c r="BC34" s="180">
        <v>0</v>
      </c>
      <c r="BD34" s="180">
        <v>0</v>
      </c>
      <c r="BE34" s="180">
        <v>0</v>
      </c>
      <c r="BF34" s="180">
        <v>0</v>
      </c>
      <c r="BG34" s="180">
        <v>0</v>
      </c>
      <c r="BH34" s="180">
        <v>0</v>
      </c>
      <c r="BI34" s="180">
        <v>0</v>
      </c>
      <c r="BJ34" s="180">
        <v>0</v>
      </c>
      <c r="BK34" s="180">
        <v>0</v>
      </c>
      <c r="BL34" s="180"/>
      <c r="BM34" s="180">
        <v>0</v>
      </c>
      <c r="BN34" s="180">
        <v>0</v>
      </c>
      <c r="BO34" s="180">
        <v>0</v>
      </c>
      <c r="BP34" s="180">
        <v>0</v>
      </c>
      <c r="BQ34" s="180">
        <v>0</v>
      </c>
      <c r="BR34" s="180">
        <v>327575</v>
      </c>
      <c r="BS34" s="180">
        <v>1818935</v>
      </c>
      <c r="BT34" s="180">
        <v>0</v>
      </c>
      <c r="BU34" s="180">
        <v>0</v>
      </c>
      <c r="BV34" s="180">
        <v>0</v>
      </c>
      <c r="BW34" s="180">
        <v>0</v>
      </c>
      <c r="BX34" s="180">
        <v>0</v>
      </c>
      <c r="BY34" s="180">
        <v>0</v>
      </c>
      <c r="BZ34" s="180">
        <v>0</v>
      </c>
      <c r="CA34" s="180">
        <v>0</v>
      </c>
      <c r="CB34" s="180">
        <v>0</v>
      </c>
      <c r="CC34" s="180"/>
      <c r="CD34" s="180">
        <v>0</v>
      </c>
      <c r="CE34" s="180"/>
      <c r="CF34" s="180"/>
      <c r="CG34" s="180"/>
      <c r="CH34" s="180"/>
      <c r="CI34" s="180"/>
      <c r="CJ34" s="180"/>
      <c r="CK34" s="180"/>
      <c r="CL34" s="180"/>
      <c r="CM34" s="180"/>
      <c r="CN34" s="180"/>
      <c r="CO34" s="180"/>
      <c r="CP34" s="180"/>
      <c r="CQ34" s="180"/>
      <c r="CR34" s="180"/>
      <c r="CS34" s="180"/>
      <c r="CT34" s="180"/>
      <c r="CU34" s="180"/>
    </row>
    <row r="35" spans="1:99" x14ac:dyDescent="0.3">
      <c r="A35" s="155">
        <v>93</v>
      </c>
      <c r="B35" s="180" t="s">
        <v>228</v>
      </c>
      <c r="C35" s="180"/>
      <c r="D35" s="180"/>
      <c r="E35" s="180">
        <v>0</v>
      </c>
      <c r="F35" s="180">
        <v>0</v>
      </c>
      <c r="G35" s="180">
        <v>0</v>
      </c>
      <c r="H35" s="180">
        <v>0</v>
      </c>
      <c r="I35" s="180">
        <v>0</v>
      </c>
      <c r="J35" s="180">
        <v>0</v>
      </c>
      <c r="K35" s="180">
        <v>0</v>
      </c>
      <c r="L35" s="180">
        <v>0</v>
      </c>
      <c r="M35" s="180">
        <v>0</v>
      </c>
      <c r="N35" s="180">
        <v>0</v>
      </c>
      <c r="O35" s="180">
        <v>0</v>
      </c>
      <c r="P35" s="180">
        <v>0</v>
      </c>
      <c r="Q35" s="180">
        <v>60908986</v>
      </c>
      <c r="R35" s="180">
        <v>0</v>
      </c>
      <c r="S35" s="180">
        <v>0</v>
      </c>
      <c r="T35" s="180">
        <v>0</v>
      </c>
      <c r="U35" s="180">
        <v>0</v>
      </c>
      <c r="V35" s="180">
        <v>29847931</v>
      </c>
      <c r="W35" s="180">
        <v>0</v>
      </c>
      <c r="X35" s="180"/>
      <c r="Y35" s="180">
        <v>0</v>
      </c>
      <c r="Z35" s="180">
        <v>0</v>
      </c>
      <c r="AA35" s="180">
        <v>0</v>
      </c>
      <c r="AB35" s="180">
        <v>0</v>
      </c>
      <c r="AC35" s="180">
        <v>0</v>
      </c>
      <c r="AD35" s="180">
        <v>0</v>
      </c>
      <c r="AE35" s="180">
        <v>0</v>
      </c>
      <c r="AF35" s="180">
        <v>0</v>
      </c>
      <c r="AG35" s="180">
        <v>0</v>
      </c>
      <c r="AH35" s="180">
        <v>0</v>
      </c>
      <c r="AI35" s="180">
        <v>52824907</v>
      </c>
      <c r="AJ35" s="180">
        <v>0</v>
      </c>
      <c r="AK35" s="180"/>
      <c r="AL35" s="180"/>
      <c r="AM35" s="180">
        <v>16379996</v>
      </c>
      <c r="AN35" s="180">
        <v>0</v>
      </c>
      <c r="AO35" s="180">
        <v>0</v>
      </c>
      <c r="AP35" s="180">
        <v>0</v>
      </c>
      <c r="AQ35" s="180">
        <v>0</v>
      </c>
      <c r="AR35" s="180">
        <v>0</v>
      </c>
      <c r="AS35" s="180"/>
      <c r="AT35" s="180">
        <v>0</v>
      </c>
      <c r="AU35" s="180">
        <v>425831</v>
      </c>
      <c r="AV35" s="180">
        <v>0</v>
      </c>
      <c r="AW35" s="180">
        <v>0</v>
      </c>
      <c r="AX35" s="180">
        <v>0</v>
      </c>
      <c r="AY35" s="180">
        <v>0</v>
      </c>
      <c r="AZ35" s="180">
        <v>0</v>
      </c>
      <c r="BA35" s="180">
        <v>0</v>
      </c>
      <c r="BB35" s="180">
        <v>0</v>
      </c>
      <c r="BC35" s="180">
        <v>0</v>
      </c>
      <c r="BD35" s="180">
        <v>0</v>
      </c>
      <c r="BE35" s="180">
        <v>0</v>
      </c>
      <c r="BF35" s="180">
        <v>0</v>
      </c>
      <c r="BG35" s="180">
        <v>0</v>
      </c>
      <c r="BH35" s="180">
        <v>0</v>
      </c>
      <c r="BI35" s="180">
        <v>0</v>
      </c>
      <c r="BJ35" s="180">
        <v>0</v>
      </c>
      <c r="BK35" s="180">
        <v>0</v>
      </c>
      <c r="BL35" s="180"/>
      <c r="BM35" s="180">
        <v>0</v>
      </c>
      <c r="BN35" s="180">
        <v>0</v>
      </c>
      <c r="BO35" s="180">
        <v>0</v>
      </c>
      <c r="BP35" s="180">
        <v>0</v>
      </c>
      <c r="BQ35" s="180">
        <v>0</v>
      </c>
      <c r="BR35" s="180">
        <v>2820906</v>
      </c>
      <c r="BS35" s="180">
        <v>12245961</v>
      </c>
      <c r="BT35" s="180">
        <v>0</v>
      </c>
      <c r="BU35" s="180">
        <v>0</v>
      </c>
      <c r="BV35" s="180">
        <v>0</v>
      </c>
      <c r="BW35" s="180">
        <v>0</v>
      </c>
      <c r="BX35" s="180">
        <v>0</v>
      </c>
      <c r="BY35" s="180">
        <v>0</v>
      </c>
      <c r="BZ35" s="180">
        <v>0</v>
      </c>
      <c r="CA35" s="180">
        <v>0</v>
      </c>
      <c r="CB35" s="180">
        <v>0</v>
      </c>
      <c r="CC35" s="180"/>
      <c r="CD35" s="180">
        <v>0</v>
      </c>
      <c r="CE35" s="180"/>
      <c r="CF35" s="180"/>
      <c r="CG35" s="180"/>
      <c r="CH35" s="180"/>
      <c r="CI35" s="180"/>
      <c r="CJ35" s="180"/>
      <c r="CK35" s="180"/>
      <c r="CL35" s="180"/>
      <c r="CM35" s="180"/>
      <c r="CN35" s="180"/>
      <c r="CO35" s="180"/>
      <c r="CP35" s="180"/>
      <c r="CQ35" s="180"/>
      <c r="CR35" s="180"/>
      <c r="CS35" s="180"/>
      <c r="CT35" s="180"/>
      <c r="CU35" s="180"/>
    </row>
    <row r="36" spans="1:99" x14ac:dyDescent="0.3">
      <c r="A36" s="155">
        <v>94</v>
      </c>
      <c r="B36" s="180" t="s">
        <v>231</v>
      </c>
      <c r="C36" s="180"/>
      <c r="D36" s="180"/>
      <c r="E36" s="180">
        <v>0</v>
      </c>
      <c r="F36" s="180">
        <v>0</v>
      </c>
      <c r="G36" s="180">
        <v>0</v>
      </c>
      <c r="H36" s="180">
        <v>0</v>
      </c>
      <c r="I36" s="180">
        <v>0</v>
      </c>
      <c r="J36" s="180">
        <v>0</v>
      </c>
      <c r="K36" s="180">
        <v>0</v>
      </c>
      <c r="L36" s="180">
        <v>0</v>
      </c>
      <c r="M36" s="180">
        <v>0</v>
      </c>
      <c r="N36" s="180">
        <v>0</v>
      </c>
      <c r="O36" s="180">
        <v>0</v>
      </c>
      <c r="P36" s="180">
        <v>0</v>
      </c>
      <c r="Q36" s="180">
        <v>55654757</v>
      </c>
      <c r="R36" s="180">
        <v>0</v>
      </c>
      <c r="S36" s="180">
        <v>0</v>
      </c>
      <c r="T36" s="180">
        <v>0</v>
      </c>
      <c r="U36" s="180">
        <v>0</v>
      </c>
      <c r="V36" s="180">
        <v>28502920</v>
      </c>
      <c r="W36" s="180">
        <v>0</v>
      </c>
      <c r="X36" s="180"/>
      <c r="Y36" s="180">
        <v>0</v>
      </c>
      <c r="Z36" s="180">
        <v>0</v>
      </c>
      <c r="AA36" s="180">
        <v>0</v>
      </c>
      <c r="AB36" s="180">
        <v>0</v>
      </c>
      <c r="AC36" s="180">
        <v>0</v>
      </c>
      <c r="AD36" s="180">
        <v>0</v>
      </c>
      <c r="AE36" s="180">
        <v>0</v>
      </c>
      <c r="AF36" s="180">
        <v>0</v>
      </c>
      <c r="AG36" s="180">
        <v>0</v>
      </c>
      <c r="AH36" s="180">
        <v>0</v>
      </c>
      <c r="AI36" s="180">
        <v>50413935</v>
      </c>
      <c r="AJ36" s="180">
        <v>0</v>
      </c>
      <c r="AK36" s="180"/>
      <c r="AL36" s="180"/>
      <c r="AM36" s="180">
        <v>16212578</v>
      </c>
      <c r="AN36" s="180">
        <v>0</v>
      </c>
      <c r="AO36" s="180">
        <v>0</v>
      </c>
      <c r="AP36" s="180">
        <v>0</v>
      </c>
      <c r="AQ36" s="180">
        <v>0</v>
      </c>
      <c r="AR36" s="180">
        <v>0</v>
      </c>
      <c r="AS36" s="180"/>
      <c r="AT36" s="180">
        <v>0</v>
      </c>
      <c r="AU36" s="180">
        <v>401320</v>
      </c>
      <c r="AV36" s="180">
        <v>0</v>
      </c>
      <c r="AW36" s="180">
        <v>0</v>
      </c>
      <c r="AX36" s="180">
        <v>0</v>
      </c>
      <c r="AY36" s="180">
        <v>0</v>
      </c>
      <c r="AZ36" s="180">
        <v>0</v>
      </c>
      <c r="BA36" s="180">
        <v>0</v>
      </c>
      <c r="BB36" s="180">
        <v>0</v>
      </c>
      <c r="BC36" s="180">
        <v>0</v>
      </c>
      <c r="BD36" s="180">
        <v>0</v>
      </c>
      <c r="BE36" s="180">
        <v>0</v>
      </c>
      <c r="BF36" s="180">
        <v>0</v>
      </c>
      <c r="BG36" s="180">
        <v>0</v>
      </c>
      <c r="BH36" s="180">
        <v>0</v>
      </c>
      <c r="BI36" s="180">
        <v>0</v>
      </c>
      <c r="BJ36" s="180">
        <v>0</v>
      </c>
      <c r="BK36" s="180">
        <v>0</v>
      </c>
      <c r="BL36" s="180"/>
      <c r="BM36" s="180">
        <v>0</v>
      </c>
      <c r="BN36" s="180">
        <v>0</v>
      </c>
      <c r="BO36" s="180">
        <v>0</v>
      </c>
      <c r="BP36" s="180">
        <v>0</v>
      </c>
      <c r="BQ36" s="180">
        <v>0</v>
      </c>
      <c r="BR36" s="180">
        <v>2094239</v>
      </c>
      <c r="BS36" s="180">
        <v>11338127</v>
      </c>
      <c r="BT36" s="180">
        <v>0</v>
      </c>
      <c r="BU36" s="180">
        <v>0</v>
      </c>
      <c r="BV36" s="180">
        <v>0</v>
      </c>
      <c r="BW36" s="180">
        <v>0</v>
      </c>
      <c r="BX36" s="180">
        <v>0</v>
      </c>
      <c r="BY36" s="180">
        <v>0</v>
      </c>
      <c r="BZ36" s="180">
        <v>0</v>
      </c>
      <c r="CA36" s="180">
        <v>0</v>
      </c>
      <c r="CB36" s="180">
        <v>0</v>
      </c>
      <c r="CC36" s="180"/>
      <c r="CD36" s="180">
        <v>0</v>
      </c>
      <c r="CE36" s="180"/>
      <c r="CF36" s="180"/>
      <c r="CG36" s="180"/>
      <c r="CH36" s="180"/>
      <c r="CI36" s="180"/>
      <c r="CJ36" s="180"/>
      <c r="CK36" s="180"/>
      <c r="CL36" s="180"/>
      <c r="CM36" s="180"/>
      <c r="CN36" s="180"/>
      <c r="CO36" s="180"/>
      <c r="CP36" s="180"/>
      <c r="CQ36" s="180"/>
      <c r="CR36" s="180"/>
      <c r="CS36" s="180"/>
      <c r="CT36" s="180"/>
      <c r="CU36" s="180"/>
    </row>
    <row r="37" spans="1:99" x14ac:dyDescent="0.3">
      <c r="A37" s="155">
        <v>97</v>
      </c>
      <c r="B37" s="180" t="s">
        <v>227</v>
      </c>
      <c r="C37" s="180"/>
      <c r="D37" s="180"/>
      <c r="E37" s="180">
        <v>0</v>
      </c>
      <c r="F37" s="180">
        <v>0</v>
      </c>
      <c r="G37" s="180">
        <v>0</v>
      </c>
      <c r="H37" s="180">
        <v>0</v>
      </c>
      <c r="I37" s="180">
        <v>0</v>
      </c>
      <c r="J37" s="180">
        <v>0</v>
      </c>
      <c r="K37" s="180">
        <v>0</v>
      </c>
      <c r="L37" s="180">
        <v>0</v>
      </c>
      <c r="M37" s="180">
        <v>0</v>
      </c>
      <c r="N37" s="180">
        <v>0</v>
      </c>
      <c r="O37" s="180">
        <v>0</v>
      </c>
      <c r="P37" s="180">
        <v>0</v>
      </c>
      <c r="Q37" s="180">
        <v>60647432</v>
      </c>
      <c r="R37" s="180">
        <v>0</v>
      </c>
      <c r="S37" s="180">
        <v>0</v>
      </c>
      <c r="T37" s="180">
        <v>0</v>
      </c>
      <c r="U37" s="180">
        <v>0</v>
      </c>
      <c r="V37" s="180">
        <v>29847931</v>
      </c>
      <c r="W37" s="180">
        <v>0</v>
      </c>
      <c r="X37" s="180"/>
      <c r="Y37" s="180">
        <v>0</v>
      </c>
      <c r="Z37" s="180">
        <v>0</v>
      </c>
      <c r="AA37" s="180">
        <v>0</v>
      </c>
      <c r="AB37" s="180">
        <v>0</v>
      </c>
      <c r="AC37" s="180">
        <v>0</v>
      </c>
      <c r="AD37" s="180">
        <v>0</v>
      </c>
      <c r="AE37" s="180">
        <v>0</v>
      </c>
      <c r="AF37" s="180">
        <v>0</v>
      </c>
      <c r="AG37" s="180">
        <v>0</v>
      </c>
      <c r="AH37" s="180">
        <v>0</v>
      </c>
      <c r="AI37" s="180">
        <v>52777339</v>
      </c>
      <c r="AJ37" s="180">
        <v>0</v>
      </c>
      <c r="AK37" s="180"/>
      <c r="AL37" s="180"/>
      <c r="AM37" s="180">
        <v>15568571</v>
      </c>
      <c r="AN37" s="180">
        <v>0</v>
      </c>
      <c r="AO37" s="180">
        <v>0</v>
      </c>
      <c r="AP37" s="180">
        <v>0</v>
      </c>
      <c r="AQ37" s="180">
        <v>0</v>
      </c>
      <c r="AR37" s="180">
        <v>0</v>
      </c>
      <c r="AS37" s="180"/>
      <c r="AT37" s="180">
        <v>0</v>
      </c>
      <c r="AU37" s="180">
        <v>425831</v>
      </c>
      <c r="AV37" s="180">
        <v>0</v>
      </c>
      <c r="AW37" s="180">
        <v>0</v>
      </c>
      <c r="AX37" s="180">
        <v>0</v>
      </c>
      <c r="AY37" s="180">
        <v>0</v>
      </c>
      <c r="AZ37" s="180">
        <v>0</v>
      </c>
      <c r="BA37" s="180">
        <v>0</v>
      </c>
      <c r="BB37" s="180">
        <v>0</v>
      </c>
      <c r="BC37" s="180">
        <v>0</v>
      </c>
      <c r="BD37" s="180">
        <v>0</v>
      </c>
      <c r="BE37" s="180">
        <v>0</v>
      </c>
      <c r="BF37" s="180">
        <v>0</v>
      </c>
      <c r="BG37" s="180">
        <v>0</v>
      </c>
      <c r="BH37" s="180">
        <v>0</v>
      </c>
      <c r="BI37" s="180">
        <v>0</v>
      </c>
      <c r="BJ37" s="180">
        <v>0</v>
      </c>
      <c r="BK37" s="180">
        <v>0</v>
      </c>
      <c r="BL37" s="180"/>
      <c r="BM37" s="180">
        <v>0</v>
      </c>
      <c r="BN37" s="180">
        <v>0</v>
      </c>
      <c r="BO37" s="180">
        <v>0</v>
      </c>
      <c r="BP37" s="180">
        <v>0</v>
      </c>
      <c r="BQ37" s="180">
        <v>0</v>
      </c>
      <c r="BR37" s="180">
        <v>2793560</v>
      </c>
      <c r="BS37" s="180">
        <v>11948221</v>
      </c>
      <c r="BT37" s="180">
        <v>0</v>
      </c>
      <c r="BU37" s="180">
        <v>0</v>
      </c>
      <c r="BV37" s="180">
        <v>0</v>
      </c>
      <c r="BW37" s="180">
        <v>0</v>
      </c>
      <c r="BX37" s="180">
        <v>0</v>
      </c>
      <c r="BY37" s="180">
        <v>0</v>
      </c>
      <c r="BZ37" s="180">
        <v>0</v>
      </c>
      <c r="CA37" s="180">
        <v>0</v>
      </c>
      <c r="CB37" s="180">
        <v>0</v>
      </c>
      <c r="CC37" s="180"/>
      <c r="CD37" s="180">
        <v>0</v>
      </c>
      <c r="CE37" s="180"/>
      <c r="CF37" s="180"/>
      <c r="CG37" s="180"/>
      <c r="CH37" s="180"/>
      <c r="CI37" s="180"/>
      <c r="CJ37" s="180"/>
      <c r="CK37" s="180"/>
      <c r="CL37" s="180"/>
      <c r="CM37" s="180"/>
      <c r="CN37" s="180"/>
      <c r="CO37" s="180"/>
      <c r="CP37" s="180"/>
      <c r="CQ37" s="180"/>
      <c r="CR37" s="180"/>
      <c r="CS37" s="180"/>
      <c r="CT37" s="180"/>
      <c r="CU37" s="180"/>
    </row>
    <row r="38" spans="1:99" x14ac:dyDescent="0.3">
      <c r="A38" s="155">
        <v>98</v>
      </c>
      <c r="B38" s="180" t="s">
        <v>232</v>
      </c>
      <c r="C38" s="180"/>
      <c r="D38" s="180"/>
      <c r="E38" s="180">
        <v>0</v>
      </c>
      <c r="F38" s="180">
        <v>0</v>
      </c>
      <c r="G38" s="180">
        <v>0</v>
      </c>
      <c r="H38" s="180">
        <v>0</v>
      </c>
      <c r="I38" s="180">
        <v>0</v>
      </c>
      <c r="J38" s="180">
        <v>0</v>
      </c>
      <c r="K38" s="180">
        <v>0</v>
      </c>
      <c r="L38" s="180">
        <v>0</v>
      </c>
      <c r="M38" s="180">
        <v>0</v>
      </c>
      <c r="N38" s="180">
        <v>0</v>
      </c>
      <c r="O38" s="180">
        <v>0</v>
      </c>
      <c r="P38" s="180">
        <v>0</v>
      </c>
      <c r="Q38" s="180">
        <v>551912</v>
      </c>
      <c r="R38" s="180">
        <v>0</v>
      </c>
      <c r="S38" s="180">
        <v>0</v>
      </c>
      <c r="T38" s="180">
        <v>0</v>
      </c>
      <c r="U38" s="180">
        <v>0</v>
      </c>
      <c r="V38" s="180">
        <v>12554</v>
      </c>
      <c r="W38" s="180">
        <v>0</v>
      </c>
      <c r="X38" s="180"/>
      <c r="Y38" s="180">
        <v>0</v>
      </c>
      <c r="Z38" s="180">
        <v>0</v>
      </c>
      <c r="AA38" s="180">
        <v>0</v>
      </c>
      <c r="AB38" s="180">
        <v>0</v>
      </c>
      <c r="AC38" s="180">
        <v>0</v>
      </c>
      <c r="AD38" s="180">
        <v>0</v>
      </c>
      <c r="AE38" s="180">
        <v>0</v>
      </c>
      <c r="AF38" s="180">
        <v>0</v>
      </c>
      <c r="AG38" s="180">
        <v>0</v>
      </c>
      <c r="AH38" s="180">
        <v>0</v>
      </c>
      <c r="AI38" s="180">
        <v>94102</v>
      </c>
      <c r="AJ38" s="180">
        <v>0</v>
      </c>
      <c r="AK38" s="180"/>
      <c r="AL38" s="180"/>
      <c r="AM38" s="180">
        <v>102225</v>
      </c>
      <c r="AN38" s="180">
        <v>0</v>
      </c>
      <c r="AO38" s="180">
        <v>0</v>
      </c>
      <c r="AP38" s="180">
        <v>0</v>
      </c>
      <c r="AQ38" s="180">
        <v>0</v>
      </c>
      <c r="AR38" s="180">
        <v>0</v>
      </c>
      <c r="AS38" s="180"/>
      <c r="AT38" s="180">
        <v>0</v>
      </c>
      <c r="AU38" s="180">
        <v>0</v>
      </c>
      <c r="AV38" s="180">
        <v>0</v>
      </c>
      <c r="AW38" s="180">
        <v>0</v>
      </c>
      <c r="AX38" s="180">
        <v>0</v>
      </c>
      <c r="AY38" s="180">
        <v>0</v>
      </c>
      <c r="AZ38" s="180">
        <v>0</v>
      </c>
      <c r="BA38" s="180">
        <v>0</v>
      </c>
      <c r="BB38" s="180">
        <v>0</v>
      </c>
      <c r="BC38" s="180">
        <v>0</v>
      </c>
      <c r="BD38" s="180">
        <v>0</v>
      </c>
      <c r="BE38" s="180">
        <v>0</v>
      </c>
      <c r="BF38" s="180">
        <v>0</v>
      </c>
      <c r="BG38" s="180">
        <v>0</v>
      </c>
      <c r="BH38" s="180">
        <v>0</v>
      </c>
      <c r="BI38" s="180">
        <v>0</v>
      </c>
      <c r="BJ38" s="180">
        <v>0</v>
      </c>
      <c r="BK38" s="180">
        <v>0</v>
      </c>
      <c r="BL38" s="180"/>
      <c r="BM38" s="180">
        <v>0</v>
      </c>
      <c r="BN38" s="180">
        <v>0</v>
      </c>
      <c r="BO38" s="180">
        <v>0</v>
      </c>
      <c r="BP38" s="180">
        <v>0</v>
      </c>
      <c r="BQ38" s="180">
        <v>0</v>
      </c>
      <c r="BR38" s="180">
        <v>7854</v>
      </c>
      <c r="BS38" s="180">
        <v>0</v>
      </c>
      <c r="BT38" s="180">
        <v>0</v>
      </c>
      <c r="BU38" s="180">
        <v>0</v>
      </c>
      <c r="BV38" s="180">
        <v>0</v>
      </c>
      <c r="BW38" s="180">
        <v>0</v>
      </c>
      <c r="BX38" s="180">
        <v>0</v>
      </c>
      <c r="BY38" s="180">
        <v>0</v>
      </c>
      <c r="BZ38" s="180">
        <v>0</v>
      </c>
      <c r="CA38" s="180">
        <v>0</v>
      </c>
      <c r="CB38" s="180">
        <v>0</v>
      </c>
      <c r="CC38" s="180"/>
      <c r="CD38" s="180">
        <v>0</v>
      </c>
      <c r="CE38" s="180"/>
      <c r="CF38" s="180"/>
      <c r="CG38" s="180"/>
      <c r="CH38" s="180"/>
      <c r="CI38" s="180"/>
      <c r="CJ38" s="180"/>
      <c r="CK38" s="180"/>
      <c r="CL38" s="180"/>
      <c r="CM38" s="180"/>
      <c r="CN38" s="180"/>
      <c r="CO38" s="180"/>
      <c r="CP38" s="180"/>
      <c r="CQ38" s="180"/>
      <c r="CR38" s="180"/>
      <c r="CS38" s="180"/>
      <c r="CT38" s="180"/>
      <c r="CU38" s="180"/>
    </row>
    <row r="39" spans="1:99" x14ac:dyDescent="0.3">
      <c r="A39" s="155">
        <v>99</v>
      </c>
      <c r="B39" s="180" t="s">
        <v>229</v>
      </c>
      <c r="C39" s="180"/>
      <c r="D39" s="180"/>
      <c r="E39" s="180">
        <v>0</v>
      </c>
      <c r="F39" s="180">
        <v>0</v>
      </c>
      <c r="G39" s="180">
        <v>0</v>
      </c>
      <c r="H39" s="180">
        <v>0</v>
      </c>
      <c r="I39" s="180">
        <v>0</v>
      </c>
      <c r="J39" s="180">
        <v>0</v>
      </c>
      <c r="K39" s="180">
        <v>0</v>
      </c>
      <c r="L39" s="180">
        <v>0</v>
      </c>
      <c r="M39" s="180">
        <v>0</v>
      </c>
      <c r="N39" s="180">
        <v>0</v>
      </c>
      <c r="O39" s="180">
        <v>0</v>
      </c>
      <c r="P39" s="180">
        <v>0</v>
      </c>
      <c r="Q39" s="180">
        <v>47740429</v>
      </c>
      <c r="R39" s="180">
        <v>0</v>
      </c>
      <c r="S39" s="180">
        <v>0</v>
      </c>
      <c r="T39" s="180">
        <v>0</v>
      </c>
      <c r="U39" s="180">
        <v>0</v>
      </c>
      <c r="V39" s="180">
        <v>0</v>
      </c>
      <c r="W39" s="180">
        <v>0</v>
      </c>
      <c r="X39" s="180"/>
      <c r="Y39" s="180">
        <v>0</v>
      </c>
      <c r="Z39" s="180">
        <v>0</v>
      </c>
      <c r="AA39" s="180">
        <v>0</v>
      </c>
      <c r="AB39" s="180">
        <v>0</v>
      </c>
      <c r="AC39" s="180">
        <v>0</v>
      </c>
      <c r="AD39" s="180">
        <v>0</v>
      </c>
      <c r="AE39" s="180">
        <v>0</v>
      </c>
      <c r="AF39" s="180">
        <v>0</v>
      </c>
      <c r="AG39" s="180">
        <v>0</v>
      </c>
      <c r="AH39" s="180">
        <v>0</v>
      </c>
      <c r="AI39" s="180">
        <v>38684107</v>
      </c>
      <c r="AJ39" s="180">
        <v>0</v>
      </c>
      <c r="AK39" s="180"/>
      <c r="AL39" s="180"/>
      <c r="AM39" s="180">
        <v>11307113</v>
      </c>
      <c r="AN39" s="180">
        <v>0</v>
      </c>
      <c r="AO39" s="180">
        <v>0</v>
      </c>
      <c r="AP39" s="180">
        <v>0</v>
      </c>
      <c r="AQ39" s="180">
        <v>0</v>
      </c>
      <c r="AR39" s="180">
        <v>0</v>
      </c>
      <c r="AS39" s="180"/>
      <c r="AT39" s="180">
        <v>0</v>
      </c>
      <c r="AU39" s="180">
        <v>283130</v>
      </c>
      <c r="AV39" s="180">
        <v>0</v>
      </c>
      <c r="AW39" s="180">
        <v>0</v>
      </c>
      <c r="AX39" s="180">
        <v>0</v>
      </c>
      <c r="AY39" s="180">
        <v>0</v>
      </c>
      <c r="AZ39" s="180">
        <v>0</v>
      </c>
      <c r="BA39" s="180">
        <v>0</v>
      </c>
      <c r="BB39" s="180">
        <v>0</v>
      </c>
      <c r="BC39" s="180">
        <v>0</v>
      </c>
      <c r="BD39" s="180">
        <v>0</v>
      </c>
      <c r="BE39" s="180">
        <v>0</v>
      </c>
      <c r="BF39" s="180">
        <v>0</v>
      </c>
      <c r="BG39" s="180">
        <v>0</v>
      </c>
      <c r="BH39" s="180">
        <v>0</v>
      </c>
      <c r="BI39" s="180">
        <v>0</v>
      </c>
      <c r="BJ39" s="180">
        <v>0</v>
      </c>
      <c r="BK39" s="180">
        <v>0</v>
      </c>
      <c r="BL39" s="180"/>
      <c r="BM39" s="180">
        <v>0</v>
      </c>
      <c r="BN39" s="180">
        <v>0</v>
      </c>
      <c r="BO39" s="180">
        <v>0</v>
      </c>
      <c r="BP39" s="180">
        <v>0</v>
      </c>
      <c r="BQ39" s="180">
        <v>0</v>
      </c>
      <c r="BR39" s="180">
        <v>1523573</v>
      </c>
      <c r="BS39" s="180">
        <v>8892584</v>
      </c>
      <c r="BT39" s="180">
        <v>0</v>
      </c>
      <c r="BU39" s="180">
        <v>0</v>
      </c>
      <c r="BV39" s="180">
        <v>0</v>
      </c>
      <c r="BW39" s="180">
        <v>0</v>
      </c>
      <c r="BX39" s="180">
        <v>0</v>
      </c>
      <c r="BY39" s="180">
        <v>0</v>
      </c>
      <c r="BZ39" s="180">
        <v>0</v>
      </c>
      <c r="CA39" s="180">
        <v>0</v>
      </c>
      <c r="CB39" s="180">
        <v>0</v>
      </c>
      <c r="CC39" s="180"/>
      <c r="CD39" s="180">
        <v>0</v>
      </c>
      <c r="CE39" s="180"/>
      <c r="CF39" s="180"/>
      <c r="CG39" s="180"/>
      <c r="CH39" s="180"/>
      <c r="CI39" s="180"/>
      <c r="CJ39" s="180"/>
      <c r="CK39" s="180"/>
      <c r="CL39" s="180"/>
      <c r="CM39" s="180"/>
      <c r="CN39" s="180"/>
      <c r="CO39" s="180"/>
      <c r="CP39" s="180"/>
      <c r="CQ39" s="180"/>
      <c r="CR39" s="180"/>
      <c r="CS39" s="180"/>
      <c r="CT39" s="180"/>
      <c r="CU39" s="180"/>
    </row>
    <row r="40" spans="1:99" x14ac:dyDescent="0.3">
      <c r="A40" s="155">
        <v>100</v>
      </c>
      <c r="B40" s="180" t="s">
        <v>242</v>
      </c>
      <c r="C40" s="180"/>
      <c r="D40" s="180"/>
      <c r="E40" s="180">
        <v>0</v>
      </c>
      <c r="F40" s="180">
        <v>0</v>
      </c>
      <c r="G40" s="180">
        <v>0</v>
      </c>
      <c r="H40" s="180">
        <v>0</v>
      </c>
      <c r="I40" s="180">
        <v>0</v>
      </c>
      <c r="J40" s="180">
        <v>0</v>
      </c>
      <c r="K40" s="180">
        <v>0</v>
      </c>
      <c r="L40" s="180">
        <v>0</v>
      </c>
      <c r="M40" s="180">
        <v>0</v>
      </c>
      <c r="N40" s="180">
        <v>0</v>
      </c>
      <c r="O40" s="180">
        <v>0</v>
      </c>
      <c r="P40" s="180">
        <v>0</v>
      </c>
      <c r="Q40" s="180">
        <v>843658</v>
      </c>
      <c r="R40" s="180">
        <v>0</v>
      </c>
      <c r="S40" s="180">
        <v>0</v>
      </c>
      <c r="T40" s="180">
        <v>0</v>
      </c>
      <c r="U40" s="180">
        <v>0</v>
      </c>
      <c r="V40" s="180">
        <v>96417</v>
      </c>
      <c r="W40" s="180">
        <v>0</v>
      </c>
      <c r="X40" s="180"/>
      <c r="Y40" s="180">
        <v>0</v>
      </c>
      <c r="Z40" s="180">
        <v>0</v>
      </c>
      <c r="AA40" s="180">
        <v>0</v>
      </c>
      <c r="AB40" s="180">
        <v>0</v>
      </c>
      <c r="AC40" s="180">
        <v>0</v>
      </c>
      <c r="AD40" s="180">
        <v>0</v>
      </c>
      <c r="AE40" s="180">
        <v>0</v>
      </c>
      <c r="AF40" s="180">
        <v>0</v>
      </c>
      <c r="AG40" s="180">
        <v>0</v>
      </c>
      <c r="AH40" s="180">
        <v>0</v>
      </c>
      <c r="AI40" s="180">
        <v>1652046</v>
      </c>
      <c r="AJ40" s="180">
        <v>0</v>
      </c>
      <c r="AK40" s="180"/>
      <c r="AL40" s="180"/>
      <c r="AM40" s="180">
        <v>860108</v>
      </c>
      <c r="AN40" s="180">
        <v>0</v>
      </c>
      <c r="AO40" s="180">
        <v>0</v>
      </c>
      <c r="AP40" s="180">
        <v>0</v>
      </c>
      <c r="AQ40" s="180">
        <v>0</v>
      </c>
      <c r="AR40" s="180">
        <v>0</v>
      </c>
      <c r="AS40" s="180"/>
      <c r="AT40" s="180">
        <v>0</v>
      </c>
      <c r="AU40" s="180">
        <v>0</v>
      </c>
      <c r="AV40" s="180">
        <v>0</v>
      </c>
      <c r="AW40" s="180">
        <v>0</v>
      </c>
      <c r="AX40" s="180">
        <v>0</v>
      </c>
      <c r="AY40" s="180">
        <v>0</v>
      </c>
      <c r="AZ40" s="180">
        <v>0</v>
      </c>
      <c r="BA40" s="180">
        <v>0</v>
      </c>
      <c r="BB40" s="180">
        <v>0</v>
      </c>
      <c r="BC40" s="180">
        <v>0</v>
      </c>
      <c r="BD40" s="180">
        <v>0</v>
      </c>
      <c r="BE40" s="180">
        <v>0</v>
      </c>
      <c r="BF40" s="180">
        <v>0</v>
      </c>
      <c r="BG40" s="180">
        <v>0</v>
      </c>
      <c r="BH40" s="180">
        <v>0</v>
      </c>
      <c r="BI40" s="180">
        <v>0</v>
      </c>
      <c r="BJ40" s="180">
        <v>0</v>
      </c>
      <c r="BK40" s="180">
        <v>0</v>
      </c>
      <c r="BL40" s="180"/>
      <c r="BM40" s="180">
        <v>0</v>
      </c>
      <c r="BN40" s="180">
        <v>0</v>
      </c>
      <c r="BO40" s="180">
        <v>0</v>
      </c>
      <c r="BP40" s="180">
        <v>0</v>
      </c>
      <c r="BQ40" s="180">
        <v>0</v>
      </c>
      <c r="BR40" s="180">
        <v>6639</v>
      </c>
      <c r="BS40" s="180">
        <v>0</v>
      </c>
      <c r="BT40" s="180">
        <v>0</v>
      </c>
      <c r="BU40" s="180">
        <v>0</v>
      </c>
      <c r="BV40" s="180">
        <v>0</v>
      </c>
      <c r="BW40" s="180">
        <v>0</v>
      </c>
      <c r="BX40" s="180">
        <v>0</v>
      </c>
      <c r="BY40" s="180">
        <v>0</v>
      </c>
      <c r="BZ40" s="180">
        <v>0</v>
      </c>
      <c r="CA40" s="180">
        <v>0</v>
      </c>
      <c r="CB40" s="180">
        <v>0</v>
      </c>
      <c r="CC40" s="180"/>
      <c r="CD40" s="180">
        <v>0</v>
      </c>
      <c r="CE40" s="180"/>
      <c r="CF40" s="180"/>
      <c r="CG40" s="180"/>
      <c r="CH40" s="180"/>
      <c r="CI40" s="180"/>
      <c r="CJ40" s="180"/>
      <c r="CK40" s="180"/>
      <c r="CL40" s="180"/>
      <c r="CM40" s="180"/>
      <c r="CN40" s="180"/>
      <c r="CO40" s="180"/>
      <c r="CP40" s="180"/>
      <c r="CQ40" s="180"/>
      <c r="CR40" s="180"/>
      <c r="CS40" s="180"/>
      <c r="CT40" s="180"/>
      <c r="CU40" s="180"/>
    </row>
    <row r="41" spans="1:99" x14ac:dyDescent="0.3">
      <c r="A41" s="155">
        <v>101</v>
      </c>
      <c r="B41" s="180" t="s">
        <v>241</v>
      </c>
      <c r="C41" s="180"/>
      <c r="D41" s="180"/>
      <c r="E41" s="180">
        <v>0</v>
      </c>
      <c r="F41" s="180">
        <v>0</v>
      </c>
      <c r="G41" s="180">
        <v>0</v>
      </c>
      <c r="H41" s="180">
        <v>0</v>
      </c>
      <c r="I41" s="180">
        <v>0</v>
      </c>
      <c r="J41" s="180">
        <v>0</v>
      </c>
      <c r="K41" s="180">
        <v>0</v>
      </c>
      <c r="L41" s="180">
        <v>0</v>
      </c>
      <c r="M41" s="180">
        <v>0</v>
      </c>
      <c r="N41" s="180">
        <v>0</v>
      </c>
      <c r="O41" s="180">
        <v>0</v>
      </c>
      <c r="P41" s="180">
        <v>0</v>
      </c>
      <c r="Q41" s="180">
        <v>5993520</v>
      </c>
      <c r="R41" s="180">
        <v>0</v>
      </c>
      <c r="S41" s="180">
        <v>0</v>
      </c>
      <c r="T41" s="180">
        <v>0</v>
      </c>
      <c r="U41" s="180">
        <v>0</v>
      </c>
      <c r="V41" s="180">
        <v>4327106</v>
      </c>
      <c r="W41" s="180">
        <v>0</v>
      </c>
      <c r="X41" s="180"/>
      <c r="Y41" s="180">
        <v>0</v>
      </c>
      <c r="Z41" s="180">
        <v>0</v>
      </c>
      <c r="AA41" s="180">
        <v>0</v>
      </c>
      <c r="AB41" s="180">
        <v>0</v>
      </c>
      <c r="AC41" s="180">
        <v>0</v>
      </c>
      <c r="AD41" s="180">
        <v>0</v>
      </c>
      <c r="AE41" s="180">
        <v>0</v>
      </c>
      <c r="AF41" s="180">
        <v>0</v>
      </c>
      <c r="AG41" s="180">
        <v>0</v>
      </c>
      <c r="AH41" s="180">
        <v>0</v>
      </c>
      <c r="AI41" s="180">
        <v>3058077</v>
      </c>
      <c r="AJ41" s="180">
        <v>0</v>
      </c>
      <c r="AK41" s="180"/>
      <c r="AL41" s="180"/>
      <c r="AM41" s="180">
        <v>283674</v>
      </c>
      <c r="AN41" s="180">
        <v>0</v>
      </c>
      <c r="AO41" s="180">
        <v>0</v>
      </c>
      <c r="AP41" s="180">
        <v>0</v>
      </c>
      <c r="AQ41" s="180">
        <v>0</v>
      </c>
      <c r="AR41" s="180">
        <v>0</v>
      </c>
      <c r="AS41" s="180"/>
      <c r="AT41" s="180">
        <v>0</v>
      </c>
      <c r="AU41" s="180">
        <v>0</v>
      </c>
      <c r="AV41" s="180">
        <v>0</v>
      </c>
      <c r="AW41" s="180">
        <v>0</v>
      </c>
      <c r="AX41" s="180">
        <v>0</v>
      </c>
      <c r="AY41" s="180">
        <v>0</v>
      </c>
      <c r="AZ41" s="180">
        <v>0</v>
      </c>
      <c r="BA41" s="180">
        <v>0</v>
      </c>
      <c r="BB41" s="180">
        <v>0</v>
      </c>
      <c r="BC41" s="180">
        <v>0</v>
      </c>
      <c r="BD41" s="180">
        <v>0</v>
      </c>
      <c r="BE41" s="180">
        <v>0</v>
      </c>
      <c r="BF41" s="180">
        <v>0</v>
      </c>
      <c r="BG41" s="180">
        <v>0</v>
      </c>
      <c r="BH41" s="180">
        <v>0</v>
      </c>
      <c r="BI41" s="180">
        <v>0</v>
      </c>
      <c r="BJ41" s="180">
        <v>0</v>
      </c>
      <c r="BK41" s="180">
        <v>0</v>
      </c>
      <c r="BL41" s="180"/>
      <c r="BM41" s="180">
        <v>0</v>
      </c>
      <c r="BN41" s="180">
        <v>0</v>
      </c>
      <c r="BO41" s="180">
        <v>0</v>
      </c>
      <c r="BP41" s="180">
        <v>0</v>
      </c>
      <c r="BQ41" s="180">
        <v>0</v>
      </c>
      <c r="BR41" s="180">
        <v>0</v>
      </c>
      <c r="BS41" s="180">
        <v>1953006</v>
      </c>
      <c r="BT41" s="180">
        <v>0</v>
      </c>
      <c r="BU41" s="180">
        <v>0</v>
      </c>
      <c r="BV41" s="180">
        <v>0</v>
      </c>
      <c r="BW41" s="180">
        <v>0</v>
      </c>
      <c r="BX41" s="180">
        <v>0</v>
      </c>
      <c r="BY41" s="180">
        <v>0</v>
      </c>
      <c r="BZ41" s="180">
        <v>0</v>
      </c>
      <c r="CA41" s="180">
        <v>0</v>
      </c>
      <c r="CB41" s="180">
        <v>0</v>
      </c>
      <c r="CC41" s="180"/>
      <c r="CD41" s="180">
        <v>0</v>
      </c>
      <c r="CE41" s="180"/>
      <c r="CF41" s="180"/>
      <c r="CG41" s="180"/>
      <c r="CH41" s="180"/>
      <c r="CI41" s="180"/>
      <c r="CJ41" s="180"/>
      <c r="CK41" s="180"/>
      <c r="CL41" s="180"/>
      <c r="CM41" s="180"/>
      <c r="CN41" s="180"/>
      <c r="CO41" s="180"/>
      <c r="CP41" s="180"/>
      <c r="CQ41" s="180"/>
      <c r="CR41" s="180"/>
      <c r="CS41" s="180"/>
      <c r="CT41" s="180"/>
      <c r="CU41" s="180"/>
    </row>
    <row r="42" spans="1:99" x14ac:dyDescent="0.3">
      <c r="A42" s="155">
        <v>102</v>
      </c>
      <c r="B42" s="180" t="s">
        <v>255</v>
      </c>
      <c r="C42" s="180"/>
      <c r="D42" s="180"/>
      <c r="E42" s="180">
        <v>96.99</v>
      </c>
      <c r="F42" s="180">
        <v>98.47</v>
      </c>
      <c r="G42" s="180">
        <v>99.21</v>
      </c>
      <c r="H42" s="180">
        <v>98.45</v>
      </c>
      <c r="I42" s="180">
        <v>99.19</v>
      </c>
      <c r="J42" s="180">
        <v>97.14</v>
      </c>
      <c r="K42" s="180">
        <v>99.75</v>
      </c>
      <c r="L42" s="180">
        <v>99.56</v>
      </c>
      <c r="M42" s="180">
        <v>99.35</v>
      </c>
      <c r="N42" s="180">
        <v>97.04</v>
      </c>
      <c r="O42" s="180">
        <v>99.23</v>
      </c>
      <c r="P42" s="180">
        <v>98.02</v>
      </c>
      <c r="Q42" s="180">
        <v>99.34</v>
      </c>
      <c r="R42" s="180">
        <v>99.98</v>
      </c>
      <c r="S42" s="180">
        <v>0</v>
      </c>
      <c r="T42" s="180">
        <v>99.61</v>
      </c>
      <c r="U42" s="180">
        <v>98.74</v>
      </c>
      <c r="V42" s="180">
        <v>97.91</v>
      </c>
      <c r="W42" s="180">
        <v>99.73</v>
      </c>
      <c r="X42" s="180"/>
      <c r="Y42" s="180">
        <v>98.71</v>
      </c>
      <c r="Z42" s="180">
        <v>95.61</v>
      </c>
      <c r="AA42" s="180">
        <v>99.5</v>
      </c>
      <c r="AB42" s="180">
        <v>96.91</v>
      </c>
      <c r="AC42" s="180">
        <v>99.33</v>
      </c>
      <c r="AD42" s="180">
        <v>97.63</v>
      </c>
      <c r="AE42" s="180">
        <v>93.67</v>
      </c>
      <c r="AF42" s="180">
        <v>99.99</v>
      </c>
      <c r="AG42" s="180">
        <v>98.53</v>
      </c>
      <c r="AH42" s="180">
        <v>96.54</v>
      </c>
      <c r="AI42" s="180">
        <v>99.06</v>
      </c>
      <c r="AJ42" s="180">
        <v>99.66</v>
      </c>
      <c r="AK42" s="180"/>
      <c r="AL42" s="180"/>
      <c r="AM42" s="180">
        <v>98.46</v>
      </c>
      <c r="AN42" s="180">
        <v>95.28</v>
      </c>
      <c r="AO42" s="180">
        <v>96.51</v>
      </c>
      <c r="AP42" s="180">
        <v>0</v>
      </c>
      <c r="AQ42" s="180">
        <v>99.3</v>
      </c>
      <c r="AR42" s="180">
        <v>95.74</v>
      </c>
      <c r="AS42" s="180"/>
      <c r="AT42" s="180">
        <v>98.43</v>
      </c>
      <c r="AU42" s="180">
        <v>88.3</v>
      </c>
      <c r="AV42" s="180">
        <v>97.57</v>
      </c>
      <c r="AW42" s="180">
        <v>99.6</v>
      </c>
      <c r="AX42" s="180">
        <v>98.55</v>
      </c>
      <c r="AY42" s="180">
        <v>99.96</v>
      </c>
      <c r="AZ42" s="180">
        <v>99.64</v>
      </c>
      <c r="BA42" s="180">
        <v>96.84</v>
      </c>
      <c r="BB42" s="180">
        <v>0</v>
      </c>
      <c r="BC42" s="180">
        <v>99.38</v>
      </c>
      <c r="BD42" s="180">
        <v>98.7</v>
      </c>
      <c r="BE42" s="180">
        <v>100</v>
      </c>
      <c r="BF42" s="180">
        <v>96.15</v>
      </c>
      <c r="BG42" s="180">
        <v>80.91</v>
      </c>
      <c r="BH42" s="180">
        <v>98.45</v>
      </c>
      <c r="BI42" s="180">
        <v>88.11</v>
      </c>
      <c r="BJ42" s="180">
        <v>96.65</v>
      </c>
      <c r="BK42" s="180">
        <v>96.9</v>
      </c>
      <c r="BL42" s="180"/>
      <c r="BM42" s="180">
        <v>99.12</v>
      </c>
      <c r="BN42" s="180">
        <v>99.72</v>
      </c>
      <c r="BO42" s="180">
        <v>99.91</v>
      </c>
      <c r="BP42" s="180">
        <v>99.32</v>
      </c>
      <c r="BQ42" s="180">
        <v>99.92</v>
      </c>
      <c r="BR42" s="180">
        <v>93.62</v>
      </c>
      <c r="BS42" s="180">
        <v>99.21</v>
      </c>
      <c r="BT42" s="180">
        <v>97.59</v>
      </c>
      <c r="BU42" s="180">
        <v>99.35</v>
      </c>
      <c r="BV42" s="180">
        <v>98.82</v>
      </c>
      <c r="BW42" s="180">
        <v>82.55</v>
      </c>
      <c r="BX42" s="180">
        <v>91.85</v>
      </c>
      <c r="BY42" s="180">
        <v>99.18</v>
      </c>
      <c r="BZ42" s="180">
        <v>94.27</v>
      </c>
      <c r="CA42" s="180">
        <v>96.69</v>
      </c>
      <c r="CB42" s="180">
        <v>99.57</v>
      </c>
      <c r="CC42" s="180"/>
      <c r="CD42" s="180">
        <v>94.3</v>
      </c>
      <c r="CE42" s="180"/>
      <c r="CF42" s="180"/>
      <c r="CG42" s="180"/>
      <c r="CH42" s="180"/>
      <c r="CI42" s="180"/>
      <c r="CJ42" s="180"/>
      <c r="CK42" s="180"/>
      <c r="CL42" s="180"/>
      <c r="CM42" s="180"/>
      <c r="CN42" s="180"/>
      <c r="CO42" s="180"/>
      <c r="CP42" s="180"/>
      <c r="CQ42" s="180"/>
      <c r="CR42" s="180"/>
      <c r="CS42" s="180"/>
      <c r="CT42" s="180"/>
      <c r="CU42" s="180"/>
    </row>
    <row r="43" spans="1:99" x14ac:dyDescent="0.3">
      <c r="A43" s="155">
        <v>103</v>
      </c>
      <c r="B43" s="180" t="s">
        <v>256</v>
      </c>
      <c r="C43" s="180"/>
      <c r="D43" s="180"/>
      <c r="E43" s="180">
        <v>98.1</v>
      </c>
      <c r="F43" s="180">
        <v>100</v>
      </c>
      <c r="G43" s="180">
        <v>99.84</v>
      </c>
      <c r="H43" s="180">
        <v>100</v>
      </c>
      <c r="I43" s="180">
        <v>100</v>
      </c>
      <c r="J43" s="180">
        <v>100</v>
      </c>
      <c r="K43" s="180">
        <v>100</v>
      </c>
      <c r="L43" s="180">
        <v>100</v>
      </c>
      <c r="M43" s="180">
        <v>100</v>
      </c>
      <c r="N43" s="180">
        <v>100</v>
      </c>
      <c r="O43" s="180">
        <v>100</v>
      </c>
      <c r="P43" s="180">
        <v>100</v>
      </c>
      <c r="Q43" s="180">
        <v>100</v>
      </c>
      <c r="R43" s="180">
        <v>99.31</v>
      </c>
      <c r="S43" s="180">
        <v>0</v>
      </c>
      <c r="T43" s="180">
        <v>99.44</v>
      </c>
      <c r="U43" s="180">
        <v>100</v>
      </c>
      <c r="V43" s="180">
        <v>100</v>
      </c>
      <c r="W43" s="180">
        <v>100</v>
      </c>
      <c r="X43" s="180"/>
      <c r="Y43" s="180">
        <v>99.53</v>
      </c>
      <c r="Z43" s="180">
        <v>100</v>
      </c>
      <c r="AA43" s="180">
        <v>100</v>
      </c>
      <c r="AB43" s="180">
        <v>100</v>
      </c>
      <c r="AC43" s="180">
        <v>100</v>
      </c>
      <c r="AD43" s="180">
        <v>100</v>
      </c>
      <c r="AE43" s="180">
        <v>100</v>
      </c>
      <c r="AF43" s="180">
        <v>100</v>
      </c>
      <c r="AG43" s="180">
        <v>100</v>
      </c>
      <c r="AH43" s="180">
        <v>100</v>
      </c>
      <c r="AI43" s="180">
        <v>100</v>
      </c>
      <c r="AJ43" s="180">
        <v>100</v>
      </c>
      <c r="AK43" s="180"/>
      <c r="AL43" s="180"/>
      <c r="AM43" s="180">
        <v>100</v>
      </c>
      <c r="AN43" s="180">
        <v>99.24</v>
      </c>
      <c r="AO43" s="180">
        <v>100</v>
      </c>
      <c r="AP43" s="180">
        <v>0</v>
      </c>
      <c r="AQ43" s="180">
        <v>100</v>
      </c>
      <c r="AR43" s="180">
        <v>100</v>
      </c>
      <c r="AS43" s="180"/>
      <c r="AT43" s="180">
        <v>100</v>
      </c>
      <c r="AU43" s="180">
        <v>100</v>
      </c>
      <c r="AV43" s="180">
        <v>100</v>
      </c>
      <c r="AW43" s="180">
        <v>100</v>
      </c>
      <c r="AX43" s="180">
        <v>100</v>
      </c>
      <c r="AY43" s="180">
        <v>100</v>
      </c>
      <c r="AZ43" s="180">
        <v>100</v>
      </c>
      <c r="BA43" s="180">
        <v>100</v>
      </c>
      <c r="BB43" s="180">
        <v>0</v>
      </c>
      <c r="BC43" s="180">
        <v>100</v>
      </c>
      <c r="BD43" s="180">
        <v>100</v>
      </c>
      <c r="BE43" s="180">
        <v>100</v>
      </c>
      <c r="BF43" s="180">
        <v>100</v>
      </c>
      <c r="BG43" s="180">
        <v>100</v>
      </c>
      <c r="BH43" s="180">
        <v>100</v>
      </c>
      <c r="BI43" s="180">
        <v>100</v>
      </c>
      <c r="BJ43" s="180">
        <v>100</v>
      </c>
      <c r="BK43" s="180">
        <v>97.5</v>
      </c>
      <c r="BL43" s="180"/>
      <c r="BM43" s="180">
        <v>100</v>
      </c>
      <c r="BN43" s="180">
        <v>99.87</v>
      </c>
      <c r="BO43" s="180">
        <v>100</v>
      </c>
      <c r="BP43" s="180">
        <v>100</v>
      </c>
      <c r="BQ43" s="180">
        <v>100</v>
      </c>
      <c r="BR43" s="180">
        <v>99.92</v>
      </c>
      <c r="BS43" s="180">
        <v>100</v>
      </c>
      <c r="BT43" s="180">
        <v>100</v>
      </c>
      <c r="BU43" s="180">
        <v>100</v>
      </c>
      <c r="BV43" s="180">
        <v>100</v>
      </c>
      <c r="BW43" s="180">
        <v>100</v>
      </c>
      <c r="BX43" s="180">
        <v>100</v>
      </c>
      <c r="BY43" s="180">
        <v>100</v>
      </c>
      <c r="BZ43" s="180">
        <v>100</v>
      </c>
      <c r="CA43" s="180">
        <v>100</v>
      </c>
      <c r="CB43" s="180">
        <v>100</v>
      </c>
      <c r="CC43" s="180"/>
      <c r="CD43" s="180">
        <v>100</v>
      </c>
      <c r="CE43" s="180"/>
      <c r="CF43" s="180"/>
      <c r="CG43" s="180"/>
      <c r="CH43" s="180"/>
      <c r="CI43" s="180"/>
      <c r="CJ43" s="180"/>
      <c r="CK43" s="180"/>
      <c r="CL43" s="180"/>
      <c r="CM43" s="180"/>
      <c r="CN43" s="180"/>
      <c r="CO43" s="180"/>
      <c r="CP43" s="180"/>
      <c r="CQ43" s="180"/>
      <c r="CR43" s="180"/>
      <c r="CS43" s="180"/>
      <c r="CT43" s="180"/>
      <c r="CU43" s="180"/>
    </row>
    <row r="44" spans="1:99" x14ac:dyDescent="0.3">
      <c r="A44" s="155">
        <v>171</v>
      </c>
      <c r="B44" s="180" t="s">
        <v>208</v>
      </c>
      <c r="C44" s="180"/>
      <c r="D44" s="180"/>
      <c r="E44" s="180">
        <v>2100</v>
      </c>
      <c r="F44" s="180">
        <v>14569</v>
      </c>
      <c r="G44" s="180">
        <v>50589</v>
      </c>
      <c r="H44" s="180">
        <v>0</v>
      </c>
      <c r="I44" s="180">
        <v>0</v>
      </c>
      <c r="J44" s="180">
        <v>0</v>
      </c>
      <c r="K44" s="180">
        <v>0</v>
      </c>
      <c r="L44" s="180">
        <v>0</v>
      </c>
      <c r="M44" s="180">
        <v>1062998</v>
      </c>
      <c r="N44" s="180">
        <v>11903</v>
      </c>
      <c r="O44" s="180">
        <v>0</v>
      </c>
      <c r="P44" s="180">
        <v>0</v>
      </c>
      <c r="Q44" s="180">
        <v>3482556</v>
      </c>
      <c r="R44" s="180">
        <v>111995</v>
      </c>
      <c r="S44" s="180">
        <v>0</v>
      </c>
      <c r="T44" s="180">
        <v>0</v>
      </c>
      <c r="U44" s="180">
        <v>8841788</v>
      </c>
      <c r="V44" s="180">
        <v>1405433</v>
      </c>
      <c r="W44" s="180">
        <v>3079419</v>
      </c>
      <c r="X44" s="180"/>
      <c r="Y44" s="180">
        <v>0</v>
      </c>
      <c r="Z44" s="180">
        <v>0</v>
      </c>
      <c r="AA44" s="180">
        <v>1403629</v>
      </c>
      <c r="AB44" s="180">
        <v>74834</v>
      </c>
      <c r="AC44" s="180">
        <v>103947</v>
      </c>
      <c r="AD44" s="180">
        <v>0</v>
      </c>
      <c r="AE44" s="180">
        <v>160978</v>
      </c>
      <c r="AF44" s="180">
        <v>4066078</v>
      </c>
      <c r="AG44" s="180">
        <v>65051</v>
      </c>
      <c r="AH44" s="180">
        <v>0</v>
      </c>
      <c r="AI44" s="180">
        <v>2248446</v>
      </c>
      <c r="AJ44" s="180">
        <v>0</v>
      </c>
      <c r="AK44" s="180"/>
      <c r="AL44" s="180"/>
      <c r="AM44" s="180">
        <v>1368641</v>
      </c>
      <c r="AN44" s="180">
        <v>0</v>
      </c>
      <c r="AO44" s="180">
        <v>29831</v>
      </c>
      <c r="AP44" s="180">
        <v>0</v>
      </c>
      <c r="AQ44" s="180">
        <v>6022299</v>
      </c>
      <c r="AR44" s="180">
        <v>803025</v>
      </c>
      <c r="AS44" s="180"/>
      <c r="AT44" s="180">
        <v>116874</v>
      </c>
      <c r="AU44" s="180">
        <v>0</v>
      </c>
      <c r="AV44" s="180">
        <v>0</v>
      </c>
      <c r="AW44" s="180">
        <v>255600</v>
      </c>
      <c r="AX44" s="180">
        <v>0</v>
      </c>
      <c r="AY44" s="180">
        <v>0</v>
      </c>
      <c r="AZ44" s="180">
        <v>24067</v>
      </c>
      <c r="BA44" s="180">
        <v>0</v>
      </c>
      <c r="BB44" s="180">
        <v>0</v>
      </c>
      <c r="BC44" s="180">
        <v>0</v>
      </c>
      <c r="BD44" s="180">
        <v>0</v>
      </c>
      <c r="BE44" s="180">
        <v>0</v>
      </c>
      <c r="BF44" s="180">
        <v>0</v>
      </c>
      <c r="BG44" s="180">
        <v>93395</v>
      </c>
      <c r="BH44" s="180">
        <v>0</v>
      </c>
      <c r="BI44" s="180">
        <v>0</v>
      </c>
      <c r="BJ44" s="180">
        <v>18940</v>
      </c>
      <c r="BK44" s="180">
        <v>270809</v>
      </c>
      <c r="BL44" s="180"/>
      <c r="BM44" s="180">
        <v>37175</v>
      </c>
      <c r="BN44" s="180">
        <v>162274</v>
      </c>
      <c r="BO44" s="180">
        <v>45967</v>
      </c>
      <c r="BP44" s="180">
        <v>578145</v>
      </c>
      <c r="BQ44" s="180">
        <v>11343</v>
      </c>
      <c r="BR44" s="180">
        <v>24653</v>
      </c>
      <c r="BS44" s="180">
        <v>325961</v>
      </c>
      <c r="BT44" s="180">
        <v>20544</v>
      </c>
      <c r="BU44" s="180">
        <v>124155</v>
      </c>
      <c r="BV44" s="180">
        <v>0</v>
      </c>
      <c r="BW44" s="180">
        <v>112023</v>
      </c>
      <c r="BX44" s="180">
        <v>10188</v>
      </c>
      <c r="BY44" s="180">
        <v>0</v>
      </c>
      <c r="BZ44" s="180">
        <v>0</v>
      </c>
      <c r="CA44" s="180">
        <v>0</v>
      </c>
      <c r="CB44" s="180">
        <v>75518</v>
      </c>
      <c r="CC44" s="180"/>
      <c r="CD44" s="180">
        <v>0</v>
      </c>
      <c r="CE44" s="180"/>
      <c r="CF44" s="180"/>
      <c r="CG44" s="180"/>
      <c r="CH44" s="180"/>
      <c r="CI44" s="180"/>
      <c r="CJ44" s="180"/>
      <c r="CK44" s="180"/>
      <c r="CL44" s="180"/>
      <c r="CM44" s="180"/>
      <c r="CN44" s="180"/>
      <c r="CO44" s="180"/>
      <c r="CP44" s="180"/>
      <c r="CQ44" s="180"/>
      <c r="CR44" s="180"/>
      <c r="CS44" s="180"/>
      <c r="CT44" s="180"/>
      <c r="CU44" s="180"/>
    </row>
    <row r="45" spans="1:99" x14ac:dyDescent="0.3">
      <c r="A45" s="155">
        <v>191</v>
      </c>
      <c r="B45" s="180" t="s">
        <v>224</v>
      </c>
      <c r="C45" s="180"/>
      <c r="D45" s="180"/>
      <c r="E45" s="180">
        <v>0</v>
      </c>
      <c r="F45" s="180">
        <v>15000</v>
      </c>
      <c r="G45" s="180">
        <v>0</v>
      </c>
      <c r="H45" s="180">
        <v>0</v>
      </c>
      <c r="I45" s="180">
        <v>0</v>
      </c>
      <c r="J45" s="180">
        <v>0</v>
      </c>
      <c r="K45" s="180">
        <v>0</v>
      </c>
      <c r="L45" s="180">
        <v>0</v>
      </c>
      <c r="M45" s="180">
        <v>0</v>
      </c>
      <c r="N45" s="180">
        <v>0</v>
      </c>
      <c r="O45" s="180">
        <v>549111</v>
      </c>
      <c r="P45" s="180">
        <v>0</v>
      </c>
      <c r="Q45" s="180">
        <v>1300</v>
      </c>
      <c r="R45" s="180">
        <v>0</v>
      </c>
      <c r="S45" s="180">
        <v>0</v>
      </c>
      <c r="T45" s="180">
        <v>0</v>
      </c>
      <c r="U45" s="180">
        <v>48000</v>
      </c>
      <c r="V45" s="180">
        <v>0</v>
      </c>
      <c r="W45" s="180">
        <v>0</v>
      </c>
      <c r="X45" s="180"/>
      <c r="Y45" s="180">
        <v>101424</v>
      </c>
      <c r="Z45" s="180">
        <v>0</v>
      </c>
      <c r="AA45" s="180">
        <v>835015</v>
      </c>
      <c r="AB45" s="180">
        <v>2588501</v>
      </c>
      <c r="AC45" s="180">
        <v>0</v>
      </c>
      <c r="AD45" s="180">
        <v>0</v>
      </c>
      <c r="AE45" s="180">
        <v>264041</v>
      </c>
      <c r="AF45" s="180">
        <v>27412</v>
      </c>
      <c r="AG45" s="180">
        <v>0</v>
      </c>
      <c r="AH45" s="180">
        <v>0</v>
      </c>
      <c r="AI45" s="180">
        <v>0</v>
      </c>
      <c r="AJ45" s="180">
        <v>0</v>
      </c>
      <c r="AK45" s="180"/>
      <c r="AL45" s="180"/>
      <c r="AM45" s="180">
        <v>282763</v>
      </c>
      <c r="AN45" s="180">
        <v>0</v>
      </c>
      <c r="AO45" s="180">
        <v>0</v>
      </c>
      <c r="AP45" s="180">
        <v>0</v>
      </c>
      <c r="AQ45" s="180">
        <v>0</v>
      </c>
      <c r="AR45" s="180">
        <v>1278000</v>
      </c>
      <c r="AS45" s="180"/>
      <c r="AT45" s="180">
        <v>1521672</v>
      </c>
      <c r="AU45" s="180">
        <v>0</v>
      </c>
      <c r="AV45" s="180">
        <v>155854</v>
      </c>
      <c r="AW45" s="180">
        <v>0</v>
      </c>
      <c r="AX45" s="180">
        <v>0</v>
      </c>
      <c r="AY45" s="180">
        <v>0</v>
      </c>
      <c r="AZ45" s="180">
        <v>0</v>
      </c>
      <c r="BA45" s="180">
        <v>0</v>
      </c>
      <c r="BB45" s="180">
        <v>0</v>
      </c>
      <c r="BC45" s="180">
        <v>0</v>
      </c>
      <c r="BD45" s="180">
        <v>716697</v>
      </c>
      <c r="BE45" s="180">
        <v>0</v>
      </c>
      <c r="BF45" s="180">
        <v>0</v>
      </c>
      <c r="BG45" s="180">
        <v>0</v>
      </c>
      <c r="BH45" s="180">
        <v>0</v>
      </c>
      <c r="BI45" s="180">
        <v>0</v>
      </c>
      <c r="BJ45" s="180">
        <v>0</v>
      </c>
      <c r="BK45" s="180">
        <v>147048</v>
      </c>
      <c r="BL45" s="180"/>
      <c r="BM45" s="180">
        <v>2651839</v>
      </c>
      <c r="BN45" s="180">
        <v>0</v>
      </c>
      <c r="BO45" s="180">
        <v>109908</v>
      </c>
      <c r="BP45" s="180">
        <v>0</v>
      </c>
      <c r="BQ45" s="180">
        <v>0</v>
      </c>
      <c r="BR45" s="180">
        <v>0</v>
      </c>
      <c r="BS45" s="180">
        <v>0</v>
      </c>
      <c r="BT45" s="180">
        <v>26489</v>
      </c>
      <c r="BU45" s="180">
        <v>0</v>
      </c>
      <c r="BV45" s="180">
        <v>0</v>
      </c>
      <c r="BW45" s="180">
        <v>576548</v>
      </c>
      <c r="BX45" s="180">
        <v>0</v>
      </c>
      <c r="BY45" s="180">
        <v>0</v>
      </c>
      <c r="BZ45" s="180">
        <v>147747</v>
      </c>
      <c r="CA45" s="180">
        <v>0</v>
      </c>
      <c r="CB45" s="180">
        <v>1005851</v>
      </c>
      <c r="CC45" s="180"/>
      <c r="CD45" s="180">
        <v>0</v>
      </c>
      <c r="CE45" s="180"/>
      <c r="CF45" s="180"/>
      <c r="CG45" s="180"/>
      <c r="CH45" s="180"/>
      <c r="CI45" s="180"/>
      <c r="CJ45" s="180"/>
      <c r="CK45" s="180"/>
      <c r="CL45" s="180"/>
      <c r="CM45" s="180"/>
      <c r="CN45" s="180"/>
      <c r="CO45" s="180"/>
      <c r="CP45" s="180"/>
      <c r="CQ45" s="180"/>
      <c r="CR45" s="180"/>
      <c r="CS45" s="180"/>
      <c r="CT45" s="180"/>
      <c r="CU45" s="180"/>
    </row>
    <row r="46" spans="1:99" x14ac:dyDescent="0.3">
      <c r="A46" s="155">
        <v>192</v>
      </c>
      <c r="B46" s="180" t="s">
        <v>235</v>
      </c>
      <c r="C46" s="180"/>
      <c r="D46" s="180"/>
      <c r="E46" s="180">
        <v>0</v>
      </c>
      <c r="F46" s="180">
        <v>0</v>
      </c>
      <c r="G46" s="180">
        <v>0</v>
      </c>
      <c r="H46" s="180">
        <v>0</v>
      </c>
      <c r="I46" s="180">
        <v>0</v>
      </c>
      <c r="J46" s="180">
        <v>0</v>
      </c>
      <c r="K46" s="180">
        <v>0</v>
      </c>
      <c r="L46" s="180">
        <v>0</v>
      </c>
      <c r="M46" s="180">
        <v>0</v>
      </c>
      <c r="N46" s="180">
        <v>0</v>
      </c>
      <c r="O46" s="180">
        <v>0</v>
      </c>
      <c r="P46" s="180">
        <v>0</v>
      </c>
      <c r="Q46" s="180">
        <v>0</v>
      </c>
      <c r="R46" s="180">
        <v>0</v>
      </c>
      <c r="S46" s="180">
        <v>0</v>
      </c>
      <c r="T46" s="180">
        <v>0</v>
      </c>
      <c r="U46" s="180">
        <v>0</v>
      </c>
      <c r="V46" s="180">
        <v>0</v>
      </c>
      <c r="W46" s="180">
        <v>0</v>
      </c>
      <c r="X46" s="180"/>
      <c r="Y46" s="180">
        <v>0</v>
      </c>
      <c r="Z46" s="180">
        <v>0</v>
      </c>
      <c r="AA46" s="180">
        <v>0</v>
      </c>
      <c r="AB46" s="180">
        <v>0</v>
      </c>
      <c r="AC46" s="180">
        <v>0</v>
      </c>
      <c r="AD46" s="180">
        <v>0</v>
      </c>
      <c r="AE46" s="180">
        <v>0</v>
      </c>
      <c r="AF46" s="180">
        <v>0</v>
      </c>
      <c r="AG46" s="180">
        <v>0</v>
      </c>
      <c r="AH46" s="180">
        <v>0</v>
      </c>
      <c r="AI46" s="180">
        <v>1971102</v>
      </c>
      <c r="AJ46" s="180">
        <v>0</v>
      </c>
      <c r="AK46" s="180"/>
      <c r="AL46" s="180"/>
      <c r="AM46" s="180">
        <v>0</v>
      </c>
      <c r="AN46" s="180">
        <v>0</v>
      </c>
      <c r="AO46" s="180">
        <v>0</v>
      </c>
      <c r="AP46" s="180">
        <v>0</v>
      </c>
      <c r="AQ46" s="180">
        <v>0</v>
      </c>
      <c r="AR46" s="180">
        <v>0</v>
      </c>
      <c r="AS46" s="180"/>
      <c r="AT46" s="180">
        <v>0</v>
      </c>
      <c r="AU46" s="180">
        <v>0</v>
      </c>
      <c r="AV46" s="180">
        <v>0</v>
      </c>
      <c r="AW46" s="180">
        <v>0</v>
      </c>
      <c r="AX46" s="180">
        <v>0</v>
      </c>
      <c r="AY46" s="180">
        <v>0</v>
      </c>
      <c r="AZ46" s="180">
        <v>0</v>
      </c>
      <c r="BA46" s="180">
        <v>0</v>
      </c>
      <c r="BB46" s="180">
        <v>0</v>
      </c>
      <c r="BC46" s="180">
        <v>0</v>
      </c>
      <c r="BD46" s="180">
        <v>0</v>
      </c>
      <c r="BE46" s="180">
        <v>0</v>
      </c>
      <c r="BF46" s="180">
        <v>0</v>
      </c>
      <c r="BG46" s="180">
        <v>0</v>
      </c>
      <c r="BH46" s="180">
        <v>0</v>
      </c>
      <c r="BI46" s="180">
        <v>0</v>
      </c>
      <c r="BJ46" s="180">
        <v>0</v>
      </c>
      <c r="BK46" s="180">
        <v>0</v>
      </c>
      <c r="BL46" s="180"/>
      <c r="BM46" s="180">
        <v>0</v>
      </c>
      <c r="BN46" s="180">
        <v>0</v>
      </c>
      <c r="BO46" s="180">
        <v>0</v>
      </c>
      <c r="BP46" s="180">
        <v>0</v>
      </c>
      <c r="BQ46" s="180">
        <v>0</v>
      </c>
      <c r="BR46" s="180">
        <v>0</v>
      </c>
      <c r="BS46" s="180">
        <v>0</v>
      </c>
      <c r="BT46" s="180">
        <v>0</v>
      </c>
      <c r="BU46" s="180">
        <v>0</v>
      </c>
      <c r="BV46" s="180">
        <v>0</v>
      </c>
      <c r="BW46" s="180">
        <v>0</v>
      </c>
      <c r="BX46" s="180">
        <v>0</v>
      </c>
      <c r="BY46" s="180">
        <v>0</v>
      </c>
      <c r="BZ46" s="180">
        <v>0</v>
      </c>
      <c r="CA46" s="180">
        <v>0</v>
      </c>
      <c r="CB46" s="180">
        <v>0</v>
      </c>
      <c r="CC46" s="180"/>
      <c r="CD46" s="180">
        <v>0</v>
      </c>
      <c r="CE46" s="180"/>
      <c r="CF46" s="180"/>
      <c r="CG46" s="180"/>
      <c r="CH46" s="180"/>
      <c r="CI46" s="180"/>
      <c r="CJ46" s="180"/>
      <c r="CK46" s="180"/>
      <c r="CL46" s="180"/>
      <c r="CM46" s="180"/>
      <c r="CN46" s="180"/>
      <c r="CO46" s="180"/>
      <c r="CP46" s="180"/>
      <c r="CQ46" s="180"/>
      <c r="CR46" s="180"/>
      <c r="CS46" s="180"/>
      <c r="CT46" s="180"/>
      <c r="CU46" s="180"/>
    </row>
    <row r="47" spans="1:99" x14ac:dyDescent="0.3">
      <c r="A47" s="155">
        <v>252</v>
      </c>
      <c r="B47" s="180" t="s">
        <v>95</v>
      </c>
      <c r="C47" s="180"/>
      <c r="D47" s="180"/>
      <c r="E47" s="180">
        <v>165844</v>
      </c>
      <c r="F47" s="180">
        <v>951678</v>
      </c>
      <c r="G47" s="180">
        <v>6303544</v>
      </c>
      <c r="H47" s="180">
        <v>3548944</v>
      </c>
      <c r="I47" s="180">
        <v>6065312</v>
      </c>
      <c r="J47" s="180">
        <v>13455</v>
      </c>
      <c r="K47" s="180">
        <v>1641990</v>
      </c>
      <c r="L47" s="180">
        <v>489254</v>
      </c>
      <c r="M47" s="180">
        <v>76227671</v>
      </c>
      <c r="N47" s="180">
        <v>392086</v>
      </c>
      <c r="O47" s="180">
        <v>6120810</v>
      </c>
      <c r="P47" s="180">
        <v>159338</v>
      </c>
      <c r="Q47" s="180">
        <v>80215566</v>
      </c>
      <c r="R47" s="180">
        <v>5341705</v>
      </c>
      <c r="S47" s="180">
        <v>123149</v>
      </c>
      <c r="T47" s="180">
        <v>102079485</v>
      </c>
      <c r="U47" s="180">
        <v>39831788</v>
      </c>
      <c r="V47" s="180">
        <v>28285277</v>
      </c>
      <c r="W47" s="180">
        <v>152861140</v>
      </c>
      <c r="X47" s="180"/>
      <c r="Y47" s="180">
        <v>24108735</v>
      </c>
      <c r="Z47" s="180">
        <v>1986131</v>
      </c>
      <c r="AA47" s="180">
        <v>21625096</v>
      </c>
      <c r="AB47" s="180">
        <v>3305922</v>
      </c>
      <c r="AC47" s="180">
        <v>3094846</v>
      </c>
      <c r="AD47" s="180">
        <v>937907</v>
      </c>
      <c r="AE47" s="180">
        <v>1887656</v>
      </c>
      <c r="AF47" s="180">
        <v>33233399</v>
      </c>
      <c r="AG47" s="180">
        <v>7223216</v>
      </c>
      <c r="AH47" s="180">
        <v>2341304</v>
      </c>
      <c r="AI47" s="180">
        <v>58590887</v>
      </c>
      <c r="AJ47" s="180">
        <v>4722520</v>
      </c>
      <c r="AK47" s="180"/>
      <c r="AL47" s="180"/>
      <c r="AM47" s="180">
        <v>13604276</v>
      </c>
      <c r="AN47" s="180">
        <v>297007</v>
      </c>
      <c r="AO47" s="180">
        <v>279225</v>
      </c>
      <c r="AP47" s="180">
        <v>86033</v>
      </c>
      <c r="AQ47" s="180">
        <v>13116798</v>
      </c>
      <c r="AR47" s="180">
        <v>40343165</v>
      </c>
      <c r="AS47" s="180"/>
      <c r="AT47" s="180">
        <v>2852310</v>
      </c>
      <c r="AU47" s="180">
        <v>185307</v>
      </c>
      <c r="AV47" s="180">
        <v>25161918</v>
      </c>
      <c r="AW47" s="180">
        <v>7376999</v>
      </c>
      <c r="AX47" s="180">
        <v>3533986</v>
      </c>
      <c r="AY47" s="180">
        <v>12945424</v>
      </c>
      <c r="AZ47" s="180">
        <v>2024547</v>
      </c>
      <c r="BA47" s="180">
        <v>2885501</v>
      </c>
      <c r="BB47" s="180">
        <v>48475</v>
      </c>
      <c r="BC47" s="180">
        <v>56803</v>
      </c>
      <c r="BD47" s="180">
        <v>4209373</v>
      </c>
      <c r="BE47" s="180">
        <v>93917</v>
      </c>
      <c r="BF47" s="180">
        <v>113360</v>
      </c>
      <c r="BG47" s="180">
        <v>142753</v>
      </c>
      <c r="BH47" s="180">
        <v>113795</v>
      </c>
      <c r="BI47" s="180">
        <v>246872</v>
      </c>
      <c r="BJ47" s="180">
        <v>383167</v>
      </c>
      <c r="BK47" s="180">
        <v>6131385</v>
      </c>
      <c r="BL47" s="180"/>
      <c r="BM47" s="180">
        <v>2124128</v>
      </c>
      <c r="BN47" s="180">
        <v>6361897</v>
      </c>
      <c r="BO47" s="180">
        <v>244179</v>
      </c>
      <c r="BP47" s="180">
        <v>1661133</v>
      </c>
      <c r="BQ47" s="180">
        <v>28803183</v>
      </c>
      <c r="BR47" s="180">
        <v>667001</v>
      </c>
      <c r="BS47" s="180">
        <v>31308585</v>
      </c>
      <c r="BT47" s="180">
        <v>855514</v>
      </c>
      <c r="BU47" s="180">
        <v>5397839</v>
      </c>
      <c r="BV47" s="180">
        <v>3191629</v>
      </c>
      <c r="BW47" s="180">
        <v>2598039</v>
      </c>
      <c r="BX47" s="180">
        <v>366738</v>
      </c>
      <c r="BY47" s="180">
        <v>314689</v>
      </c>
      <c r="BZ47" s="180">
        <v>1457003</v>
      </c>
      <c r="CA47" s="180">
        <v>62653</v>
      </c>
      <c r="CB47" s="180">
        <v>1804989</v>
      </c>
      <c r="CC47" s="180"/>
      <c r="CD47" s="180">
        <v>58278</v>
      </c>
      <c r="CE47" s="180"/>
      <c r="CF47" s="180"/>
      <c r="CG47" s="180"/>
      <c r="CH47" s="180"/>
      <c r="CI47" s="180"/>
      <c r="CJ47" s="180"/>
      <c r="CK47" s="180"/>
      <c r="CL47" s="180"/>
      <c r="CM47" s="180"/>
      <c r="CN47" s="180"/>
      <c r="CO47" s="180"/>
      <c r="CP47" s="180"/>
      <c r="CQ47" s="180"/>
      <c r="CR47" s="180"/>
      <c r="CS47" s="180"/>
      <c r="CT47" s="180"/>
      <c r="CU47" s="180"/>
    </row>
    <row r="48" spans="1:99" x14ac:dyDescent="0.3">
      <c r="A48" s="155">
        <v>253</v>
      </c>
      <c r="B48" s="180" t="s">
        <v>96</v>
      </c>
      <c r="C48" s="180"/>
      <c r="D48" s="180"/>
      <c r="E48" s="180">
        <v>45563</v>
      </c>
      <c r="F48" s="180">
        <v>299002</v>
      </c>
      <c r="G48" s="180">
        <v>2348386</v>
      </c>
      <c r="H48" s="180">
        <v>281694</v>
      </c>
      <c r="I48" s="180">
        <v>614624</v>
      </c>
      <c r="J48" s="180">
        <v>10963</v>
      </c>
      <c r="K48" s="180">
        <v>64075</v>
      </c>
      <c r="L48" s="180">
        <v>20115</v>
      </c>
      <c r="M48" s="180">
        <v>4274572</v>
      </c>
      <c r="N48" s="180">
        <v>198181</v>
      </c>
      <c r="O48" s="180">
        <v>2630744</v>
      </c>
      <c r="P48" s="180">
        <v>18717</v>
      </c>
      <c r="Q48" s="180">
        <v>31642236</v>
      </c>
      <c r="R48" s="180">
        <v>249692</v>
      </c>
      <c r="S48" s="180">
        <v>4202</v>
      </c>
      <c r="T48" s="180">
        <v>37287788</v>
      </c>
      <c r="U48" s="180">
        <v>9171757</v>
      </c>
      <c r="V48" s="180">
        <v>12237213</v>
      </c>
      <c r="W48" s="180">
        <v>11866466</v>
      </c>
      <c r="X48" s="180"/>
      <c r="Y48" s="180">
        <v>6036183</v>
      </c>
      <c r="Z48" s="180">
        <v>252664</v>
      </c>
      <c r="AA48" s="180">
        <v>4091556</v>
      </c>
      <c r="AB48" s="180">
        <v>1143465</v>
      </c>
      <c r="AC48" s="180">
        <v>672483</v>
      </c>
      <c r="AD48" s="180">
        <v>797736</v>
      </c>
      <c r="AE48" s="180">
        <v>643904</v>
      </c>
      <c r="AF48" s="180">
        <v>9405616</v>
      </c>
      <c r="AG48" s="180">
        <v>1239417</v>
      </c>
      <c r="AH48" s="180">
        <v>277830</v>
      </c>
      <c r="AI48" s="180">
        <v>13519815</v>
      </c>
      <c r="AJ48" s="180">
        <v>479466</v>
      </c>
      <c r="AK48" s="180"/>
      <c r="AL48" s="180"/>
      <c r="AM48" s="180">
        <v>3950457</v>
      </c>
      <c r="AN48" s="180">
        <v>167510</v>
      </c>
      <c r="AO48" s="180">
        <v>193677</v>
      </c>
      <c r="AP48" s="180">
        <v>2512</v>
      </c>
      <c r="AQ48" s="180">
        <v>7525265</v>
      </c>
      <c r="AR48" s="180">
        <v>1542409</v>
      </c>
      <c r="AS48" s="180"/>
      <c r="AT48" s="180">
        <v>657925</v>
      </c>
      <c r="AU48" s="180">
        <v>62233</v>
      </c>
      <c r="AV48" s="180">
        <v>14271932</v>
      </c>
      <c r="AW48" s="180">
        <v>252574</v>
      </c>
      <c r="AX48" s="180">
        <v>279549</v>
      </c>
      <c r="AY48" s="180">
        <v>411572</v>
      </c>
      <c r="AZ48" s="180">
        <v>399527</v>
      </c>
      <c r="BA48" s="180">
        <v>586965</v>
      </c>
      <c r="BB48" s="180">
        <v>0</v>
      </c>
      <c r="BC48" s="180">
        <v>152675</v>
      </c>
      <c r="BD48" s="180">
        <v>1224927</v>
      </c>
      <c r="BE48" s="180">
        <v>42418</v>
      </c>
      <c r="BF48" s="180">
        <v>113178</v>
      </c>
      <c r="BG48" s="180">
        <v>36866</v>
      </c>
      <c r="BH48" s="180">
        <v>7379</v>
      </c>
      <c r="BI48" s="180">
        <v>76010</v>
      </c>
      <c r="BJ48" s="180">
        <v>43218</v>
      </c>
      <c r="BK48" s="180">
        <v>498023</v>
      </c>
      <c r="BL48" s="180"/>
      <c r="BM48" s="180">
        <v>482240</v>
      </c>
      <c r="BN48" s="180">
        <v>4963225</v>
      </c>
      <c r="BO48" s="180">
        <v>414242</v>
      </c>
      <c r="BP48" s="180">
        <v>493107</v>
      </c>
      <c r="BQ48" s="180">
        <v>2934310</v>
      </c>
      <c r="BR48" s="180">
        <v>448084</v>
      </c>
      <c r="BS48" s="180">
        <v>3813342</v>
      </c>
      <c r="BT48" s="180">
        <v>539831</v>
      </c>
      <c r="BU48" s="180">
        <v>798762</v>
      </c>
      <c r="BV48" s="180">
        <v>107451</v>
      </c>
      <c r="BW48" s="180">
        <v>313655</v>
      </c>
      <c r="BX48" s="180">
        <v>351478</v>
      </c>
      <c r="BY48" s="180">
        <v>152002</v>
      </c>
      <c r="BZ48" s="180">
        <v>649498</v>
      </c>
      <c r="CA48" s="180">
        <v>22083</v>
      </c>
      <c r="CB48" s="180">
        <v>1667230</v>
      </c>
      <c r="CC48" s="180"/>
      <c r="CD48" s="180">
        <v>21679</v>
      </c>
      <c r="CE48" s="180"/>
      <c r="CF48" s="180"/>
      <c r="CG48" s="180"/>
      <c r="CH48" s="180"/>
      <c r="CI48" s="180"/>
      <c r="CJ48" s="180"/>
      <c r="CK48" s="180"/>
      <c r="CL48" s="180"/>
      <c r="CM48" s="180"/>
      <c r="CN48" s="180"/>
      <c r="CO48" s="180"/>
      <c r="CP48" s="180"/>
      <c r="CQ48" s="180"/>
      <c r="CR48" s="180"/>
      <c r="CS48" s="180"/>
      <c r="CT48" s="180"/>
      <c r="CU48" s="180"/>
    </row>
    <row r="49" spans="1:99" x14ac:dyDescent="0.3">
      <c r="A49" s="155">
        <v>254</v>
      </c>
      <c r="B49" s="180" t="s">
        <v>97</v>
      </c>
      <c r="C49" s="180"/>
      <c r="D49" s="180"/>
      <c r="E49" s="180">
        <v>156379</v>
      </c>
      <c r="F49" s="180">
        <v>806433</v>
      </c>
      <c r="G49" s="180">
        <v>4220367</v>
      </c>
      <c r="H49" s="180">
        <v>6573581</v>
      </c>
      <c r="I49" s="180">
        <v>6215920</v>
      </c>
      <c r="J49" s="180">
        <v>140835</v>
      </c>
      <c r="K49" s="180">
        <v>1064399</v>
      </c>
      <c r="L49" s="180">
        <v>956551</v>
      </c>
      <c r="M49" s="180">
        <v>-172204</v>
      </c>
      <c r="N49" s="180">
        <v>580908</v>
      </c>
      <c r="O49" s="180">
        <v>4314272</v>
      </c>
      <c r="P49" s="180">
        <v>334279</v>
      </c>
      <c r="Q49" s="180">
        <v>-18564042</v>
      </c>
      <c r="R49" s="180">
        <v>851587</v>
      </c>
      <c r="S49" s="180">
        <v>169809</v>
      </c>
      <c r="T49" s="180">
        <v>-3229970</v>
      </c>
      <c r="U49" s="180">
        <v>1306389</v>
      </c>
      <c r="V49" s="180">
        <v>4036202</v>
      </c>
      <c r="W49" s="180">
        <v>17811514</v>
      </c>
      <c r="X49" s="180"/>
      <c r="Y49" s="180">
        <v>9913843</v>
      </c>
      <c r="Z49" s="180">
        <v>914982</v>
      </c>
      <c r="AA49" s="180">
        <v>11054411</v>
      </c>
      <c r="AB49" s="180">
        <v>1525141</v>
      </c>
      <c r="AC49" s="180">
        <v>2474406</v>
      </c>
      <c r="AD49" s="180">
        <v>1253631</v>
      </c>
      <c r="AE49" s="180">
        <v>3177413</v>
      </c>
      <c r="AF49" s="180">
        <v>6454409</v>
      </c>
      <c r="AG49" s="180">
        <v>3965747</v>
      </c>
      <c r="AH49" s="180">
        <v>1486963</v>
      </c>
      <c r="AI49" s="180">
        <v>-33675496</v>
      </c>
      <c r="AJ49" s="180">
        <v>3476017</v>
      </c>
      <c r="AK49" s="180"/>
      <c r="AL49" s="180"/>
      <c r="AM49" s="180">
        <v>6140787</v>
      </c>
      <c r="AN49" s="180">
        <v>463722</v>
      </c>
      <c r="AO49" s="180">
        <v>655426</v>
      </c>
      <c r="AP49" s="180">
        <v>97797</v>
      </c>
      <c r="AQ49" s="180">
        <v>8689405</v>
      </c>
      <c r="AR49" s="180">
        <v>4316962</v>
      </c>
      <c r="AS49" s="180"/>
      <c r="AT49" s="180">
        <v>624286</v>
      </c>
      <c r="AU49" s="180">
        <v>255199</v>
      </c>
      <c r="AV49" s="180">
        <v>3620982</v>
      </c>
      <c r="AW49" s="180">
        <v>3484950</v>
      </c>
      <c r="AX49" s="180">
        <v>690822</v>
      </c>
      <c r="AY49" s="180">
        <v>10019477</v>
      </c>
      <c r="AZ49" s="180">
        <v>2156961</v>
      </c>
      <c r="BA49" s="180">
        <v>718724</v>
      </c>
      <c r="BB49" s="180">
        <v>127262</v>
      </c>
      <c r="BC49" s="180">
        <v>732253</v>
      </c>
      <c r="BD49" s="180">
        <v>-367630</v>
      </c>
      <c r="BE49" s="180">
        <v>657864</v>
      </c>
      <c r="BF49" s="180">
        <v>797791</v>
      </c>
      <c r="BG49" s="180">
        <v>211198</v>
      </c>
      <c r="BH49" s="180">
        <v>298589</v>
      </c>
      <c r="BI49" s="180">
        <v>458026</v>
      </c>
      <c r="BJ49" s="180">
        <v>316288</v>
      </c>
      <c r="BK49" s="180">
        <v>-610094</v>
      </c>
      <c r="BL49" s="180"/>
      <c r="BM49" s="180">
        <v>579002</v>
      </c>
      <c r="BN49" s="180">
        <v>2126216</v>
      </c>
      <c r="BO49" s="180">
        <v>1077455</v>
      </c>
      <c r="BP49" s="180">
        <v>1834856</v>
      </c>
      <c r="BQ49" s="180">
        <v>9279012</v>
      </c>
      <c r="BR49" s="180">
        <v>-149581</v>
      </c>
      <c r="BS49" s="180">
        <v>18199829</v>
      </c>
      <c r="BT49" s="180">
        <v>427599</v>
      </c>
      <c r="BU49" s="180">
        <v>4852844</v>
      </c>
      <c r="BV49" s="180">
        <v>2467989</v>
      </c>
      <c r="BW49" s="180">
        <v>1299684</v>
      </c>
      <c r="BX49" s="180">
        <v>1306874</v>
      </c>
      <c r="BY49" s="180">
        <v>217194</v>
      </c>
      <c r="BZ49" s="180">
        <v>-850331</v>
      </c>
      <c r="CA49" s="180">
        <v>164153</v>
      </c>
      <c r="CB49" s="180">
        <v>-629145</v>
      </c>
      <c r="CC49" s="180"/>
      <c r="CD49" s="180">
        <v>393279</v>
      </c>
      <c r="CE49" s="180"/>
      <c r="CF49" s="180"/>
      <c r="CG49" s="180"/>
      <c r="CH49" s="180"/>
      <c r="CI49" s="180"/>
      <c r="CJ49" s="180"/>
      <c r="CK49" s="180"/>
      <c r="CL49" s="180"/>
      <c r="CM49" s="180"/>
      <c r="CN49" s="180"/>
      <c r="CO49" s="180"/>
      <c r="CP49" s="180"/>
      <c r="CQ49" s="180"/>
      <c r="CR49" s="180"/>
      <c r="CS49" s="180"/>
      <c r="CT49" s="180"/>
      <c r="CU49" s="180"/>
    </row>
    <row r="50" spans="1:99" x14ac:dyDescent="0.3">
      <c r="A50" s="155">
        <v>255</v>
      </c>
      <c r="B50" s="180" t="s">
        <v>188</v>
      </c>
      <c r="C50" s="180"/>
      <c r="D50" s="180"/>
      <c r="E50" s="180">
        <v>17075</v>
      </c>
      <c r="F50" s="180">
        <v>168433</v>
      </c>
      <c r="G50" s="180">
        <v>1863462</v>
      </c>
      <c r="H50" s="180">
        <v>1345476</v>
      </c>
      <c r="I50" s="180">
        <v>1788310</v>
      </c>
      <c r="J50" s="180">
        <v>26295</v>
      </c>
      <c r="K50" s="180">
        <v>37839</v>
      </c>
      <c r="L50" s="180">
        <v>28554</v>
      </c>
      <c r="M50" s="180">
        <v>3078241</v>
      </c>
      <c r="N50" s="180">
        <v>110084</v>
      </c>
      <c r="O50" s="180">
        <v>1705514</v>
      </c>
      <c r="P50" s="180">
        <v>34149</v>
      </c>
      <c r="Q50" s="180">
        <v>10914882</v>
      </c>
      <c r="R50" s="180">
        <v>466186</v>
      </c>
      <c r="S50" s="180">
        <v>-13714</v>
      </c>
      <c r="T50" s="180">
        <v>31577047</v>
      </c>
      <c r="U50" s="180">
        <v>2763870</v>
      </c>
      <c r="V50" s="180">
        <v>8128079</v>
      </c>
      <c r="W50" s="180">
        <v>11003258</v>
      </c>
      <c r="X50" s="180"/>
      <c r="Y50" s="180">
        <v>1555904</v>
      </c>
      <c r="Z50" s="180">
        <v>-77213</v>
      </c>
      <c r="AA50" s="180">
        <v>4452607</v>
      </c>
      <c r="AB50" s="180">
        <v>1230348</v>
      </c>
      <c r="AC50" s="180">
        <v>775509</v>
      </c>
      <c r="AD50" s="180">
        <v>548079</v>
      </c>
      <c r="AE50" s="180">
        <v>260813</v>
      </c>
      <c r="AF50" s="180">
        <v>-3100124</v>
      </c>
      <c r="AG50" s="180">
        <v>252981</v>
      </c>
      <c r="AH50" s="180">
        <v>684225</v>
      </c>
      <c r="AI50" s="180">
        <v>4438638</v>
      </c>
      <c r="AJ50" s="180">
        <v>326475</v>
      </c>
      <c r="AK50" s="180"/>
      <c r="AL50" s="180"/>
      <c r="AM50" s="180">
        <v>2091173</v>
      </c>
      <c r="AN50" s="180">
        <v>21768</v>
      </c>
      <c r="AO50" s="180">
        <v>239286</v>
      </c>
      <c r="AP50" s="180">
        <v>-6851</v>
      </c>
      <c r="AQ50" s="180">
        <v>3592240</v>
      </c>
      <c r="AR50" s="180">
        <v>221892</v>
      </c>
      <c r="AS50" s="180"/>
      <c r="AT50" s="180">
        <v>-20301</v>
      </c>
      <c r="AU50" s="180">
        <v>-34239</v>
      </c>
      <c r="AV50" s="180">
        <v>-3928393</v>
      </c>
      <c r="AW50" s="180">
        <v>455590</v>
      </c>
      <c r="AX50" s="180">
        <v>453</v>
      </c>
      <c r="AY50" s="180">
        <v>-9471774</v>
      </c>
      <c r="AZ50" s="180">
        <v>530624</v>
      </c>
      <c r="BA50" s="180">
        <v>-199564</v>
      </c>
      <c r="BB50" s="180">
        <v>4884</v>
      </c>
      <c r="BC50" s="180">
        <v>77032</v>
      </c>
      <c r="BD50" s="180">
        <v>538180</v>
      </c>
      <c r="BE50" s="180">
        <v>59097</v>
      </c>
      <c r="BF50" s="180">
        <v>-4551</v>
      </c>
      <c r="BG50" s="180">
        <v>31147</v>
      </c>
      <c r="BH50" s="180">
        <v>-5801</v>
      </c>
      <c r="BI50" s="180">
        <v>-9026</v>
      </c>
      <c r="BJ50" s="180">
        <v>94051</v>
      </c>
      <c r="BK50" s="180">
        <v>1090892</v>
      </c>
      <c r="BL50" s="180"/>
      <c r="BM50" s="180">
        <v>726711</v>
      </c>
      <c r="BN50" s="180">
        <v>738391</v>
      </c>
      <c r="BO50" s="180">
        <v>337796</v>
      </c>
      <c r="BP50" s="180">
        <v>234349</v>
      </c>
      <c r="BQ50" s="180">
        <v>3817060</v>
      </c>
      <c r="BR50" s="180">
        <v>103164</v>
      </c>
      <c r="BS50" s="180">
        <v>2384441</v>
      </c>
      <c r="BT50" s="180">
        <v>104243</v>
      </c>
      <c r="BU50" s="180">
        <v>982743</v>
      </c>
      <c r="BV50" s="180">
        <v>143964</v>
      </c>
      <c r="BW50" s="180">
        <v>113493</v>
      </c>
      <c r="BX50" s="180">
        <v>180706</v>
      </c>
      <c r="BY50" s="180">
        <v>20609</v>
      </c>
      <c r="BZ50" s="180">
        <v>373218</v>
      </c>
      <c r="CA50" s="180">
        <v>7026</v>
      </c>
      <c r="CB50" s="180">
        <v>1864525</v>
      </c>
      <c r="CC50" s="180"/>
      <c r="CD50" s="180">
        <v>21216</v>
      </c>
      <c r="CE50" s="180"/>
      <c r="CF50" s="180"/>
      <c r="CG50" s="180"/>
      <c r="CH50" s="180"/>
      <c r="CI50" s="180"/>
      <c r="CJ50" s="180"/>
      <c r="CK50" s="180"/>
      <c r="CL50" s="180"/>
      <c r="CM50" s="180"/>
      <c r="CN50" s="180"/>
      <c r="CO50" s="180"/>
      <c r="CP50" s="180"/>
      <c r="CQ50" s="180"/>
      <c r="CR50" s="180"/>
      <c r="CS50" s="180"/>
      <c r="CT50" s="180"/>
      <c r="CU50" s="180"/>
    </row>
    <row r="51" spans="1:99" x14ac:dyDescent="0.3">
      <c r="A51" s="155">
        <v>327</v>
      </c>
      <c r="B51" s="180" t="s">
        <v>920</v>
      </c>
      <c r="C51" s="180"/>
      <c r="D51" s="180"/>
      <c r="E51" s="180">
        <v>0</v>
      </c>
      <c r="F51" s="180">
        <v>0</v>
      </c>
      <c r="G51" s="180">
        <v>0</v>
      </c>
      <c r="H51" s="180">
        <v>0</v>
      </c>
      <c r="I51" s="180">
        <v>0</v>
      </c>
      <c r="J51" s="180">
        <v>53983</v>
      </c>
      <c r="K51" s="180">
        <v>0</v>
      </c>
      <c r="L51" s="180">
        <v>0</v>
      </c>
      <c r="M51" s="180">
        <v>0</v>
      </c>
      <c r="N51" s="180">
        <v>0</v>
      </c>
      <c r="O51" s="180">
        <v>46446</v>
      </c>
      <c r="P51" s="180">
        <v>0</v>
      </c>
      <c r="Q51" s="180">
        <v>2740380</v>
      </c>
      <c r="R51" s="180">
        <v>367968</v>
      </c>
      <c r="S51" s="180">
        <v>0</v>
      </c>
      <c r="T51" s="180">
        <v>3865259</v>
      </c>
      <c r="U51" s="180">
        <v>2345234</v>
      </c>
      <c r="V51" s="180">
        <v>14979085</v>
      </c>
      <c r="W51" s="180">
        <v>0</v>
      </c>
      <c r="X51" s="180"/>
      <c r="Y51" s="180">
        <v>745155</v>
      </c>
      <c r="Z51" s="180">
        <v>4000</v>
      </c>
      <c r="AA51" s="180">
        <v>569712</v>
      </c>
      <c r="AB51" s="180">
        <v>23252</v>
      </c>
      <c r="AC51" s="180">
        <v>15684</v>
      </c>
      <c r="AD51" s="180">
        <v>882432</v>
      </c>
      <c r="AE51" s="180">
        <v>0</v>
      </c>
      <c r="AF51" s="180">
        <v>204205</v>
      </c>
      <c r="AG51" s="180">
        <v>514809</v>
      </c>
      <c r="AH51" s="180">
        <v>0</v>
      </c>
      <c r="AI51" s="180">
        <v>13256459</v>
      </c>
      <c r="AJ51" s="180">
        <v>6500</v>
      </c>
      <c r="AK51" s="180"/>
      <c r="AL51" s="180"/>
      <c r="AM51" s="180">
        <v>210332</v>
      </c>
      <c r="AN51" s="180">
        <v>42297</v>
      </c>
      <c r="AO51" s="180">
        <v>0</v>
      </c>
      <c r="AP51" s="180">
        <v>0</v>
      </c>
      <c r="AQ51" s="180">
        <v>0</v>
      </c>
      <c r="AR51" s="180">
        <v>44618</v>
      </c>
      <c r="AS51" s="180"/>
      <c r="AT51" s="180">
        <v>552989</v>
      </c>
      <c r="AU51" s="180">
        <v>0</v>
      </c>
      <c r="AV51" s="180">
        <v>3735076</v>
      </c>
      <c r="AW51" s="180">
        <v>0</v>
      </c>
      <c r="AX51" s="180">
        <v>76640</v>
      </c>
      <c r="AY51" s="180">
        <v>496374</v>
      </c>
      <c r="AZ51" s="180">
        <v>5006</v>
      </c>
      <c r="BA51" s="180">
        <v>0</v>
      </c>
      <c r="BB51" s="180">
        <v>0</v>
      </c>
      <c r="BC51" s="180">
        <v>0</v>
      </c>
      <c r="BD51" s="180">
        <v>217472</v>
      </c>
      <c r="BE51" s="180">
        <v>0</v>
      </c>
      <c r="BF51" s="180">
        <v>0</v>
      </c>
      <c r="BG51" s="180">
        <v>0</v>
      </c>
      <c r="BH51" s="180">
        <v>0</v>
      </c>
      <c r="BI51" s="180">
        <v>474</v>
      </c>
      <c r="BJ51" s="180">
        <v>0</v>
      </c>
      <c r="BK51" s="180">
        <v>140972</v>
      </c>
      <c r="BL51" s="180"/>
      <c r="BM51" s="180">
        <v>168864</v>
      </c>
      <c r="BN51" s="180">
        <v>0</v>
      </c>
      <c r="BO51" s="180">
        <v>39115</v>
      </c>
      <c r="BP51" s="180">
        <v>12100</v>
      </c>
      <c r="BQ51" s="180">
        <v>0</v>
      </c>
      <c r="BR51" s="180">
        <v>25500</v>
      </c>
      <c r="BS51" s="180">
        <v>0</v>
      </c>
      <c r="BT51" s="180">
        <v>341062</v>
      </c>
      <c r="BU51" s="180">
        <v>10200</v>
      </c>
      <c r="BV51" s="180">
        <v>0</v>
      </c>
      <c r="BW51" s="180">
        <v>107630</v>
      </c>
      <c r="BX51" s="180">
        <v>81232</v>
      </c>
      <c r="BY51" s="180">
        <v>0</v>
      </c>
      <c r="BZ51" s="180">
        <v>21695</v>
      </c>
      <c r="CA51" s="180">
        <v>49000</v>
      </c>
      <c r="CB51" s="180">
        <v>24280</v>
      </c>
      <c r="CC51" s="180"/>
      <c r="CD51" s="180">
        <v>0</v>
      </c>
      <c r="CE51" s="180"/>
      <c r="CF51" s="180"/>
      <c r="CG51" s="180"/>
      <c r="CH51" s="180"/>
      <c r="CI51" s="180"/>
      <c r="CJ51" s="180"/>
      <c r="CK51" s="180"/>
      <c r="CL51" s="180"/>
      <c r="CM51" s="180"/>
      <c r="CN51" s="180"/>
      <c r="CO51" s="180"/>
      <c r="CP51" s="180"/>
      <c r="CQ51" s="180"/>
      <c r="CR51" s="180"/>
      <c r="CS51" s="180"/>
      <c r="CT51" s="180"/>
      <c r="CU51" s="180"/>
    </row>
    <row r="52" spans="1:99" x14ac:dyDescent="0.3">
      <c r="A52" s="155">
        <v>328</v>
      </c>
      <c r="B52" s="180" t="s">
        <v>306</v>
      </c>
      <c r="C52" s="180"/>
      <c r="D52" s="180"/>
      <c r="E52" s="180">
        <v>0</v>
      </c>
      <c r="F52" s="180">
        <v>0</v>
      </c>
      <c r="G52" s="180">
        <v>0</v>
      </c>
      <c r="H52" s="180">
        <v>0</v>
      </c>
      <c r="I52" s="180">
        <v>0</v>
      </c>
      <c r="J52" s="180">
        <v>0</v>
      </c>
      <c r="K52" s="180">
        <v>0</v>
      </c>
      <c r="L52" s="180">
        <v>0</v>
      </c>
      <c r="M52" s="180">
        <v>0</v>
      </c>
      <c r="N52" s="180">
        <v>0</v>
      </c>
      <c r="O52" s="180">
        <v>4632694</v>
      </c>
      <c r="P52" s="180">
        <v>0</v>
      </c>
      <c r="Q52" s="180">
        <v>2257812</v>
      </c>
      <c r="R52" s="180">
        <v>0</v>
      </c>
      <c r="S52" s="180">
        <v>0</v>
      </c>
      <c r="T52" s="180">
        <v>24078263</v>
      </c>
      <c r="U52" s="180">
        <v>0</v>
      </c>
      <c r="V52" s="180">
        <v>83878</v>
      </c>
      <c r="W52" s="180">
        <v>0</v>
      </c>
      <c r="X52" s="180"/>
      <c r="Y52" s="180">
        <v>107175</v>
      </c>
      <c r="Z52" s="180">
        <v>0</v>
      </c>
      <c r="AA52" s="180">
        <v>2391883</v>
      </c>
      <c r="AB52" s="180">
        <v>3894042</v>
      </c>
      <c r="AC52" s="180">
        <v>180475</v>
      </c>
      <c r="AD52" s="180">
        <v>338093</v>
      </c>
      <c r="AE52" s="180">
        <v>0</v>
      </c>
      <c r="AF52" s="180">
        <v>1399038</v>
      </c>
      <c r="AG52" s="180">
        <v>0</v>
      </c>
      <c r="AH52" s="180">
        <v>0</v>
      </c>
      <c r="AI52" s="180">
        <v>1620024</v>
      </c>
      <c r="AJ52" s="180">
        <v>0</v>
      </c>
      <c r="AK52" s="180"/>
      <c r="AL52" s="180"/>
      <c r="AM52" s="180">
        <v>3150752</v>
      </c>
      <c r="AN52" s="180">
        <v>0</v>
      </c>
      <c r="AO52" s="180">
        <v>0</v>
      </c>
      <c r="AP52" s="180">
        <v>0</v>
      </c>
      <c r="AQ52" s="180">
        <v>0</v>
      </c>
      <c r="AR52" s="180">
        <v>3264646</v>
      </c>
      <c r="AS52" s="180"/>
      <c r="AT52" s="180">
        <v>5149981</v>
      </c>
      <c r="AU52" s="180">
        <v>0</v>
      </c>
      <c r="AV52" s="180">
        <v>0</v>
      </c>
      <c r="AW52" s="180">
        <v>0</v>
      </c>
      <c r="AX52" s="180">
        <v>6893610</v>
      </c>
      <c r="AY52" s="180">
        <v>0</v>
      </c>
      <c r="AZ52" s="180">
        <v>0</v>
      </c>
      <c r="BA52" s="180">
        <v>0</v>
      </c>
      <c r="BB52" s="180">
        <v>0</v>
      </c>
      <c r="BC52" s="180">
        <v>0</v>
      </c>
      <c r="BD52" s="180">
        <v>30957146</v>
      </c>
      <c r="BE52" s="180">
        <v>0</v>
      </c>
      <c r="BF52" s="180">
        <v>3000</v>
      </c>
      <c r="BG52" s="180">
        <v>1947194</v>
      </c>
      <c r="BH52" s="180">
        <v>0</v>
      </c>
      <c r="BI52" s="180">
        <v>54000</v>
      </c>
      <c r="BJ52" s="180">
        <v>0</v>
      </c>
      <c r="BK52" s="180">
        <v>0</v>
      </c>
      <c r="BL52" s="180"/>
      <c r="BM52" s="180">
        <v>6631226</v>
      </c>
      <c r="BN52" s="180">
        <v>75937</v>
      </c>
      <c r="BO52" s="180">
        <v>2219582</v>
      </c>
      <c r="BP52" s="180">
        <v>0</v>
      </c>
      <c r="BQ52" s="180">
        <v>0</v>
      </c>
      <c r="BR52" s="180">
        <v>1767841</v>
      </c>
      <c r="BS52" s="180">
        <v>0</v>
      </c>
      <c r="BT52" s="180">
        <v>136189</v>
      </c>
      <c r="BU52" s="180">
        <v>3502790</v>
      </c>
      <c r="BV52" s="180">
        <v>0</v>
      </c>
      <c r="BW52" s="180">
        <v>0</v>
      </c>
      <c r="BX52" s="180">
        <v>40000</v>
      </c>
      <c r="BY52" s="180">
        <v>0</v>
      </c>
      <c r="BZ52" s="180">
        <v>23600</v>
      </c>
      <c r="CA52" s="180">
        <v>0</v>
      </c>
      <c r="CB52" s="180">
        <v>163935</v>
      </c>
      <c r="CC52" s="180"/>
      <c r="CD52" s="180">
        <v>0</v>
      </c>
      <c r="CE52" s="180"/>
      <c r="CF52" s="180"/>
      <c r="CG52" s="180"/>
      <c r="CH52" s="180"/>
      <c r="CI52" s="180"/>
      <c r="CJ52" s="180"/>
      <c r="CK52" s="180"/>
      <c r="CL52" s="180"/>
      <c r="CM52" s="180"/>
      <c r="CN52" s="180"/>
      <c r="CO52" s="180"/>
      <c r="CP52" s="180"/>
      <c r="CQ52" s="180"/>
      <c r="CR52" s="180"/>
      <c r="CS52" s="180"/>
      <c r="CT52" s="180"/>
      <c r="CU52" s="180"/>
    </row>
    <row r="53" spans="1:99" x14ac:dyDescent="0.3">
      <c r="A53" s="155">
        <v>331</v>
      </c>
      <c r="B53" s="180" t="s">
        <v>238</v>
      </c>
      <c r="C53" s="180"/>
      <c r="D53" s="180"/>
      <c r="E53" s="180">
        <v>0</v>
      </c>
      <c r="F53" s="180">
        <v>19153</v>
      </c>
      <c r="G53" s="180">
        <v>0</v>
      </c>
      <c r="H53" s="180">
        <v>0</v>
      </c>
      <c r="I53" s="180">
        <v>0</v>
      </c>
      <c r="J53" s="180">
        <v>9000</v>
      </c>
      <c r="K53" s="180">
        <v>0</v>
      </c>
      <c r="L53" s="180">
        <v>0</v>
      </c>
      <c r="M53" s="180">
        <v>0</v>
      </c>
      <c r="N53" s="180">
        <v>0</v>
      </c>
      <c r="O53" s="180">
        <v>181500</v>
      </c>
      <c r="P53" s="180">
        <v>0</v>
      </c>
      <c r="Q53" s="180">
        <v>1261141</v>
      </c>
      <c r="R53" s="180">
        <v>46322</v>
      </c>
      <c r="S53" s="180">
        <v>0</v>
      </c>
      <c r="T53" s="180">
        <v>4188000</v>
      </c>
      <c r="U53" s="180">
        <v>1215750</v>
      </c>
      <c r="V53" s="180">
        <v>1843313</v>
      </c>
      <c r="W53" s="180">
        <v>0</v>
      </c>
      <c r="X53" s="180"/>
      <c r="Y53" s="180">
        <v>957997</v>
      </c>
      <c r="Z53" s="180">
        <v>167336</v>
      </c>
      <c r="AA53" s="180">
        <v>331386</v>
      </c>
      <c r="AB53" s="180">
        <v>232083</v>
      </c>
      <c r="AC53" s="180">
        <v>155390</v>
      </c>
      <c r="AD53" s="180">
        <v>218700</v>
      </c>
      <c r="AE53" s="180">
        <v>102620</v>
      </c>
      <c r="AF53" s="180">
        <v>38495</v>
      </c>
      <c r="AG53" s="180">
        <v>35600</v>
      </c>
      <c r="AH53" s="180">
        <v>0</v>
      </c>
      <c r="AI53" s="180">
        <v>4764991</v>
      </c>
      <c r="AJ53" s="180">
        <v>0</v>
      </c>
      <c r="AK53" s="180"/>
      <c r="AL53" s="180"/>
      <c r="AM53" s="180">
        <v>1025130</v>
      </c>
      <c r="AN53" s="180">
        <v>22000</v>
      </c>
      <c r="AO53" s="180">
        <v>39862</v>
      </c>
      <c r="AP53" s="180">
        <v>0</v>
      </c>
      <c r="AQ53" s="180">
        <v>0</v>
      </c>
      <c r="AR53" s="180">
        <v>425782</v>
      </c>
      <c r="AS53" s="180"/>
      <c r="AT53" s="180">
        <v>171685</v>
      </c>
      <c r="AU53" s="180">
        <v>0</v>
      </c>
      <c r="AV53" s="180">
        <v>4119975</v>
      </c>
      <c r="AW53" s="180">
        <v>0</v>
      </c>
      <c r="AX53" s="180">
        <v>139296</v>
      </c>
      <c r="AY53" s="180">
        <v>0</v>
      </c>
      <c r="AZ53" s="180">
        <v>34500</v>
      </c>
      <c r="BA53" s="180">
        <v>0</v>
      </c>
      <c r="BB53" s="180">
        <v>0</v>
      </c>
      <c r="BC53" s="180">
        <v>0</v>
      </c>
      <c r="BD53" s="180">
        <v>1517152</v>
      </c>
      <c r="BE53" s="180">
        <v>0</v>
      </c>
      <c r="BF53" s="180">
        <v>29802</v>
      </c>
      <c r="BG53" s="180">
        <v>0</v>
      </c>
      <c r="BH53" s="180">
        <v>0</v>
      </c>
      <c r="BI53" s="180">
        <v>5558</v>
      </c>
      <c r="BJ53" s="180">
        <v>0</v>
      </c>
      <c r="BK53" s="180">
        <v>253111</v>
      </c>
      <c r="BL53" s="180"/>
      <c r="BM53" s="180">
        <v>100232</v>
      </c>
      <c r="BN53" s="180">
        <v>0</v>
      </c>
      <c r="BO53" s="180">
        <v>60387</v>
      </c>
      <c r="BP53" s="180">
        <v>0</v>
      </c>
      <c r="BQ53" s="180">
        <v>0</v>
      </c>
      <c r="BR53" s="180">
        <v>79623</v>
      </c>
      <c r="BS53" s="180">
        <v>0</v>
      </c>
      <c r="BT53" s="180">
        <v>19811</v>
      </c>
      <c r="BU53" s="180">
        <v>128014</v>
      </c>
      <c r="BV53" s="180">
        <v>0</v>
      </c>
      <c r="BW53" s="180">
        <v>172525</v>
      </c>
      <c r="BX53" s="180">
        <v>0</v>
      </c>
      <c r="BY53" s="180">
        <v>0</v>
      </c>
      <c r="BZ53" s="180">
        <v>37083</v>
      </c>
      <c r="CA53" s="180">
        <v>8000</v>
      </c>
      <c r="CB53" s="180">
        <v>54244</v>
      </c>
      <c r="CC53" s="180"/>
      <c r="CD53" s="180">
        <v>0</v>
      </c>
      <c r="CE53" s="180"/>
      <c r="CF53" s="180"/>
      <c r="CG53" s="180"/>
      <c r="CH53" s="180"/>
      <c r="CI53" s="180"/>
      <c r="CJ53" s="180"/>
      <c r="CK53" s="180"/>
      <c r="CL53" s="180"/>
      <c r="CM53" s="180"/>
      <c r="CN53" s="180"/>
      <c r="CO53" s="180"/>
      <c r="CP53" s="180"/>
      <c r="CQ53" s="180"/>
      <c r="CR53" s="180"/>
      <c r="CS53" s="180"/>
      <c r="CT53" s="180"/>
      <c r="CU53" s="180"/>
    </row>
    <row r="54" spans="1:99" x14ac:dyDescent="0.3">
      <c r="A54" s="155">
        <v>332</v>
      </c>
      <c r="B54" s="180" t="s">
        <v>239</v>
      </c>
      <c r="C54" s="180"/>
      <c r="D54" s="180"/>
      <c r="E54" s="180">
        <v>0</v>
      </c>
      <c r="F54" s="180">
        <v>447181</v>
      </c>
      <c r="G54" s="180">
        <v>0</v>
      </c>
      <c r="H54" s="180">
        <v>0</v>
      </c>
      <c r="I54" s="180">
        <v>0</v>
      </c>
      <c r="J54" s="180">
        <v>0</v>
      </c>
      <c r="K54" s="180">
        <v>0</v>
      </c>
      <c r="L54" s="180">
        <v>0</v>
      </c>
      <c r="M54" s="180">
        <v>0</v>
      </c>
      <c r="N54" s="180">
        <v>0</v>
      </c>
      <c r="O54" s="180">
        <v>389437</v>
      </c>
      <c r="P54" s="180">
        <v>0</v>
      </c>
      <c r="Q54" s="180">
        <v>11595711</v>
      </c>
      <c r="R54" s="180">
        <v>10197</v>
      </c>
      <c r="S54" s="180">
        <v>0</v>
      </c>
      <c r="T54" s="180">
        <v>6709967</v>
      </c>
      <c r="U54" s="180">
        <v>229929</v>
      </c>
      <c r="V54" s="180">
        <v>1307694</v>
      </c>
      <c r="W54" s="180">
        <v>0</v>
      </c>
      <c r="X54" s="180"/>
      <c r="Y54" s="180">
        <v>383744</v>
      </c>
      <c r="Z54" s="180">
        <v>111323</v>
      </c>
      <c r="AA54" s="180">
        <v>4880041</v>
      </c>
      <c r="AB54" s="180">
        <v>3281619</v>
      </c>
      <c r="AC54" s="180">
        <v>196207</v>
      </c>
      <c r="AD54" s="180">
        <v>553933</v>
      </c>
      <c r="AE54" s="180">
        <v>550632</v>
      </c>
      <c r="AF54" s="180">
        <v>1518088</v>
      </c>
      <c r="AG54" s="180">
        <v>121288</v>
      </c>
      <c r="AH54" s="180">
        <v>0</v>
      </c>
      <c r="AI54" s="180">
        <v>1907281</v>
      </c>
      <c r="AJ54" s="180">
        <v>67943</v>
      </c>
      <c r="AK54" s="180"/>
      <c r="AL54" s="180"/>
      <c r="AM54" s="180">
        <v>3052069</v>
      </c>
      <c r="AN54" s="180">
        <v>84188</v>
      </c>
      <c r="AO54" s="180">
        <v>0</v>
      </c>
      <c r="AP54" s="180">
        <v>0</v>
      </c>
      <c r="AQ54" s="180">
        <v>0</v>
      </c>
      <c r="AR54" s="180">
        <v>2729583</v>
      </c>
      <c r="AS54" s="180"/>
      <c r="AT54" s="180">
        <v>4359492</v>
      </c>
      <c r="AU54" s="180">
        <v>0</v>
      </c>
      <c r="AV54" s="180">
        <v>616873</v>
      </c>
      <c r="AW54" s="180">
        <v>0</v>
      </c>
      <c r="AX54" s="180">
        <v>6735784</v>
      </c>
      <c r="AY54" s="180">
        <v>0</v>
      </c>
      <c r="AZ54" s="180">
        <v>80701</v>
      </c>
      <c r="BA54" s="180">
        <v>0</v>
      </c>
      <c r="BB54" s="180">
        <v>0</v>
      </c>
      <c r="BC54" s="180">
        <v>0</v>
      </c>
      <c r="BD54" s="180">
        <v>4784881</v>
      </c>
      <c r="BE54" s="180">
        <v>0</v>
      </c>
      <c r="BF54" s="180">
        <v>3000</v>
      </c>
      <c r="BG54" s="180">
        <v>1291733</v>
      </c>
      <c r="BH54" s="180">
        <v>0</v>
      </c>
      <c r="BI54" s="180">
        <v>0</v>
      </c>
      <c r="BJ54" s="180">
        <v>0</v>
      </c>
      <c r="BK54" s="180">
        <v>1357176</v>
      </c>
      <c r="BL54" s="180"/>
      <c r="BM54" s="180">
        <v>4512261</v>
      </c>
      <c r="BN54" s="180">
        <v>0</v>
      </c>
      <c r="BO54" s="180">
        <v>1470966</v>
      </c>
      <c r="BP54" s="180">
        <v>0</v>
      </c>
      <c r="BQ54" s="180">
        <v>0</v>
      </c>
      <c r="BR54" s="180">
        <v>616714</v>
      </c>
      <c r="BS54" s="180">
        <v>0</v>
      </c>
      <c r="BT54" s="180">
        <v>34792</v>
      </c>
      <c r="BU54" s="180">
        <v>1789383</v>
      </c>
      <c r="BV54" s="180">
        <v>0</v>
      </c>
      <c r="BW54" s="180">
        <v>626336</v>
      </c>
      <c r="BX54" s="180">
        <v>6173</v>
      </c>
      <c r="BY54" s="180">
        <v>0</v>
      </c>
      <c r="BZ54" s="180">
        <v>491202</v>
      </c>
      <c r="CA54" s="180">
        <v>0</v>
      </c>
      <c r="CB54" s="180">
        <v>6244</v>
      </c>
      <c r="CC54" s="180"/>
      <c r="CD54" s="180">
        <v>0</v>
      </c>
      <c r="CE54" s="180"/>
      <c r="CF54" s="180"/>
      <c r="CG54" s="180"/>
      <c r="CH54" s="180"/>
      <c r="CI54" s="180"/>
      <c r="CJ54" s="180"/>
      <c r="CK54" s="180"/>
      <c r="CL54" s="180"/>
      <c r="CM54" s="180"/>
      <c r="CN54" s="180"/>
      <c r="CO54" s="180"/>
      <c r="CP54" s="180"/>
      <c r="CQ54" s="180"/>
      <c r="CR54" s="180"/>
      <c r="CS54" s="180"/>
      <c r="CT54" s="180"/>
      <c r="CU54" s="180"/>
    </row>
    <row r="55" spans="1:99" x14ac:dyDescent="0.3">
      <c r="A55" s="155">
        <v>333</v>
      </c>
      <c r="B55" s="180" t="s">
        <v>176</v>
      </c>
      <c r="C55" s="180"/>
      <c r="D55" s="180"/>
      <c r="E55" s="180">
        <v>154776</v>
      </c>
      <c r="F55" s="180">
        <v>911313</v>
      </c>
      <c r="G55" s="180">
        <v>4901217</v>
      </c>
      <c r="H55" s="180">
        <v>6609806</v>
      </c>
      <c r="I55" s="180">
        <v>6455852</v>
      </c>
      <c r="J55" s="180">
        <v>137966</v>
      </c>
      <c r="K55" s="180">
        <v>1061969</v>
      </c>
      <c r="L55" s="180">
        <v>961622</v>
      </c>
      <c r="M55" s="180">
        <v>9342738</v>
      </c>
      <c r="N55" s="180">
        <v>746383</v>
      </c>
      <c r="O55" s="180">
        <v>5951880</v>
      </c>
      <c r="P55" s="180">
        <v>332391</v>
      </c>
      <c r="Q55" s="180">
        <v>53345146</v>
      </c>
      <c r="R55" s="180">
        <v>1140508</v>
      </c>
      <c r="S55" s="180">
        <v>162249</v>
      </c>
      <c r="T55" s="180">
        <v>68398173</v>
      </c>
      <c r="U55" s="180">
        <v>15064060</v>
      </c>
      <c r="V55" s="180">
        <v>29072646</v>
      </c>
      <c r="W55" s="180">
        <v>33418002</v>
      </c>
      <c r="X55" s="180"/>
      <c r="Y55" s="180">
        <v>16893730</v>
      </c>
      <c r="Z55" s="180">
        <v>1157081</v>
      </c>
      <c r="AA55" s="180">
        <v>18371091</v>
      </c>
      <c r="AB55" s="180">
        <v>2111098</v>
      </c>
      <c r="AC55" s="180">
        <v>2492540</v>
      </c>
      <c r="AD55" s="180">
        <v>1621093</v>
      </c>
      <c r="AE55" s="180">
        <v>3995359</v>
      </c>
      <c r="AF55" s="180">
        <v>17729502</v>
      </c>
      <c r="AG55" s="180">
        <v>6734937</v>
      </c>
      <c r="AH55" s="180">
        <v>1512121</v>
      </c>
      <c r="AI55" s="180">
        <v>24183156</v>
      </c>
      <c r="AJ55" s="180">
        <v>3606819</v>
      </c>
      <c r="AK55" s="180"/>
      <c r="AL55" s="180"/>
      <c r="AM55" s="180">
        <v>12636488</v>
      </c>
      <c r="AN55" s="180">
        <v>614706</v>
      </c>
      <c r="AO55" s="180">
        <v>754169</v>
      </c>
      <c r="AP55" s="180">
        <v>102234</v>
      </c>
      <c r="AQ55" s="180">
        <v>14841856</v>
      </c>
      <c r="AR55" s="180">
        <v>19798577</v>
      </c>
      <c r="AS55" s="180"/>
      <c r="AT55" s="180">
        <v>1623794</v>
      </c>
      <c r="AU55" s="180">
        <v>244917</v>
      </c>
      <c r="AV55" s="180">
        <v>29425034</v>
      </c>
      <c r="AW55" s="180">
        <v>3676525</v>
      </c>
      <c r="AX55" s="180">
        <v>945700</v>
      </c>
      <c r="AY55" s="180">
        <v>11403493</v>
      </c>
      <c r="AZ55" s="180">
        <v>2590053</v>
      </c>
      <c r="BA55" s="180">
        <v>773403</v>
      </c>
      <c r="BB55" s="180">
        <v>127262</v>
      </c>
      <c r="BC55" s="180">
        <v>490191</v>
      </c>
      <c r="BD55" s="180">
        <v>8256200</v>
      </c>
      <c r="BE55" s="180">
        <v>660566</v>
      </c>
      <c r="BF55" s="180">
        <v>855966</v>
      </c>
      <c r="BG55" s="180">
        <v>233365</v>
      </c>
      <c r="BH55" s="180">
        <v>298802</v>
      </c>
      <c r="BI55" s="180">
        <v>448296</v>
      </c>
      <c r="BJ55" s="180">
        <v>336897</v>
      </c>
      <c r="BK55" s="180">
        <v>2139160</v>
      </c>
      <c r="BL55" s="180"/>
      <c r="BM55" s="180">
        <v>925758</v>
      </c>
      <c r="BN55" s="180">
        <v>7170087</v>
      </c>
      <c r="BO55" s="180">
        <v>1430389</v>
      </c>
      <c r="BP55" s="180">
        <v>2023695</v>
      </c>
      <c r="BQ55" s="180">
        <v>15202924</v>
      </c>
      <c r="BR55" s="180">
        <v>611179</v>
      </c>
      <c r="BS55" s="180">
        <v>26898950</v>
      </c>
      <c r="BT55" s="180">
        <v>579903</v>
      </c>
      <c r="BU55" s="180">
        <v>7599934</v>
      </c>
      <c r="BV55" s="180">
        <v>2472095</v>
      </c>
      <c r="BW55" s="180">
        <v>1876370</v>
      </c>
      <c r="BX55" s="180">
        <v>1994675</v>
      </c>
      <c r="BY55" s="180">
        <v>218798</v>
      </c>
      <c r="BZ55" s="180">
        <v>610095</v>
      </c>
      <c r="CA55" s="180">
        <v>173799</v>
      </c>
      <c r="CB55" s="180">
        <v>181448</v>
      </c>
      <c r="CC55" s="180"/>
      <c r="CD55" s="180">
        <v>416328</v>
      </c>
      <c r="CE55" s="180"/>
      <c r="CF55" s="180"/>
      <c r="CG55" s="180"/>
      <c r="CH55" s="180"/>
      <c r="CI55" s="180"/>
      <c r="CJ55" s="180"/>
      <c r="CK55" s="180"/>
      <c r="CL55" s="180"/>
      <c r="CM55" s="180"/>
      <c r="CN55" s="180"/>
      <c r="CO55" s="180"/>
      <c r="CP55" s="180"/>
      <c r="CQ55" s="180"/>
      <c r="CR55" s="180"/>
      <c r="CS55" s="180"/>
      <c r="CT55" s="180"/>
      <c r="CU55" s="180"/>
    </row>
    <row r="56" spans="1:99" x14ac:dyDescent="0.3">
      <c r="A56" s="155">
        <v>334</v>
      </c>
      <c r="B56" s="180" t="s">
        <v>261</v>
      </c>
      <c r="C56" s="180"/>
      <c r="D56" s="180"/>
      <c r="E56" s="180">
        <v>247223</v>
      </c>
      <c r="F56" s="180">
        <v>2133674</v>
      </c>
      <c r="G56" s="180">
        <v>8087877</v>
      </c>
      <c r="H56" s="180">
        <v>1907822</v>
      </c>
      <c r="I56" s="180">
        <v>5377592</v>
      </c>
      <c r="J56" s="180">
        <v>71608</v>
      </c>
      <c r="K56" s="180">
        <v>1153000</v>
      </c>
      <c r="L56" s="180">
        <v>818380</v>
      </c>
      <c r="M56" s="180">
        <v>100627307</v>
      </c>
      <c r="N56" s="180">
        <v>753898</v>
      </c>
      <c r="O56" s="180">
        <v>14194974</v>
      </c>
      <c r="P56" s="180">
        <v>253777</v>
      </c>
      <c r="Q56" s="180">
        <v>166121493</v>
      </c>
      <c r="R56" s="180">
        <v>6753003</v>
      </c>
      <c r="S56" s="180">
        <v>300166</v>
      </c>
      <c r="T56" s="180">
        <v>186271275</v>
      </c>
      <c r="U56" s="180">
        <v>53222500</v>
      </c>
      <c r="V56" s="180">
        <v>101508209</v>
      </c>
      <c r="W56" s="180">
        <v>167249785</v>
      </c>
      <c r="X56" s="180"/>
      <c r="Y56" s="180">
        <v>50853477</v>
      </c>
      <c r="Z56" s="180">
        <v>3516719</v>
      </c>
      <c r="AA56" s="180">
        <v>33714468</v>
      </c>
      <c r="AB56" s="180">
        <v>12409746</v>
      </c>
      <c r="AC56" s="180">
        <v>5898717</v>
      </c>
      <c r="AD56" s="180">
        <v>4613091</v>
      </c>
      <c r="AE56" s="180">
        <v>7494856</v>
      </c>
      <c r="AF56" s="180">
        <v>115742975</v>
      </c>
      <c r="AG56" s="180">
        <v>12404704</v>
      </c>
      <c r="AH56" s="180">
        <v>3804231</v>
      </c>
      <c r="AI56" s="180">
        <v>85175153</v>
      </c>
      <c r="AJ56" s="180">
        <v>5553310</v>
      </c>
      <c r="AK56" s="180"/>
      <c r="AL56" s="180"/>
      <c r="AM56" s="180">
        <v>41598935</v>
      </c>
      <c r="AN56" s="180">
        <v>648830</v>
      </c>
      <c r="AO56" s="180">
        <v>975078</v>
      </c>
      <c r="AP56" s="180">
        <v>147732</v>
      </c>
      <c r="AQ56" s="180">
        <v>36327617</v>
      </c>
      <c r="AR56" s="180">
        <v>49419365</v>
      </c>
      <c r="AS56" s="180"/>
      <c r="AT56" s="180">
        <v>4187527</v>
      </c>
      <c r="AU56" s="180">
        <v>410123</v>
      </c>
      <c r="AV56" s="180">
        <v>32484039</v>
      </c>
      <c r="AW56" s="180">
        <v>6769126</v>
      </c>
      <c r="AX56" s="180">
        <v>5886020</v>
      </c>
      <c r="AY56" s="180">
        <v>13396355</v>
      </c>
      <c r="AZ56" s="180">
        <v>3451871</v>
      </c>
      <c r="BA56" s="180">
        <v>3588906</v>
      </c>
      <c r="BB56" s="180">
        <v>0</v>
      </c>
      <c r="BC56" s="180">
        <v>33036</v>
      </c>
      <c r="BD56" s="180">
        <v>16983720</v>
      </c>
      <c r="BE56" s="180">
        <v>116463</v>
      </c>
      <c r="BF56" s="180">
        <v>388338</v>
      </c>
      <c r="BG56" s="180">
        <v>361770</v>
      </c>
      <c r="BH56" s="180">
        <v>199999</v>
      </c>
      <c r="BI56" s="180">
        <v>535867</v>
      </c>
      <c r="BJ56" s="180">
        <v>234978</v>
      </c>
      <c r="BK56" s="180">
        <v>11087161</v>
      </c>
      <c r="BL56" s="180"/>
      <c r="BM56" s="180">
        <v>694841</v>
      </c>
      <c r="BN56" s="180">
        <v>10855098</v>
      </c>
      <c r="BO56" s="180">
        <v>2660499</v>
      </c>
      <c r="BP56" s="180">
        <v>5143931</v>
      </c>
      <c r="BQ56" s="180">
        <v>49050711</v>
      </c>
      <c r="BR56" s="180">
        <v>2267252</v>
      </c>
      <c r="BS56" s="180">
        <v>42886521</v>
      </c>
      <c r="BT56" s="180">
        <v>2822799</v>
      </c>
      <c r="BU56" s="180">
        <v>6350066</v>
      </c>
      <c r="BV56" s="180">
        <v>3283761</v>
      </c>
      <c r="BW56" s="180">
        <v>6756626</v>
      </c>
      <c r="BX56" s="180">
        <v>1027528</v>
      </c>
      <c r="BY56" s="180">
        <v>183210</v>
      </c>
      <c r="BZ56" s="180">
        <v>1622320</v>
      </c>
      <c r="CA56" s="180">
        <v>119171</v>
      </c>
      <c r="CB56" s="180">
        <v>2213624</v>
      </c>
      <c r="CC56" s="180"/>
      <c r="CD56" s="180">
        <v>199375</v>
      </c>
      <c r="CE56" s="180"/>
      <c r="CF56" s="180"/>
      <c r="CG56" s="180"/>
      <c r="CH56" s="180"/>
      <c r="CI56" s="180"/>
      <c r="CJ56" s="180"/>
      <c r="CK56" s="180"/>
      <c r="CL56" s="180"/>
      <c r="CM56" s="180"/>
      <c r="CN56" s="180"/>
      <c r="CO56" s="180"/>
      <c r="CP56" s="180"/>
      <c r="CQ56" s="180"/>
      <c r="CR56" s="180"/>
      <c r="CS56" s="180"/>
      <c r="CT56" s="180"/>
      <c r="CU56" s="180"/>
    </row>
    <row r="57" spans="1:99" x14ac:dyDescent="0.3">
      <c r="A57" s="155">
        <v>335</v>
      </c>
      <c r="B57" s="180" t="s">
        <v>109</v>
      </c>
      <c r="C57" s="180"/>
      <c r="D57" s="180"/>
      <c r="E57" s="180">
        <v>0</v>
      </c>
      <c r="F57" s="180">
        <v>77595</v>
      </c>
      <c r="G57" s="180">
        <v>0</v>
      </c>
      <c r="H57" s="180">
        <v>0</v>
      </c>
      <c r="I57" s="180">
        <v>406835</v>
      </c>
      <c r="J57" s="180">
        <v>0</v>
      </c>
      <c r="K57" s="180">
        <v>0</v>
      </c>
      <c r="L57" s="180">
        <v>33028</v>
      </c>
      <c r="M57" s="180">
        <v>3994413</v>
      </c>
      <c r="N57" s="180">
        <v>0</v>
      </c>
      <c r="O57" s="180">
        <v>0</v>
      </c>
      <c r="P57" s="180">
        <v>0</v>
      </c>
      <c r="Q57" s="180">
        <v>2055</v>
      </c>
      <c r="R57" s="180">
        <v>0</v>
      </c>
      <c r="S57" s="180">
        <v>15094</v>
      </c>
      <c r="T57" s="180">
        <v>792506</v>
      </c>
      <c r="U57" s="180">
        <v>1354696</v>
      </c>
      <c r="V57" s="180">
        <v>0</v>
      </c>
      <c r="W57" s="180">
        <v>0</v>
      </c>
      <c r="X57" s="180"/>
      <c r="Y57" s="180">
        <v>2160544</v>
      </c>
      <c r="Z57" s="180">
        <v>0</v>
      </c>
      <c r="AA57" s="180">
        <v>0</v>
      </c>
      <c r="AB57" s="180">
        <v>0</v>
      </c>
      <c r="AC57" s="180">
        <v>0</v>
      </c>
      <c r="AD57" s="180">
        <v>0</v>
      </c>
      <c r="AE57" s="180">
        <v>0</v>
      </c>
      <c r="AF57" s="180">
        <v>1415764</v>
      </c>
      <c r="AG57" s="180">
        <v>0</v>
      </c>
      <c r="AH57" s="180">
        <v>0</v>
      </c>
      <c r="AI57" s="180">
        <v>0</v>
      </c>
      <c r="AJ57" s="180">
        <v>0</v>
      </c>
      <c r="AK57" s="180"/>
      <c r="AL57" s="180"/>
      <c r="AM57" s="180">
        <v>2179563</v>
      </c>
      <c r="AN57" s="180">
        <v>13765</v>
      </c>
      <c r="AO57" s="180">
        <v>0</v>
      </c>
      <c r="AP57" s="180">
        <v>0</v>
      </c>
      <c r="AQ57" s="180">
        <v>0</v>
      </c>
      <c r="AR57" s="180">
        <v>0</v>
      </c>
      <c r="AS57" s="180"/>
      <c r="AT57" s="180">
        <v>0</v>
      </c>
      <c r="AU57" s="180">
        <v>0</v>
      </c>
      <c r="AV57" s="180">
        <v>0</v>
      </c>
      <c r="AW57" s="180">
        <v>828051</v>
      </c>
      <c r="AX57" s="180">
        <v>0</v>
      </c>
      <c r="AY57" s="180">
        <v>0</v>
      </c>
      <c r="AZ57" s="180">
        <v>0</v>
      </c>
      <c r="BA57" s="180">
        <v>0</v>
      </c>
      <c r="BB57" s="180">
        <v>0</v>
      </c>
      <c r="BC57" s="180">
        <v>0</v>
      </c>
      <c r="BD57" s="180">
        <v>0</v>
      </c>
      <c r="BE57" s="180">
        <v>0</v>
      </c>
      <c r="BF57" s="180">
        <v>0</v>
      </c>
      <c r="BG57" s="180">
        <v>39168</v>
      </c>
      <c r="BH57" s="180">
        <v>35336</v>
      </c>
      <c r="BI57" s="180">
        <v>0</v>
      </c>
      <c r="BJ57" s="180">
        <v>0</v>
      </c>
      <c r="BK57" s="180">
        <v>0</v>
      </c>
      <c r="BL57" s="180"/>
      <c r="BM57" s="180">
        <v>0</v>
      </c>
      <c r="BN57" s="180">
        <v>43809</v>
      </c>
      <c r="BO57" s="180">
        <v>0</v>
      </c>
      <c r="BP57" s="180">
        <v>0</v>
      </c>
      <c r="BQ57" s="180">
        <v>2648376</v>
      </c>
      <c r="BR57" s="180">
        <v>0</v>
      </c>
      <c r="BS57" s="180">
        <v>0</v>
      </c>
      <c r="BT57" s="180">
        <v>0</v>
      </c>
      <c r="BU57" s="180">
        <v>0</v>
      </c>
      <c r="BV57" s="180">
        <v>0</v>
      </c>
      <c r="BW57" s="180">
        <v>0</v>
      </c>
      <c r="BX57" s="180">
        <v>0</v>
      </c>
      <c r="BY57" s="180">
        <v>37915</v>
      </c>
      <c r="BZ57" s="180">
        <v>228096</v>
      </c>
      <c r="CA57" s="180">
        <v>0</v>
      </c>
      <c r="CB57" s="180">
        <v>222770</v>
      </c>
      <c r="CC57" s="180"/>
      <c r="CD57" s="180">
        <v>0</v>
      </c>
      <c r="CE57" s="180"/>
      <c r="CF57" s="180"/>
      <c r="CG57" s="180"/>
      <c r="CH57" s="180"/>
      <c r="CI57" s="180"/>
      <c r="CJ57" s="180"/>
      <c r="CK57" s="180"/>
      <c r="CL57" s="180"/>
      <c r="CM57" s="180"/>
      <c r="CN57" s="180"/>
      <c r="CO57" s="180"/>
      <c r="CP57" s="180"/>
      <c r="CQ57" s="180"/>
      <c r="CR57" s="180"/>
      <c r="CS57" s="180"/>
      <c r="CT57" s="180"/>
      <c r="CU57" s="180"/>
    </row>
    <row r="58" spans="1:99" x14ac:dyDescent="0.3">
      <c r="A58" s="559">
        <v>336</v>
      </c>
      <c r="B58" s="560" t="s">
        <v>921</v>
      </c>
      <c r="C58" s="560"/>
      <c r="D58" s="560"/>
      <c r="E58" s="560">
        <v>22201</v>
      </c>
      <c r="F58" s="560">
        <v>119273</v>
      </c>
      <c r="G58" s="560">
        <v>308210</v>
      </c>
      <c r="H58" s="560">
        <v>42059</v>
      </c>
      <c r="I58" s="560">
        <v>60898</v>
      </c>
      <c r="J58" s="560">
        <v>377</v>
      </c>
      <c r="K58" s="560">
        <v>146585</v>
      </c>
      <c r="L58" s="560">
        <v>38980</v>
      </c>
      <c r="M58" s="560">
        <v>5392249</v>
      </c>
      <c r="N58" s="560">
        <v>38031</v>
      </c>
      <c r="O58" s="560">
        <v>270026</v>
      </c>
      <c r="P58" s="560">
        <v>780</v>
      </c>
      <c r="Q58" s="560">
        <v>8691620</v>
      </c>
      <c r="R58" s="560">
        <v>102761</v>
      </c>
      <c r="S58" s="560">
        <v>2483</v>
      </c>
      <c r="T58" s="560">
        <v>15063266</v>
      </c>
      <c r="U58" s="560">
        <v>3401733</v>
      </c>
      <c r="V58" s="560">
        <v>5399143</v>
      </c>
      <c r="W58" s="560">
        <v>12597200</v>
      </c>
      <c r="X58" s="560"/>
      <c r="Y58" s="560">
        <v>3631884</v>
      </c>
      <c r="Z58" s="560">
        <v>79130</v>
      </c>
      <c r="AA58" s="560">
        <v>3994880</v>
      </c>
      <c r="AB58" s="560">
        <v>319527</v>
      </c>
      <c r="AC58" s="560">
        <v>135801</v>
      </c>
      <c r="AD58" s="560">
        <v>62904</v>
      </c>
      <c r="AE58" s="560">
        <v>250988</v>
      </c>
      <c r="AF58" s="560">
        <v>6172121</v>
      </c>
      <c r="AG58" s="560">
        <v>525008</v>
      </c>
      <c r="AH58" s="560">
        <v>32041</v>
      </c>
      <c r="AI58" s="560">
        <v>13393945</v>
      </c>
      <c r="AJ58" s="560">
        <v>10579</v>
      </c>
      <c r="AK58" s="560"/>
      <c r="AL58" s="560"/>
      <c r="AM58" s="560">
        <v>4395098</v>
      </c>
      <c r="AN58" s="560">
        <v>72456</v>
      </c>
      <c r="AO58" s="560">
        <v>30964</v>
      </c>
      <c r="AP58" s="560">
        <v>0</v>
      </c>
      <c r="AQ58" s="560">
        <v>2376576</v>
      </c>
      <c r="AR58" s="560">
        <v>160379</v>
      </c>
      <c r="AS58" s="560"/>
      <c r="AT58" s="560">
        <v>451223</v>
      </c>
      <c r="AU58" s="560">
        <v>7545</v>
      </c>
      <c r="AV58" s="560">
        <v>460713</v>
      </c>
      <c r="AW58" s="560">
        <v>1136880</v>
      </c>
      <c r="AX58" s="560">
        <v>34734</v>
      </c>
      <c r="AY58" s="560">
        <v>1520593</v>
      </c>
      <c r="AZ58" s="560">
        <v>25965</v>
      </c>
      <c r="BA58" s="560">
        <v>41656</v>
      </c>
      <c r="BB58" s="560">
        <v>0</v>
      </c>
      <c r="BC58" s="560">
        <v>10959</v>
      </c>
      <c r="BD58" s="560">
        <v>678173</v>
      </c>
      <c r="BE58" s="560">
        <v>30798</v>
      </c>
      <c r="BF58" s="560">
        <v>13125</v>
      </c>
      <c r="BG58" s="560">
        <v>13182</v>
      </c>
      <c r="BH58" s="560">
        <v>780</v>
      </c>
      <c r="BI58" s="560">
        <v>2698</v>
      </c>
      <c r="BJ58" s="560">
        <v>51967</v>
      </c>
      <c r="BK58" s="560">
        <v>1175221</v>
      </c>
      <c r="BL58" s="560"/>
      <c r="BM58" s="560">
        <v>123243</v>
      </c>
      <c r="BN58" s="560">
        <v>373206</v>
      </c>
      <c r="BO58" s="560">
        <v>70887</v>
      </c>
      <c r="BP58" s="560">
        <v>31187</v>
      </c>
      <c r="BQ58" s="560">
        <v>2034902</v>
      </c>
      <c r="BR58" s="560">
        <v>94181</v>
      </c>
      <c r="BS58">
        <v>4667328</v>
      </c>
      <c r="BT58">
        <v>96724</v>
      </c>
      <c r="BU58">
        <v>555102</v>
      </c>
      <c r="BV58">
        <v>42493</v>
      </c>
      <c r="BW58">
        <v>200662</v>
      </c>
      <c r="BX58">
        <v>45071</v>
      </c>
      <c r="BY58">
        <v>1783</v>
      </c>
      <c r="BZ58">
        <v>1250334</v>
      </c>
      <c r="CA58">
        <v>11009</v>
      </c>
      <c r="CB58">
        <v>486306</v>
      </c>
      <c r="CD58">
        <v>24574</v>
      </c>
    </row>
    <row r="59" spans="1:99" x14ac:dyDescent="0.3">
      <c r="A59" s="155">
        <v>337</v>
      </c>
      <c r="B59" s="180" t="s">
        <v>245</v>
      </c>
      <c r="C59" s="180"/>
      <c r="D59" s="180"/>
      <c r="E59" s="180">
        <v>0</v>
      </c>
      <c r="F59" s="180">
        <v>67442</v>
      </c>
      <c r="G59" s="180">
        <v>0</v>
      </c>
      <c r="H59" s="180">
        <v>0</v>
      </c>
      <c r="I59" s="180">
        <v>0</v>
      </c>
      <c r="J59" s="180">
        <v>0</v>
      </c>
      <c r="K59" s="180">
        <v>0</v>
      </c>
      <c r="L59" s="180">
        <v>0</v>
      </c>
      <c r="M59" s="180">
        <v>0</v>
      </c>
      <c r="N59" s="180">
        <v>0</v>
      </c>
      <c r="O59" s="180">
        <v>516489</v>
      </c>
      <c r="P59" s="180">
        <v>0</v>
      </c>
      <c r="Q59" s="180">
        <v>28339154</v>
      </c>
      <c r="R59" s="180">
        <v>864799</v>
      </c>
      <c r="S59" s="180">
        <v>0</v>
      </c>
      <c r="T59" s="180">
        <v>71434253</v>
      </c>
      <c r="U59" s="180">
        <v>9731739</v>
      </c>
      <c r="V59" s="180">
        <v>6024827</v>
      </c>
      <c r="W59" s="180">
        <v>44470407</v>
      </c>
      <c r="X59" s="180"/>
      <c r="Y59" s="180">
        <v>796074</v>
      </c>
      <c r="Z59" s="180">
        <v>0</v>
      </c>
      <c r="AA59" s="180">
        <v>7521960</v>
      </c>
      <c r="AB59" s="180">
        <v>867555</v>
      </c>
      <c r="AC59" s="180">
        <v>573501</v>
      </c>
      <c r="AD59" s="180">
        <v>0</v>
      </c>
      <c r="AE59" s="180">
        <v>1781108</v>
      </c>
      <c r="AF59" s="180">
        <v>9748728</v>
      </c>
      <c r="AG59" s="180">
        <v>220251</v>
      </c>
      <c r="AH59" s="180">
        <v>179590</v>
      </c>
      <c r="AI59" s="180">
        <v>9416263</v>
      </c>
      <c r="AJ59" s="180">
        <v>0</v>
      </c>
      <c r="AK59" s="180"/>
      <c r="AL59" s="180"/>
      <c r="AM59" s="180">
        <v>8049463</v>
      </c>
      <c r="AN59" s="180">
        <v>0</v>
      </c>
      <c r="AO59" s="180">
        <v>159478</v>
      </c>
      <c r="AP59" s="180">
        <v>0</v>
      </c>
      <c r="AQ59" s="180">
        <v>13218017</v>
      </c>
      <c r="AR59" s="180">
        <v>0</v>
      </c>
      <c r="AS59" s="180"/>
      <c r="AT59" s="180">
        <v>388564</v>
      </c>
      <c r="AU59" s="180">
        <v>0</v>
      </c>
      <c r="AV59" s="180">
        <v>12075881</v>
      </c>
      <c r="AW59" s="180">
        <v>1080000</v>
      </c>
      <c r="AX59" s="180">
        <v>0</v>
      </c>
      <c r="AY59" s="180">
        <v>7538225</v>
      </c>
      <c r="AZ59" s="180">
        <v>0</v>
      </c>
      <c r="BA59" s="180">
        <v>0</v>
      </c>
      <c r="BB59" s="180">
        <v>0</v>
      </c>
      <c r="BC59" s="180">
        <v>0</v>
      </c>
      <c r="BD59" s="180">
        <v>1633165</v>
      </c>
      <c r="BE59" s="180">
        <v>0</v>
      </c>
      <c r="BF59" s="180">
        <v>0</v>
      </c>
      <c r="BG59" s="180">
        <v>70021</v>
      </c>
      <c r="BH59" s="180">
        <v>0</v>
      </c>
      <c r="BI59" s="180">
        <v>0</v>
      </c>
      <c r="BJ59" s="180">
        <v>18462</v>
      </c>
      <c r="BK59" s="180">
        <v>1934109</v>
      </c>
      <c r="BL59" s="180"/>
      <c r="BM59" s="180">
        <v>284056</v>
      </c>
      <c r="BN59" s="180">
        <v>1174298</v>
      </c>
      <c r="BO59" s="180">
        <v>772734</v>
      </c>
      <c r="BP59" s="180">
        <v>1095025</v>
      </c>
      <c r="BQ59" s="180">
        <v>0</v>
      </c>
      <c r="BR59" s="180">
        <v>304173</v>
      </c>
      <c r="BS59">
        <v>21000000</v>
      </c>
      <c r="BT59">
        <v>121676</v>
      </c>
      <c r="BU59">
        <v>235689</v>
      </c>
      <c r="BV59">
        <v>0</v>
      </c>
      <c r="BW59">
        <v>318905</v>
      </c>
      <c r="BX59">
        <v>9357</v>
      </c>
      <c r="BY59">
        <v>0</v>
      </c>
      <c r="BZ59">
        <v>0</v>
      </c>
      <c r="CA59">
        <v>0</v>
      </c>
      <c r="CB59">
        <v>487651</v>
      </c>
      <c r="CD59">
        <v>0</v>
      </c>
    </row>
    <row r="60" spans="1:99" x14ac:dyDescent="0.3">
      <c r="A60" s="563">
        <v>338</v>
      </c>
      <c r="B60" s="564" t="s">
        <v>108</v>
      </c>
      <c r="C60" s="564"/>
      <c r="D60" s="564"/>
      <c r="E60" s="564">
        <v>55364</v>
      </c>
      <c r="F60" s="564">
        <v>427538</v>
      </c>
      <c r="G60" s="564">
        <v>1029235</v>
      </c>
      <c r="H60" s="564">
        <v>843731</v>
      </c>
      <c r="I60" s="564">
        <v>724853</v>
      </c>
      <c r="J60" s="564">
        <v>23801</v>
      </c>
      <c r="K60" s="564">
        <v>175638</v>
      </c>
      <c r="L60" s="564">
        <v>38980</v>
      </c>
      <c r="M60" s="564">
        <v>17833660</v>
      </c>
      <c r="N60" s="564">
        <v>302389</v>
      </c>
      <c r="O60" s="564">
        <v>3995637</v>
      </c>
      <c r="P60" s="564">
        <v>19920</v>
      </c>
      <c r="Q60" s="564">
        <v>94308410</v>
      </c>
      <c r="R60" s="564">
        <v>1477083</v>
      </c>
      <c r="S60" s="564">
        <v>17577</v>
      </c>
      <c r="T60" s="564">
        <v>178688896</v>
      </c>
      <c r="U60" s="564">
        <v>27225830</v>
      </c>
      <c r="V60" s="564">
        <v>36918997</v>
      </c>
      <c r="W60" s="564">
        <v>73894523</v>
      </c>
      <c r="X60" s="564"/>
      <c r="Y60" s="564">
        <v>9940277</v>
      </c>
      <c r="Z60" s="564">
        <v>656319</v>
      </c>
      <c r="AA60" s="564">
        <v>21707965</v>
      </c>
      <c r="AB60" s="564">
        <v>2901505</v>
      </c>
      <c r="AC60" s="564">
        <v>812308</v>
      </c>
      <c r="AD60" s="564">
        <v>838037</v>
      </c>
      <c r="AE60" s="564">
        <v>2915154</v>
      </c>
      <c r="AF60" s="564">
        <v>25023081</v>
      </c>
      <c r="AG60" s="564">
        <v>3414585</v>
      </c>
      <c r="AH60" s="564">
        <v>346984</v>
      </c>
      <c r="AI60" s="564">
        <v>86668326</v>
      </c>
      <c r="AJ60" s="564">
        <v>41866</v>
      </c>
      <c r="AK60" s="564"/>
      <c r="AL60" s="564"/>
      <c r="AM60" s="564">
        <v>18434888</v>
      </c>
      <c r="AN60" s="564">
        <v>339466</v>
      </c>
      <c r="AO60" s="564">
        <v>349793</v>
      </c>
      <c r="AP60" s="564">
        <v>0</v>
      </c>
      <c r="AQ60" s="564">
        <v>15484417</v>
      </c>
      <c r="AR60" s="564">
        <v>49683079</v>
      </c>
      <c r="AS60" s="564"/>
      <c r="AT60" s="564">
        <v>1991622</v>
      </c>
      <c r="AU60" s="564">
        <v>94376</v>
      </c>
      <c r="AV60" s="564">
        <v>21143050</v>
      </c>
      <c r="AW60" s="564">
        <v>2270775</v>
      </c>
      <c r="AX60" s="564">
        <v>609439</v>
      </c>
      <c r="AY60" s="564">
        <v>9931441</v>
      </c>
      <c r="AZ60" s="564">
        <v>275522</v>
      </c>
      <c r="BA60" s="564">
        <v>208842</v>
      </c>
      <c r="BB60" s="564">
        <v>0</v>
      </c>
      <c r="BC60" s="564">
        <v>92040</v>
      </c>
      <c r="BD60" s="564">
        <v>16277635</v>
      </c>
      <c r="BE60" s="564">
        <v>30798</v>
      </c>
      <c r="BF60" s="564">
        <v>120109</v>
      </c>
      <c r="BG60" s="564">
        <v>111207</v>
      </c>
      <c r="BH60" s="564">
        <v>36116</v>
      </c>
      <c r="BI60" s="564">
        <v>88959</v>
      </c>
      <c r="BJ60" s="564">
        <v>51967</v>
      </c>
      <c r="BK60" s="564">
        <v>5809003</v>
      </c>
      <c r="BL60" s="564"/>
      <c r="BM60" s="564">
        <v>887977</v>
      </c>
      <c r="BN60" s="564">
        <v>3247380</v>
      </c>
      <c r="BO60" s="564">
        <v>1585504</v>
      </c>
      <c r="BP60" s="564">
        <v>1704289</v>
      </c>
      <c r="BQ60" s="564">
        <v>11145906</v>
      </c>
      <c r="BR60" s="564">
        <v>984333</v>
      </c>
      <c r="BS60">
        <v>33269113</v>
      </c>
      <c r="BT60">
        <v>417998</v>
      </c>
      <c r="BU60">
        <v>3880059</v>
      </c>
      <c r="BV60">
        <v>675171</v>
      </c>
      <c r="BW60">
        <v>1547402</v>
      </c>
      <c r="BX60">
        <v>1365313</v>
      </c>
      <c r="BY60">
        <v>39698</v>
      </c>
      <c r="BZ60">
        <v>1481922</v>
      </c>
      <c r="CA60">
        <v>50150</v>
      </c>
      <c r="CB60">
        <v>1218601</v>
      </c>
      <c r="CD60">
        <v>24574</v>
      </c>
    </row>
    <row r="61" spans="1:99" x14ac:dyDescent="0.3">
      <c r="A61" s="155">
        <v>339</v>
      </c>
      <c r="B61" s="180" t="s">
        <v>181</v>
      </c>
      <c r="C61" s="180"/>
      <c r="D61" s="180"/>
      <c r="E61" s="180">
        <v>12406</v>
      </c>
      <c r="F61" s="180">
        <v>269009</v>
      </c>
      <c r="G61" s="180">
        <v>134670</v>
      </c>
      <c r="H61" s="180">
        <v>0</v>
      </c>
      <c r="I61" s="180">
        <v>16035</v>
      </c>
      <c r="J61" s="180">
        <v>0</v>
      </c>
      <c r="K61" s="180">
        <v>4825</v>
      </c>
      <c r="L61" s="180">
        <v>4715</v>
      </c>
      <c r="M61" s="180">
        <v>0</v>
      </c>
      <c r="N61" s="180">
        <v>254616</v>
      </c>
      <c r="O61" s="180">
        <v>210519</v>
      </c>
      <c r="P61" s="180">
        <v>775</v>
      </c>
      <c r="Q61" s="180">
        <v>12768708</v>
      </c>
      <c r="R61" s="180">
        <v>112415</v>
      </c>
      <c r="S61" s="180">
        <v>0</v>
      </c>
      <c r="T61" s="180">
        <v>6974717</v>
      </c>
      <c r="U61" s="180">
        <v>2081615</v>
      </c>
      <c r="V61" s="180">
        <v>3991899</v>
      </c>
      <c r="W61" s="180">
        <v>2341431</v>
      </c>
      <c r="X61" s="180"/>
      <c r="Y61" s="180">
        <v>1280090</v>
      </c>
      <c r="Z61" s="180">
        <v>121755</v>
      </c>
      <c r="AA61" s="180">
        <v>1162141</v>
      </c>
      <c r="AB61" s="180">
        <v>694512</v>
      </c>
      <c r="AC61" s="180">
        <v>57446</v>
      </c>
      <c r="AD61" s="180">
        <v>334468</v>
      </c>
      <c r="AE61" s="180">
        <v>32851</v>
      </c>
      <c r="AF61" s="180">
        <v>702577</v>
      </c>
      <c r="AG61" s="180">
        <v>945343</v>
      </c>
      <c r="AH61" s="180">
        <v>23907</v>
      </c>
      <c r="AI61" s="180">
        <v>1898420</v>
      </c>
      <c r="AJ61" s="180">
        <v>5745</v>
      </c>
      <c r="AK61" s="180"/>
      <c r="AL61" s="180"/>
      <c r="AM61" s="180">
        <v>1813684</v>
      </c>
      <c r="AN61" s="180">
        <v>57074</v>
      </c>
      <c r="AO61" s="180">
        <v>1047</v>
      </c>
      <c r="AP61" s="180">
        <v>1650</v>
      </c>
      <c r="AQ61" s="180">
        <v>1386750</v>
      </c>
      <c r="AR61" s="180">
        <v>420328</v>
      </c>
      <c r="AS61" s="180"/>
      <c r="AT61" s="180">
        <v>221940</v>
      </c>
      <c r="AU61" s="180">
        <v>1850</v>
      </c>
      <c r="AV61" s="180">
        <v>2630603</v>
      </c>
      <c r="AW61" s="180">
        <v>48214</v>
      </c>
      <c r="AX61" s="180">
        <v>93755</v>
      </c>
      <c r="AY61" s="180">
        <v>3742372</v>
      </c>
      <c r="AZ61" s="180">
        <v>54484</v>
      </c>
      <c r="BA61" s="180">
        <v>138212</v>
      </c>
      <c r="BB61" s="180">
        <v>0</v>
      </c>
      <c r="BC61" s="180">
        <v>27126</v>
      </c>
      <c r="BD61" s="180">
        <v>2497226</v>
      </c>
      <c r="BE61" s="180">
        <v>2725</v>
      </c>
      <c r="BF61" s="180">
        <v>48186</v>
      </c>
      <c r="BG61" s="180">
        <v>0</v>
      </c>
      <c r="BH61" s="180">
        <v>0</v>
      </c>
      <c r="BI61" s="180">
        <v>32655</v>
      </c>
      <c r="BJ61" s="180">
        <v>14899</v>
      </c>
      <c r="BK61" s="180">
        <v>604323</v>
      </c>
      <c r="BL61" s="180"/>
      <c r="BM61" s="180">
        <v>418582</v>
      </c>
      <c r="BN61" s="180">
        <v>1222395</v>
      </c>
      <c r="BO61" s="180">
        <v>344817</v>
      </c>
      <c r="BP61" s="180">
        <v>46967</v>
      </c>
      <c r="BQ61" s="180">
        <v>1701376</v>
      </c>
      <c r="BR61" s="180">
        <v>145119</v>
      </c>
      <c r="BS61" s="180">
        <v>1159970</v>
      </c>
      <c r="BT61" s="180">
        <v>109229</v>
      </c>
      <c r="BU61" s="180">
        <v>865032</v>
      </c>
      <c r="BV61" s="180">
        <v>127708</v>
      </c>
      <c r="BW61" s="180">
        <v>166943</v>
      </c>
      <c r="BX61" s="180">
        <v>49857</v>
      </c>
      <c r="BY61" s="180">
        <v>0</v>
      </c>
      <c r="BZ61" s="180">
        <v>0</v>
      </c>
      <c r="CA61" s="180">
        <v>26753</v>
      </c>
      <c r="CB61" s="180">
        <v>184301</v>
      </c>
      <c r="CC61" s="180"/>
      <c r="CD61" s="180">
        <v>0</v>
      </c>
      <c r="CE61" s="180"/>
      <c r="CF61" s="180"/>
      <c r="CG61" s="180"/>
      <c r="CH61" s="180"/>
      <c r="CI61" s="180"/>
      <c r="CJ61" s="180"/>
      <c r="CK61" s="180"/>
      <c r="CL61" s="180"/>
      <c r="CM61" s="180"/>
      <c r="CN61" s="180"/>
      <c r="CO61" s="180"/>
      <c r="CP61" s="180"/>
      <c r="CQ61" s="180"/>
      <c r="CR61" s="180"/>
      <c r="CS61" s="180"/>
      <c r="CT61" s="180"/>
      <c r="CU61" s="180"/>
    </row>
    <row r="62" spans="1:99" x14ac:dyDescent="0.3">
      <c r="A62" s="155">
        <v>341</v>
      </c>
      <c r="B62" s="180" t="s">
        <v>922</v>
      </c>
      <c r="C62" s="180"/>
      <c r="D62" s="180"/>
      <c r="E62" s="180">
        <v>51250</v>
      </c>
      <c r="F62" s="180">
        <v>705615</v>
      </c>
      <c r="G62" s="180">
        <v>2436739</v>
      </c>
      <c r="H62" s="180">
        <v>2018958</v>
      </c>
      <c r="I62" s="180">
        <v>4846861</v>
      </c>
      <c r="J62" s="180">
        <v>124461</v>
      </c>
      <c r="K62" s="180">
        <v>369754</v>
      </c>
      <c r="L62" s="180">
        <v>214952</v>
      </c>
      <c r="M62" s="180">
        <v>15591476</v>
      </c>
      <c r="N62" s="180">
        <v>301200</v>
      </c>
      <c r="O62" s="180">
        <v>5440576</v>
      </c>
      <c r="P62" s="180">
        <v>116455</v>
      </c>
      <c r="Q62" s="180">
        <v>39859040</v>
      </c>
      <c r="R62" s="180">
        <v>1890564</v>
      </c>
      <c r="S62" s="180">
        <v>23252</v>
      </c>
      <c r="T62" s="180">
        <v>74717211</v>
      </c>
      <c r="U62" s="180">
        <v>17254051</v>
      </c>
      <c r="V62" s="180">
        <v>20906613</v>
      </c>
      <c r="W62" s="180">
        <v>37428883</v>
      </c>
      <c r="X62" s="180"/>
      <c r="Y62" s="180">
        <v>14466391</v>
      </c>
      <c r="Z62" s="180">
        <v>1089380</v>
      </c>
      <c r="AA62" s="180">
        <v>15731010</v>
      </c>
      <c r="AB62" s="180">
        <v>4136437</v>
      </c>
      <c r="AC62" s="180">
        <v>1630533</v>
      </c>
      <c r="AD62" s="180">
        <v>1698287</v>
      </c>
      <c r="AE62" s="180">
        <v>2848748</v>
      </c>
      <c r="AF62" s="180">
        <v>20236389</v>
      </c>
      <c r="AG62" s="180">
        <v>4839087</v>
      </c>
      <c r="AH62" s="180">
        <v>1363792</v>
      </c>
      <c r="AI62" s="180">
        <v>31584154</v>
      </c>
      <c r="AJ62" s="180">
        <v>690229</v>
      </c>
      <c r="AK62" s="180"/>
      <c r="AL62" s="180"/>
      <c r="AM62" s="180">
        <v>13659590</v>
      </c>
      <c r="AN62" s="180">
        <v>561213</v>
      </c>
      <c r="AO62" s="180">
        <v>891985</v>
      </c>
      <c r="AP62" s="180">
        <v>3967</v>
      </c>
      <c r="AQ62" s="180">
        <v>9904087</v>
      </c>
      <c r="AR62" s="180">
        <v>7004665</v>
      </c>
      <c r="AS62" s="180"/>
      <c r="AT62" s="180">
        <v>2405650</v>
      </c>
      <c r="AU62" s="180">
        <v>136112</v>
      </c>
      <c r="AV62" s="180">
        <v>17969727</v>
      </c>
      <c r="AW62" s="180">
        <v>1876953</v>
      </c>
      <c r="AX62" s="180">
        <v>1964495</v>
      </c>
      <c r="AY62" s="180">
        <v>8284847</v>
      </c>
      <c r="AZ62" s="180">
        <v>906391</v>
      </c>
      <c r="BA62" s="180">
        <v>768204</v>
      </c>
      <c r="BB62" s="180">
        <v>30021</v>
      </c>
      <c r="BC62" s="180">
        <v>262107</v>
      </c>
      <c r="BD62" s="180">
        <v>7332334</v>
      </c>
      <c r="BE62" s="180">
        <v>124952</v>
      </c>
      <c r="BF62" s="180">
        <v>386558</v>
      </c>
      <c r="BG62" s="180">
        <v>159319</v>
      </c>
      <c r="BH62" s="180">
        <v>83370</v>
      </c>
      <c r="BI62" s="180">
        <v>223227</v>
      </c>
      <c r="BJ62" s="180">
        <v>136374</v>
      </c>
      <c r="BK62" s="180">
        <v>3094473</v>
      </c>
      <c r="BL62" s="180"/>
      <c r="BM62" s="180">
        <v>1733558</v>
      </c>
      <c r="BN62" s="180">
        <v>3917184</v>
      </c>
      <c r="BO62" s="180">
        <v>1074046</v>
      </c>
      <c r="BP62" s="180">
        <v>1526109</v>
      </c>
      <c r="BQ62" s="180">
        <v>20744324</v>
      </c>
      <c r="BR62" s="180">
        <v>674752</v>
      </c>
      <c r="BS62">
        <v>13006039</v>
      </c>
      <c r="BT62" s="180">
        <v>431423</v>
      </c>
      <c r="BU62" s="180">
        <v>5726952</v>
      </c>
      <c r="BV62" s="180">
        <v>722936</v>
      </c>
      <c r="BW62" s="180">
        <v>1930200</v>
      </c>
      <c r="BX62" s="180">
        <v>904287</v>
      </c>
      <c r="BY62" s="180">
        <v>54435</v>
      </c>
      <c r="BZ62" s="180">
        <v>441996</v>
      </c>
      <c r="CA62" s="180">
        <v>102460</v>
      </c>
      <c r="CB62" s="180">
        <v>917184</v>
      </c>
      <c r="CC62" s="180"/>
      <c r="CD62" s="180">
        <v>87036</v>
      </c>
      <c r="CE62" s="180"/>
      <c r="CF62" s="180"/>
      <c r="CG62" s="180"/>
      <c r="CH62" s="180"/>
      <c r="CI62" s="180"/>
      <c r="CJ62" s="180"/>
      <c r="CK62" s="180"/>
      <c r="CL62" s="180"/>
      <c r="CM62" s="180"/>
      <c r="CN62" s="180"/>
      <c r="CO62" s="180"/>
      <c r="CP62" s="180"/>
      <c r="CQ62" s="180"/>
      <c r="CR62" s="180"/>
      <c r="CS62" s="180"/>
      <c r="CT62" s="180"/>
      <c r="CU62" s="180"/>
    </row>
    <row r="63" spans="1:99" x14ac:dyDescent="0.3">
      <c r="A63" s="155">
        <v>343</v>
      </c>
      <c r="B63" s="180" t="s">
        <v>246</v>
      </c>
      <c r="C63" s="180"/>
      <c r="D63" s="180"/>
      <c r="E63" s="180">
        <v>0</v>
      </c>
      <c r="F63" s="180">
        <v>12167</v>
      </c>
      <c r="G63" s="180">
        <v>0</v>
      </c>
      <c r="H63" s="180">
        <v>0</v>
      </c>
      <c r="I63" s="180">
        <v>0</v>
      </c>
      <c r="J63" s="180">
        <v>0</v>
      </c>
      <c r="K63" s="180">
        <v>0</v>
      </c>
      <c r="L63" s="180">
        <v>0</v>
      </c>
      <c r="M63" s="180">
        <v>0</v>
      </c>
      <c r="N63" s="180">
        <v>0</v>
      </c>
      <c r="O63" s="180">
        <v>1014490</v>
      </c>
      <c r="P63" s="180">
        <v>0</v>
      </c>
      <c r="Q63" s="180">
        <v>2393562</v>
      </c>
      <c r="R63" s="180">
        <v>82867</v>
      </c>
      <c r="S63" s="180">
        <v>0</v>
      </c>
      <c r="T63" s="180">
        <v>6125192</v>
      </c>
      <c r="U63" s="180">
        <v>8445633</v>
      </c>
      <c r="V63" s="180">
        <v>1385013</v>
      </c>
      <c r="W63" s="180">
        <v>2346946</v>
      </c>
      <c r="X63" s="180"/>
      <c r="Y63" s="180">
        <v>45049</v>
      </c>
      <c r="Z63" s="180">
        <v>0</v>
      </c>
      <c r="AA63" s="180">
        <v>1147173</v>
      </c>
      <c r="AB63" s="180">
        <v>12853</v>
      </c>
      <c r="AC63" s="180">
        <v>151596</v>
      </c>
      <c r="AD63" s="180">
        <v>0</v>
      </c>
      <c r="AE63" s="180">
        <v>89718</v>
      </c>
      <c r="AF63" s="180">
        <v>3818546</v>
      </c>
      <c r="AG63" s="180">
        <v>60621</v>
      </c>
      <c r="AH63" s="180">
        <v>1279</v>
      </c>
      <c r="AI63" s="180">
        <v>2118896</v>
      </c>
      <c r="AJ63" s="180">
        <v>0</v>
      </c>
      <c r="AK63" s="180"/>
      <c r="AL63" s="180"/>
      <c r="AM63" s="180">
        <v>1161216</v>
      </c>
      <c r="AN63" s="180">
        <v>0</v>
      </c>
      <c r="AO63" s="180">
        <v>25403</v>
      </c>
      <c r="AP63" s="180">
        <v>0</v>
      </c>
      <c r="AQ63" s="180">
        <v>1447800</v>
      </c>
      <c r="AR63" s="180">
        <v>780325</v>
      </c>
      <c r="AS63" s="180"/>
      <c r="AT63" s="180">
        <v>103466</v>
      </c>
      <c r="AU63" s="180">
        <v>0</v>
      </c>
      <c r="AV63" s="180">
        <v>6015000</v>
      </c>
      <c r="AW63" s="180">
        <v>180000</v>
      </c>
      <c r="AX63" s="180">
        <v>0</v>
      </c>
      <c r="AY63" s="180">
        <v>845417</v>
      </c>
      <c r="AZ63" s="180">
        <v>23275</v>
      </c>
      <c r="BA63" s="180">
        <v>0</v>
      </c>
      <c r="BB63" s="180">
        <v>0</v>
      </c>
      <c r="BC63" s="180">
        <v>0</v>
      </c>
      <c r="BD63" s="180">
        <v>184371</v>
      </c>
      <c r="BE63" s="180">
        <v>0</v>
      </c>
      <c r="BF63" s="180">
        <v>0</v>
      </c>
      <c r="BG63" s="180">
        <v>10970</v>
      </c>
      <c r="BH63" s="180">
        <v>0</v>
      </c>
      <c r="BI63" s="180">
        <v>0</v>
      </c>
      <c r="BJ63" s="180">
        <v>17996</v>
      </c>
      <c r="BK63" s="180">
        <v>208372</v>
      </c>
      <c r="BL63" s="180"/>
      <c r="BM63" s="180">
        <v>34461</v>
      </c>
      <c r="BN63" s="180">
        <v>135818</v>
      </c>
      <c r="BO63" s="180">
        <v>18113</v>
      </c>
      <c r="BP63" s="180">
        <v>520829</v>
      </c>
      <c r="BQ63" s="180">
        <v>0</v>
      </c>
      <c r="BR63" s="180">
        <v>18998</v>
      </c>
      <c r="BS63" s="180">
        <v>0</v>
      </c>
      <c r="BT63" s="180">
        <v>14094</v>
      </c>
      <c r="BU63" s="180">
        <v>115879</v>
      </c>
      <c r="BV63" s="180">
        <v>0</v>
      </c>
      <c r="BW63" s="180">
        <v>100407</v>
      </c>
      <c r="BX63" s="180">
        <v>8362</v>
      </c>
      <c r="BY63" s="180">
        <v>0</v>
      </c>
      <c r="BZ63" s="180">
        <v>0</v>
      </c>
      <c r="CA63" s="180">
        <v>0</v>
      </c>
      <c r="CB63" s="180">
        <v>62334</v>
      </c>
      <c r="CC63" s="180"/>
      <c r="CD63" s="180">
        <v>0</v>
      </c>
      <c r="CE63" s="180"/>
      <c r="CF63" s="180"/>
      <c r="CG63" s="180"/>
      <c r="CH63" s="180"/>
      <c r="CI63" s="180"/>
      <c r="CJ63" s="180"/>
      <c r="CK63" s="180"/>
      <c r="CL63" s="180"/>
      <c r="CM63" s="180"/>
      <c r="CN63" s="180"/>
      <c r="CO63" s="180"/>
      <c r="CP63" s="180"/>
      <c r="CQ63" s="180"/>
      <c r="CR63" s="180"/>
      <c r="CS63" s="180"/>
      <c r="CT63" s="180"/>
      <c r="CU63" s="180"/>
    </row>
    <row r="64" spans="1:99" x14ac:dyDescent="0.3">
      <c r="A64" s="155">
        <v>344</v>
      </c>
      <c r="B64" s="180" t="s">
        <v>179</v>
      </c>
      <c r="C64" s="180"/>
      <c r="D64" s="180"/>
      <c r="E64" s="180">
        <v>0</v>
      </c>
      <c r="F64" s="180">
        <v>2402</v>
      </c>
      <c r="G64" s="180">
        <v>16827</v>
      </c>
      <c r="H64" s="180">
        <v>0</v>
      </c>
      <c r="I64" s="180">
        <v>0</v>
      </c>
      <c r="J64" s="180">
        <v>0</v>
      </c>
      <c r="K64" s="180">
        <v>0</v>
      </c>
      <c r="L64" s="180">
        <v>0</v>
      </c>
      <c r="M64" s="180">
        <v>36773</v>
      </c>
      <c r="N64" s="180">
        <v>442</v>
      </c>
      <c r="O64" s="180">
        <v>0</v>
      </c>
      <c r="P64" s="180">
        <v>0</v>
      </c>
      <c r="Q64" s="180">
        <v>1088994</v>
      </c>
      <c r="R64" s="180">
        <v>29128</v>
      </c>
      <c r="S64" s="180">
        <v>0</v>
      </c>
      <c r="T64" s="180">
        <v>1693631</v>
      </c>
      <c r="U64" s="180">
        <v>296933</v>
      </c>
      <c r="V64" s="180">
        <v>116895</v>
      </c>
      <c r="W64" s="180">
        <v>988971</v>
      </c>
      <c r="X64" s="180"/>
      <c r="Y64" s="180">
        <v>5601</v>
      </c>
      <c r="Z64" s="180">
        <v>0</v>
      </c>
      <c r="AA64" s="180">
        <v>251069</v>
      </c>
      <c r="AB64" s="180">
        <v>21373</v>
      </c>
      <c r="AC64" s="180">
        <v>18644</v>
      </c>
      <c r="AD64" s="180">
        <v>0</v>
      </c>
      <c r="AE64" s="180">
        <v>71038</v>
      </c>
      <c r="AF64" s="180">
        <v>233493</v>
      </c>
      <c r="AG64" s="180">
        <v>4691</v>
      </c>
      <c r="AH64" s="180">
        <v>5671</v>
      </c>
      <c r="AI64" s="180">
        <v>267717</v>
      </c>
      <c r="AJ64" s="180">
        <v>0</v>
      </c>
      <c r="AK64" s="180"/>
      <c r="AL64" s="180"/>
      <c r="AM64" s="180">
        <v>204298</v>
      </c>
      <c r="AN64" s="180">
        <v>0</v>
      </c>
      <c r="AO64" s="180">
        <v>4428</v>
      </c>
      <c r="AP64" s="180">
        <v>0</v>
      </c>
      <c r="AQ64" s="180">
        <v>431505</v>
      </c>
      <c r="AR64" s="180">
        <v>22700</v>
      </c>
      <c r="AS64" s="180"/>
      <c r="AT64" s="180">
        <v>13408</v>
      </c>
      <c r="AU64" s="180">
        <v>0</v>
      </c>
      <c r="AV64" s="180">
        <v>217401</v>
      </c>
      <c r="AW64" s="180">
        <v>0</v>
      </c>
      <c r="AX64" s="180">
        <v>0</v>
      </c>
      <c r="AY64" s="180">
        <v>253712</v>
      </c>
      <c r="AZ64" s="180">
        <v>792</v>
      </c>
      <c r="BA64" s="180">
        <v>0</v>
      </c>
      <c r="BB64" s="180">
        <v>0</v>
      </c>
      <c r="BC64" s="180">
        <v>0</v>
      </c>
      <c r="BD64" s="180">
        <v>26750</v>
      </c>
      <c r="BE64" s="180">
        <v>0</v>
      </c>
      <c r="BF64" s="180">
        <v>0</v>
      </c>
      <c r="BG64" s="180">
        <v>1434</v>
      </c>
      <c r="BH64" s="180">
        <v>0</v>
      </c>
      <c r="BI64" s="180">
        <v>0</v>
      </c>
      <c r="BJ64" s="180">
        <v>944</v>
      </c>
      <c r="BK64" s="180">
        <v>62437</v>
      </c>
      <c r="BL64" s="180"/>
      <c r="BM64" s="180">
        <v>2714</v>
      </c>
      <c r="BN64" s="180">
        <v>24704</v>
      </c>
      <c r="BO64" s="180">
        <v>27854</v>
      </c>
      <c r="BP64" s="180">
        <v>57316</v>
      </c>
      <c r="BQ64" s="180">
        <v>201</v>
      </c>
      <c r="BR64" s="180">
        <v>5655</v>
      </c>
      <c r="BS64" s="180">
        <v>368112</v>
      </c>
      <c r="BT64" s="180">
        <v>6449</v>
      </c>
      <c r="BU64" s="180">
        <v>8276</v>
      </c>
      <c r="BV64" s="180">
        <v>0</v>
      </c>
      <c r="BW64" s="180">
        <v>11616</v>
      </c>
      <c r="BX64" s="180">
        <v>822</v>
      </c>
      <c r="BY64" s="180">
        <v>0</v>
      </c>
      <c r="BZ64" s="180">
        <v>0</v>
      </c>
      <c r="CA64" s="180">
        <v>0</v>
      </c>
      <c r="CB64" s="180">
        <v>13184</v>
      </c>
      <c r="CC64" s="180"/>
      <c r="CD64" s="180">
        <v>0</v>
      </c>
      <c r="CE64" s="180"/>
      <c r="CF64" s="180"/>
      <c r="CG64" s="180"/>
      <c r="CH64" s="180"/>
      <c r="CI64" s="180"/>
      <c r="CJ64" s="180"/>
      <c r="CK64" s="180"/>
      <c r="CL64" s="180"/>
      <c r="CM64" s="180"/>
      <c r="CN64" s="180"/>
      <c r="CO64" s="180"/>
      <c r="CP64" s="180"/>
      <c r="CQ64" s="180"/>
      <c r="CR64" s="180"/>
      <c r="CS64" s="180"/>
      <c r="CT64" s="180"/>
      <c r="CU64" s="180"/>
    </row>
    <row r="65" spans="1:99" x14ac:dyDescent="0.3">
      <c r="A65" s="155">
        <v>349</v>
      </c>
      <c r="B65" s="180" t="s">
        <v>114</v>
      </c>
      <c r="C65" s="180"/>
      <c r="D65" s="180"/>
      <c r="E65" s="180">
        <v>0</v>
      </c>
      <c r="F65" s="180">
        <v>612368</v>
      </c>
      <c r="G65" s="180">
        <v>0</v>
      </c>
      <c r="H65" s="180">
        <v>0</v>
      </c>
      <c r="I65" s="180">
        <v>0</v>
      </c>
      <c r="J65" s="180">
        <v>408786</v>
      </c>
      <c r="K65" s="180">
        <v>0</v>
      </c>
      <c r="L65" s="180">
        <v>0</v>
      </c>
      <c r="M65" s="180">
        <v>0</v>
      </c>
      <c r="N65" s="180">
        <v>0</v>
      </c>
      <c r="O65" s="180">
        <v>5904027</v>
      </c>
      <c r="P65" s="180">
        <v>0</v>
      </c>
      <c r="Q65" s="180">
        <v>31440696</v>
      </c>
      <c r="R65" s="180">
        <v>341991</v>
      </c>
      <c r="S65" s="180">
        <v>0</v>
      </c>
      <c r="T65" s="180">
        <v>62845869</v>
      </c>
      <c r="U65" s="180">
        <v>15699580</v>
      </c>
      <c r="V65" s="180">
        <v>17840329</v>
      </c>
      <c r="W65" s="180">
        <v>0</v>
      </c>
      <c r="X65" s="180"/>
      <c r="Y65" s="180">
        <v>8953360</v>
      </c>
      <c r="Z65" s="180">
        <v>3898820</v>
      </c>
      <c r="AA65" s="180">
        <v>9595722</v>
      </c>
      <c r="AB65" s="180">
        <v>7740184</v>
      </c>
      <c r="AC65" s="180">
        <v>770730</v>
      </c>
      <c r="AD65" s="180">
        <v>2044265</v>
      </c>
      <c r="AE65" s="180">
        <v>1596905</v>
      </c>
      <c r="AF65" s="180">
        <v>1892947</v>
      </c>
      <c r="AG65" s="180">
        <v>791637</v>
      </c>
      <c r="AH65" s="180">
        <v>0</v>
      </c>
      <c r="AI65" s="180">
        <v>20818824</v>
      </c>
      <c r="AJ65" s="180">
        <v>64896</v>
      </c>
      <c r="AK65" s="180"/>
      <c r="AL65" s="180"/>
      <c r="AM65" s="180">
        <v>11391288</v>
      </c>
      <c r="AN65" s="180">
        <v>311922</v>
      </c>
      <c r="AO65" s="180">
        <v>1778970</v>
      </c>
      <c r="AP65" s="180">
        <v>0</v>
      </c>
      <c r="AQ65" s="180">
        <v>0</v>
      </c>
      <c r="AR65" s="180">
        <v>1939185</v>
      </c>
      <c r="AS65" s="180"/>
      <c r="AT65" s="180">
        <v>5572078</v>
      </c>
      <c r="AU65" s="180">
        <v>0</v>
      </c>
      <c r="AV65" s="180">
        <v>76801259</v>
      </c>
      <c r="AW65" s="180">
        <v>0</v>
      </c>
      <c r="AX65" s="180">
        <v>3927333</v>
      </c>
      <c r="AY65" s="180">
        <v>1006674</v>
      </c>
      <c r="AZ65" s="180">
        <v>722910</v>
      </c>
      <c r="BA65" s="180">
        <v>236442</v>
      </c>
      <c r="BB65" s="180">
        <v>0</v>
      </c>
      <c r="BC65" s="180">
        <v>123891</v>
      </c>
      <c r="BD65" s="180">
        <v>21983402</v>
      </c>
      <c r="BE65" s="180">
        <v>0</v>
      </c>
      <c r="BF65" s="180">
        <v>567145</v>
      </c>
      <c r="BG65" s="180">
        <v>5856</v>
      </c>
      <c r="BH65" s="180">
        <v>0</v>
      </c>
      <c r="BI65" s="180">
        <v>93518</v>
      </c>
      <c r="BJ65" s="180">
        <v>0</v>
      </c>
      <c r="BK65" s="180">
        <v>4011572</v>
      </c>
      <c r="BL65" s="180"/>
      <c r="BM65" s="180">
        <v>3817375</v>
      </c>
      <c r="BN65" s="180">
        <v>2630517</v>
      </c>
      <c r="BO65" s="180">
        <v>3714629</v>
      </c>
      <c r="BP65" s="180">
        <v>132603</v>
      </c>
      <c r="BQ65" s="180">
        <v>0</v>
      </c>
      <c r="BR65" s="180">
        <v>1707388</v>
      </c>
      <c r="BS65" s="180">
        <v>0</v>
      </c>
      <c r="BT65" s="180">
        <v>1073120</v>
      </c>
      <c r="BU65" s="180">
        <v>3138615</v>
      </c>
      <c r="BV65" s="180">
        <v>0</v>
      </c>
      <c r="BW65" s="180">
        <v>3268158</v>
      </c>
      <c r="BX65" s="180">
        <v>208885</v>
      </c>
      <c r="BY65" s="180">
        <v>35125</v>
      </c>
      <c r="BZ65" s="180">
        <v>1173083</v>
      </c>
      <c r="CA65" s="180">
        <v>401256</v>
      </c>
      <c r="CB65" s="180">
        <v>1163268</v>
      </c>
      <c r="CC65" s="180"/>
      <c r="CD65" s="180">
        <v>0</v>
      </c>
      <c r="CE65" s="180"/>
      <c r="CF65" s="180"/>
      <c r="CG65" s="180"/>
      <c r="CH65" s="180"/>
      <c r="CI65" s="180"/>
      <c r="CJ65" s="180"/>
      <c r="CK65" s="180"/>
      <c r="CL65" s="180"/>
      <c r="CM65" s="180"/>
      <c r="CN65" s="180"/>
      <c r="CO65" s="180"/>
      <c r="CP65" s="180"/>
      <c r="CQ65" s="180"/>
      <c r="CR65" s="180"/>
      <c r="CS65" s="180"/>
      <c r="CT65" s="180"/>
      <c r="CU65" s="180"/>
    </row>
    <row r="66" spans="1:99" x14ac:dyDescent="0.3">
      <c r="A66" s="155">
        <v>350</v>
      </c>
      <c r="B66" s="180" t="s">
        <v>923</v>
      </c>
      <c r="C66" s="180"/>
      <c r="D66" s="180"/>
      <c r="E66" s="180">
        <v>0</v>
      </c>
      <c r="F66" s="180">
        <v>82</v>
      </c>
      <c r="G66" s="180">
        <v>0</v>
      </c>
      <c r="H66" s="180">
        <v>0</v>
      </c>
      <c r="I66" s="180">
        <v>0</v>
      </c>
      <c r="J66" s="180">
        <v>0</v>
      </c>
      <c r="K66" s="180">
        <v>0</v>
      </c>
      <c r="L66" s="180">
        <v>0</v>
      </c>
      <c r="M66" s="180">
        <v>0</v>
      </c>
      <c r="N66" s="180">
        <v>0</v>
      </c>
      <c r="O66" s="180">
        <v>23028</v>
      </c>
      <c r="P66" s="180">
        <v>0</v>
      </c>
      <c r="Q66" s="180">
        <v>296428</v>
      </c>
      <c r="R66" s="180">
        <v>45</v>
      </c>
      <c r="S66" s="180">
        <v>0</v>
      </c>
      <c r="T66" s="180">
        <v>5434356</v>
      </c>
      <c r="U66" s="180">
        <v>24102</v>
      </c>
      <c r="V66" s="180">
        <v>129242</v>
      </c>
      <c r="W66" s="180">
        <v>0</v>
      </c>
      <c r="X66" s="180"/>
      <c r="Y66" s="180">
        <v>28898</v>
      </c>
      <c r="Z66" s="180">
        <v>927</v>
      </c>
      <c r="AA66" s="180">
        <v>94596</v>
      </c>
      <c r="AB66" s="180">
        <v>33970</v>
      </c>
      <c r="AC66" s="180">
        <v>1990</v>
      </c>
      <c r="AD66" s="180">
        <v>45624</v>
      </c>
      <c r="AE66" s="180">
        <v>0</v>
      </c>
      <c r="AF66" s="180">
        <v>532950</v>
      </c>
      <c r="AG66" s="180">
        <v>8368</v>
      </c>
      <c r="AH66" s="180">
        <v>0</v>
      </c>
      <c r="AI66" s="180">
        <v>558066</v>
      </c>
      <c r="AJ66" s="180">
        <v>427</v>
      </c>
      <c r="AK66" s="180"/>
      <c r="AL66" s="180"/>
      <c r="AM66" s="180">
        <v>165989</v>
      </c>
      <c r="AN66" s="180">
        <v>8</v>
      </c>
      <c r="AO66" s="180">
        <v>6101</v>
      </c>
      <c r="AP66" s="180">
        <v>0</v>
      </c>
      <c r="AQ66" s="180">
        <v>0</v>
      </c>
      <c r="AR66" s="180">
        <v>66460</v>
      </c>
      <c r="AS66" s="180"/>
      <c r="AT66" s="180">
        <v>1908</v>
      </c>
      <c r="AU66" s="180">
        <v>0</v>
      </c>
      <c r="AV66" s="180">
        <v>980621</v>
      </c>
      <c r="AW66" s="180">
        <v>0</v>
      </c>
      <c r="AX66" s="180">
        <v>6394</v>
      </c>
      <c r="AY66" s="180">
        <v>9913907</v>
      </c>
      <c r="AZ66" s="180">
        <v>7710</v>
      </c>
      <c r="BA66" s="180">
        <v>98</v>
      </c>
      <c r="BB66" s="180">
        <v>0</v>
      </c>
      <c r="BC66" s="180">
        <v>844</v>
      </c>
      <c r="BD66" s="180">
        <v>223437</v>
      </c>
      <c r="BE66" s="180">
        <v>0</v>
      </c>
      <c r="BF66" s="180">
        <v>52</v>
      </c>
      <c r="BG66" s="180">
        <v>1284960</v>
      </c>
      <c r="BH66" s="180">
        <v>0</v>
      </c>
      <c r="BI66" s="180">
        <v>2205</v>
      </c>
      <c r="BJ66" s="180">
        <v>0</v>
      </c>
      <c r="BK66" s="180">
        <v>5136</v>
      </c>
      <c r="BL66" s="180"/>
      <c r="BM66" s="180">
        <v>29500</v>
      </c>
      <c r="BN66" s="180">
        <v>69049</v>
      </c>
      <c r="BO66" s="180">
        <v>30832</v>
      </c>
      <c r="BP66" s="180">
        <v>2740</v>
      </c>
      <c r="BQ66" s="180">
        <v>0</v>
      </c>
      <c r="BR66" s="180">
        <v>312545</v>
      </c>
      <c r="BS66" s="180">
        <v>0</v>
      </c>
      <c r="BT66" s="180">
        <v>127</v>
      </c>
      <c r="BU66" s="180">
        <v>785024</v>
      </c>
      <c r="BV66" s="180">
        <v>0</v>
      </c>
      <c r="BW66" s="180">
        <v>9405</v>
      </c>
      <c r="BX66" s="180">
        <v>1591</v>
      </c>
      <c r="BY66" s="180">
        <v>18884</v>
      </c>
      <c r="BZ66" s="180">
        <v>4509</v>
      </c>
      <c r="CA66" s="180">
        <v>23</v>
      </c>
      <c r="CB66" s="180">
        <v>0</v>
      </c>
      <c r="CC66" s="180"/>
      <c r="CD66" s="180">
        <v>0</v>
      </c>
      <c r="CE66" s="180"/>
      <c r="CF66" s="180"/>
      <c r="CG66" s="180"/>
      <c r="CH66" s="180"/>
      <c r="CI66" s="180"/>
      <c r="CJ66" s="180"/>
      <c r="CK66" s="180"/>
      <c r="CL66" s="180"/>
      <c r="CM66" s="180"/>
      <c r="CN66" s="180"/>
      <c r="CO66" s="180"/>
      <c r="CP66" s="180"/>
      <c r="CQ66" s="180"/>
      <c r="CR66" s="180"/>
      <c r="CS66" s="180"/>
      <c r="CT66" s="180"/>
      <c r="CU66" s="180"/>
    </row>
    <row r="67" spans="1:99" x14ac:dyDescent="0.3">
      <c r="A67" s="155">
        <v>351</v>
      </c>
      <c r="B67" s="180" t="s">
        <v>223</v>
      </c>
      <c r="C67" s="180"/>
      <c r="D67" s="180"/>
      <c r="E67" s="180">
        <v>0</v>
      </c>
      <c r="F67" s="180">
        <v>7734</v>
      </c>
      <c r="G67" s="180">
        <v>0</v>
      </c>
      <c r="H67" s="180">
        <v>0</v>
      </c>
      <c r="I67" s="180">
        <v>0</v>
      </c>
      <c r="J67" s="180">
        <v>7123</v>
      </c>
      <c r="K67" s="180">
        <v>0</v>
      </c>
      <c r="L67" s="180">
        <v>0</v>
      </c>
      <c r="M67" s="180">
        <v>0</v>
      </c>
      <c r="N67" s="180">
        <v>0</v>
      </c>
      <c r="O67" s="180">
        <v>52761</v>
      </c>
      <c r="P67" s="180">
        <v>0</v>
      </c>
      <c r="Q67" s="180">
        <v>797635</v>
      </c>
      <c r="R67" s="180">
        <v>4983</v>
      </c>
      <c r="S67" s="180">
        <v>0</v>
      </c>
      <c r="T67" s="180">
        <v>1237738</v>
      </c>
      <c r="U67" s="180">
        <v>305200</v>
      </c>
      <c r="V67" s="180">
        <v>299588</v>
      </c>
      <c r="W67" s="180">
        <v>0</v>
      </c>
      <c r="X67" s="180"/>
      <c r="Y67" s="180">
        <v>187694</v>
      </c>
      <c r="Z67" s="180">
        <v>36673</v>
      </c>
      <c r="AA67" s="180">
        <v>63412</v>
      </c>
      <c r="AB67" s="180">
        <v>281383</v>
      </c>
      <c r="AC67" s="180">
        <v>11115</v>
      </c>
      <c r="AD67" s="180">
        <v>32149</v>
      </c>
      <c r="AE67" s="180">
        <v>4849</v>
      </c>
      <c r="AF67" s="180">
        <v>336530</v>
      </c>
      <c r="AG67" s="180">
        <v>1781</v>
      </c>
      <c r="AH67" s="180">
        <v>0</v>
      </c>
      <c r="AI67" s="180">
        <v>471342</v>
      </c>
      <c r="AJ67" s="180">
        <v>0</v>
      </c>
      <c r="AK67" s="180"/>
      <c r="AL67" s="180"/>
      <c r="AM67" s="180">
        <v>191236</v>
      </c>
      <c r="AN67" s="180">
        <v>13513</v>
      </c>
      <c r="AO67" s="180">
        <v>39291</v>
      </c>
      <c r="AP67" s="180">
        <v>0</v>
      </c>
      <c r="AQ67" s="180">
        <v>0</v>
      </c>
      <c r="AR67" s="180">
        <v>9204</v>
      </c>
      <c r="AS67" s="180"/>
      <c r="AT67" s="180">
        <v>37700</v>
      </c>
      <c r="AU67" s="180">
        <v>0</v>
      </c>
      <c r="AV67" s="180">
        <v>3101128</v>
      </c>
      <c r="AW67" s="180">
        <v>0</v>
      </c>
      <c r="AX67" s="180">
        <v>12624</v>
      </c>
      <c r="AY67" s="180">
        <v>0</v>
      </c>
      <c r="AZ67" s="180">
        <v>30495</v>
      </c>
      <c r="BA67" s="180">
        <v>0</v>
      </c>
      <c r="BB67" s="180">
        <v>0</v>
      </c>
      <c r="BC67" s="180">
        <v>0</v>
      </c>
      <c r="BD67" s="180">
        <v>54706</v>
      </c>
      <c r="BE67" s="180">
        <v>0</v>
      </c>
      <c r="BF67" s="180">
        <v>0</v>
      </c>
      <c r="BG67" s="180">
        <v>0</v>
      </c>
      <c r="BH67" s="180">
        <v>0</v>
      </c>
      <c r="BI67" s="180">
        <v>0</v>
      </c>
      <c r="BJ67" s="180">
        <v>0</v>
      </c>
      <c r="BK67" s="180">
        <v>57762</v>
      </c>
      <c r="BL67" s="180"/>
      <c r="BM67" s="180">
        <v>60774</v>
      </c>
      <c r="BN67" s="180">
        <v>96043</v>
      </c>
      <c r="BO67" s="180">
        <v>99936</v>
      </c>
      <c r="BP67" s="180">
        <v>0</v>
      </c>
      <c r="BQ67" s="180">
        <v>0</v>
      </c>
      <c r="BR67" s="180">
        <v>29728</v>
      </c>
      <c r="BS67">
        <v>0</v>
      </c>
      <c r="BT67" s="180">
        <v>26262</v>
      </c>
      <c r="BU67" s="180">
        <v>16263</v>
      </c>
      <c r="BV67" s="180">
        <v>0</v>
      </c>
      <c r="BW67" s="180">
        <v>80251</v>
      </c>
      <c r="BX67" s="180">
        <v>0</v>
      </c>
      <c r="BY67" s="180">
        <v>18884</v>
      </c>
      <c r="BZ67" s="180">
        <v>26957</v>
      </c>
      <c r="CA67" s="180">
        <v>9168</v>
      </c>
      <c r="CB67" s="180">
        <v>59124</v>
      </c>
      <c r="CC67" s="180"/>
      <c r="CD67" s="180">
        <v>0</v>
      </c>
      <c r="CE67" s="180"/>
      <c r="CF67" s="180"/>
      <c r="CG67" s="180"/>
      <c r="CH67" s="180"/>
      <c r="CI67" s="180"/>
      <c r="CJ67" s="180"/>
      <c r="CK67" s="180"/>
      <c r="CL67" s="180"/>
      <c r="CM67" s="180"/>
      <c r="CN67" s="180"/>
      <c r="CO67" s="180"/>
      <c r="CP67" s="180"/>
      <c r="CQ67" s="180"/>
      <c r="CR67" s="180"/>
      <c r="CS67" s="180"/>
      <c r="CT67" s="180"/>
      <c r="CU67" s="180"/>
    </row>
    <row r="68" spans="1:99" x14ac:dyDescent="0.3">
      <c r="A68" s="155">
        <v>352</v>
      </c>
      <c r="B68" s="180" t="s">
        <v>225</v>
      </c>
      <c r="C68" s="180"/>
      <c r="D68" s="180"/>
      <c r="E68" s="180">
        <v>0</v>
      </c>
      <c r="F68" s="180">
        <v>28222</v>
      </c>
      <c r="G68" s="180">
        <v>0</v>
      </c>
      <c r="H68" s="180">
        <v>0</v>
      </c>
      <c r="I68" s="180">
        <v>0</v>
      </c>
      <c r="J68" s="180">
        <v>0</v>
      </c>
      <c r="K68" s="180">
        <v>0</v>
      </c>
      <c r="L68" s="180">
        <v>0</v>
      </c>
      <c r="M68" s="180">
        <v>0</v>
      </c>
      <c r="N68" s="180">
        <v>0</v>
      </c>
      <c r="O68" s="180">
        <v>0</v>
      </c>
      <c r="P68" s="180">
        <v>0</v>
      </c>
      <c r="Q68" s="180">
        <v>0</v>
      </c>
      <c r="R68" s="180">
        <v>0</v>
      </c>
      <c r="S68" s="180">
        <v>0</v>
      </c>
      <c r="T68" s="180">
        <v>445546</v>
      </c>
      <c r="U68" s="180">
        <v>37950</v>
      </c>
      <c r="V68" s="180">
        <v>0</v>
      </c>
      <c r="W68" s="180">
        <v>0</v>
      </c>
      <c r="X68" s="180"/>
      <c r="Y68" s="180">
        <v>0</v>
      </c>
      <c r="Z68" s="180">
        <v>29063</v>
      </c>
      <c r="AA68" s="180">
        <v>0</v>
      </c>
      <c r="AB68" s="180">
        <v>629498</v>
      </c>
      <c r="AC68" s="180">
        <v>0</v>
      </c>
      <c r="AD68" s="180">
        <v>0</v>
      </c>
      <c r="AE68" s="180">
        <v>0</v>
      </c>
      <c r="AF68" s="180">
        <v>109</v>
      </c>
      <c r="AG68" s="180">
        <v>0</v>
      </c>
      <c r="AH68" s="180">
        <v>0</v>
      </c>
      <c r="AI68" s="180">
        <v>0</v>
      </c>
      <c r="AJ68" s="180">
        <v>0</v>
      </c>
      <c r="AK68" s="180"/>
      <c r="AL68" s="180"/>
      <c r="AM68" s="180">
        <v>0</v>
      </c>
      <c r="AN68" s="180">
        <v>76267</v>
      </c>
      <c r="AO68" s="180">
        <v>0</v>
      </c>
      <c r="AP68" s="180">
        <v>0</v>
      </c>
      <c r="AQ68" s="180">
        <v>0</v>
      </c>
      <c r="AR68" s="180">
        <v>1239498</v>
      </c>
      <c r="AS68" s="180"/>
      <c r="AT68" s="180">
        <v>0</v>
      </c>
      <c r="AU68" s="180">
        <v>0</v>
      </c>
      <c r="AV68" s="180">
        <v>464944</v>
      </c>
      <c r="AW68" s="180">
        <v>0</v>
      </c>
      <c r="AX68" s="180">
        <v>0</v>
      </c>
      <c r="AY68" s="180">
        <v>0</v>
      </c>
      <c r="AZ68" s="180">
        <v>0</v>
      </c>
      <c r="BA68" s="180">
        <v>0</v>
      </c>
      <c r="BB68" s="180">
        <v>0</v>
      </c>
      <c r="BC68" s="180">
        <v>0</v>
      </c>
      <c r="BD68" s="180">
        <v>0</v>
      </c>
      <c r="BE68" s="180">
        <v>0</v>
      </c>
      <c r="BF68" s="180">
        <v>0</v>
      </c>
      <c r="BG68" s="180">
        <v>0</v>
      </c>
      <c r="BH68" s="180">
        <v>0</v>
      </c>
      <c r="BI68" s="180">
        <v>1850</v>
      </c>
      <c r="BJ68" s="180">
        <v>0</v>
      </c>
      <c r="BK68" s="180">
        <v>0</v>
      </c>
      <c r="BL68" s="180"/>
      <c r="BM68" s="180">
        <v>0</v>
      </c>
      <c r="BN68" s="180">
        <v>9128</v>
      </c>
      <c r="BO68" s="180">
        <v>0</v>
      </c>
      <c r="BP68" s="180">
        <v>0</v>
      </c>
      <c r="BQ68" s="180">
        <v>0</v>
      </c>
      <c r="BR68" s="180">
        <v>0</v>
      </c>
      <c r="BS68">
        <v>0</v>
      </c>
      <c r="BT68" s="180">
        <v>53140</v>
      </c>
      <c r="BU68" s="180">
        <v>3271451</v>
      </c>
      <c r="BV68" s="180">
        <v>0</v>
      </c>
      <c r="BW68" s="180">
        <v>0</v>
      </c>
      <c r="BX68" s="180">
        <v>0</v>
      </c>
      <c r="BY68" s="180">
        <v>0</v>
      </c>
      <c r="BZ68" s="180">
        <v>141515</v>
      </c>
      <c r="CA68" s="180">
        <v>0</v>
      </c>
      <c r="CB68" s="180">
        <v>0</v>
      </c>
      <c r="CC68" s="180"/>
      <c r="CD68" s="180">
        <v>0</v>
      </c>
      <c r="CE68" s="180"/>
      <c r="CF68" s="180"/>
      <c r="CG68" s="180"/>
      <c r="CH68" s="180"/>
      <c r="CI68" s="180"/>
      <c r="CJ68" s="180"/>
      <c r="CK68" s="180"/>
      <c r="CL68" s="180"/>
      <c r="CM68" s="180"/>
      <c r="CN68" s="180"/>
      <c r="CO68" s="180"/>
      <c r="CP68" s="180"/>
      <c r="CQ68" s="180"/>
      <c r="CR68" s="180"/>
      <c r="CS68" s="180"/>
      <c r="CT68" s="180"/>
      <c r="CU68" s="180"/>
    </row>
    <row r="69" spans="1:99" x14ac:dyDescent="0.3">
      <c r="A69" s="155">
        <v>353</v>
      </c>
      <c r="B69" s="180" t="s">
        <v>226</v>
      </c>
      <c r="C69" s="180"/>
      <c r="D69" s="180"/>
      <c r="E69" s="180">
        <v>0</v>
      </c>
      <c r="F69" s="180">
        <v>0</v>
      </c>
      <c r="G69" s="180">
        <v>0</v>
      </c>
      <c r="H69" s="180">
        <v>0</v>
      </c>
      <c r="I69" s="180">
        <v>0</v>
      </c>
      <c r="J69" s="180">
        <v>0</v>
      </c>
      <c r="K69" s="180">
        <v>0</v>
      </c>
      <c r="L69" s="180">
        <v>0</v>
      </c>
      <c r="M69" s="180">
        <v>0</v>
      </c>
      <c r="N69" s="180">
        <v>0</v>
      </c>
      <c r="O69" s="180">
        <v>0</v>
      </c>
      <c r="P69" s="180">
        <v>0</v>
      </c>
      <c r="Q69" s="180">
        <v>24166</v>
      </c>
      <c r="R69" s="180">
        <v>0</v>
      </c>
      <c r="S69" s="180">
        <v>0</v>
      </c>
      <c r="T69" s="180">
        <v>0</v>
      </c>
      <c r="U69" s="180">
        <v>0</v>
      </c>
      <c r="V69" s="180">
        <v>0</v>
      </c>
      <c r="W69" s="180">
        <v>0</v>
      </c>
      <c r="X69" s="180"/>
      <c r="Y69" s="180">
        <v>0</v>
      </c>
      <c r="Z69" s="180">
        <v>29795</v>
      </c>
      <c r="AA69" s="180">
        <v>0</v>
      </c>
      <c r="AB69" s="180">
        <v>0</v>
      </c>
      <c r="AC69" s="180">
        <v>0</v>
      </c>
      <c r="AD69" s="180">
        <v>0</v>
      </c>
      <c r="AE69" s="180">
        <v>0</v>
      </c>
      <c r="AF69" s="180">
        <v>0</v>
      </c>
      <c r="AG69" s="180">
        <v>1171407</v>
      </c>
      <c r="AH69" s="180">
        <v>0</v>
      </c>
      <c r="AI69" s="180">
        <v>40000</v>
      </c>
      <c r="AJ69" s="180">
        <v>0</v>
      </c>
      <c r="AK69" s="180"/>
      <c r="AL69" s="180"/>
      <c r="AM69" s="180">
        <v>0</v>
      </c>
      <c r="AN69" s="180">
        <v>0</v>
      </c>
      <c r="AO69" s="180">
        <v>0</v>
      </c>
      <c r="AP69" s="180">
        <v>0</v>
      </c>
      <c r="AQ69" s="180">
        <v>0</v>
      </c>
      <c r="AR69" s="180">
        <v>688232</v>
      </c>
      <c r="AS69" s="180"/>
      <c r="AT69" s="180">
        <v>0</v>
      </c>
      <c r="AU69" s="180">
        <v>0</v>
      </c>
      <c r="AV69" s="180">
        <v>813278</v>
      </c>
      <c r="AW69" s="180">
        <v>0</v>
      </c>
      <c r="AX69" s="180">
        <v>0</v>
      </c>
      <c r="AY69" s="180">
        <v>0</v>
      </c>
      <c r="AZ69" s="180">
        <v>0</v>
      </c>
      <c r="BA69" s="180">
        <v>0</v>
      </c>
      <c r="BB69" s="180">
        <v>0</v>
      </c>
      <c r="BC69" s="180">
        <v>0</v>
      </c>
      <c r="BD69" s="180">
        <v>225975</v>
      </c>
      <c r="BE69" s="180">
        <v>0</v>
      </c>
      <c r="BF69" s="180">
        <v>0</v>
      </c>
      <c r="BG69" s="180">
        <v>0</v>
      </c>
      <c r="BH69" s="180">
        <v>0</v>
      </c>
      <c r="BI69" s="180">
        <v>0</v>
      </c>
      <c r="BJ69" s="180">
        <v>0</v>
      </c>
      <c r="BK69" s="180">
        <v>0</v>
      </c>
      <c r="BL69" s="180"/>
      <c r="BM69" s="180">
        <v>0</v>
      </c>
      <c r="BN69" s="180">
        <v>0</v>
      </c>
      <c r="BO69" s="180">
        <v>0</v>
      </c>
      <c r="BP69" s="180">
        <v>0</v>
      </c>
      <c r="BQ69" s="180">
        <v>0</v>
      </c>
      <c r="BR69" s="180">
        <v>0</v>
      </c>
      <c r="BS69">
        <v>0</v>
      </c>
      <c r="BT69" s="180">
        <v>3489</v>
      </c>
      <c r="BU69" s="180">
        <v>3271451</v>
      </c>
      <c r="BV69" s="180">
        <v>0</v>
      </c>
      <c r="BW69" s="180">
        <v>0</v>
      </c>
      <c r="BX69" s="180">
        <v>0</v>
      </c>
      <c r="BY69" s="180">
        <v>0</v>
      </c>
      <c r="BZ69" s="180">
        <v>0</v>
      </c>
      <c r="CA69" s="180">
        <v>0</v>
      </c>
      <c r="CB69" s="180">
        <v>0</v>
      </c>
      <c r="CC69" s="180"/>
      <c r="CD69" s="180">
        <v>0</v>
      </c>
      <c r="CE69" s="180"/>
      <c r="CF69" s="180"/>
      <c r="CG69" s="180"/>
      <c r="CH69" s="180"/>
      <c r="CI69" s="180"/>
      <c r="CJ69" s="180"/>
      <c r="CK69" s="180"/>
      <c r="CL69" s="180"/>
      <c r="CM69" s="180"/>
      <c r="CN69" s="180"/>
      <c r="CO69" s="180"/>
      <c r="CP69" s="180"/>
      <c r="CQ69" s="180"/>
      <c r="CR69" s="180"/>
      <c r="CS69" s="180"/>
      <c r="CT69" s="180"/>
      <c r="CU69" s="180"/>
    </row>
    <row r="70" spans="1:99" x14ac:dyDescent="0.3">
      <c r="A70" s="155">
        <v>356</v>
      </c>
      <c r="B70" s="180" t="s">
        <v>307</v>
      </c>
      <c r="C70" s="180"/>
      <c r="D70" s="180"/>
      <c r="E70" s="180">
        <v>0</v>
      </c>
      <c r="F70" s="180">
        <v>0</v>
      </c>
      <c r="G70" s="180">
        <v>0</v>
      </c>
      <c r="H70" s="180">
        <v>0</v>
      </c>
      <c r="I70" s="180">
        <v>0</v>
      </c>
      <c r="J70" s="180">
        <v>0</v>
      </c>
      <c r="K70" s="180">
        <v>0</v>
      </c>
      <c r="L70" s="180">
        <v>0</v>
      </c>
      <c r="M70" s="180">
        <v>0</v>
      </c>
      <c r="N70" s="180">
        <v>0</v>
      </c>
      <c r="O70" s="180">
        <v>0</v>
      </c>
      <c r="P70" s="180">
        <v>0</v>
      </c>
      <c r="Q70" s="180">
        <v>132043199</v>
      </c>
      <c r="R70" s="180">
        <v>0</v>
      </c>
      <c r="S70" s="180">
        <v>0</v>
      </c>
      <c r="T70" s="180">
        <v>0</v>
      </c>
      <c r="U70" s="180">
        <v>0</v>
      </c>
      <c r="V70" s="180">
        <v>32376505</v>
      </c>
      <c r="W70" s="180">
        <v>0</v>
      </c>
      <c r="X70" s="180"/>
      <c r="Y70" s="180">
        <v>0</v>
      </c>
      <c r="Z70" s="180">
        <v>0</v>
      </c>
      <c r="AA70" s="180">
        <v>0</v>
      </c>
      <c r="AB70" s="180">
        <v>0</v>
      </c>
      <c r="AC70" s="180">
        <v>0</v>
      </c>
      <c r="AD70" s="180">
        <v>0</v>
      </c>
      <c r="AE70" s="180">
        <v>0</v>
      </c>
      <c r="AF70" s="180">
        <v>0</v>
      </c>
      <c r="AG70" s="180">
        <v>0</v>
      </c>
      <c r="AH70" s="180">
        <v>0</v>
      </c>
      <c r="AI70" s="180">
        <v>84815137</v>
      </c>
      <c r="AJ70" s="180">
        <v>0</v>
      </c>
      <c r="AK70" s="180"/>
      <c r="AL70" s="180"/>
      <c r="AM70" s="180">
        <v>27843232</v>
      </c>
      <c r="AN70" s="180">
        <v>0</v>
      </c>
      <c r="AO70" s="180">
        <v>0</v>
      </c>
      <c r="AP70" s="180">
        <v>0</v>
      </c>
      <c r="AQ70" s="180">
        <v>0</v>
      </c>
      <c r="AR70" s="180">
        <v>0</v>
      </c>
      <c r="AS70" s="180"/>
      <c r="AT70" s="180">
        <v>0</v>
      </c>
      <c r="AU70" s="180">
        <v>275692</v>
      </c>
      <c r="AV70" s="180">
        <v>0</v>
      </c>
      <c r="AW70" s="180">
        <v>0</v>
      </c>
      <c r="AX70" s="180">
        <v>0</v>
      </c>
      <c r="AY70" s="180">
        <v>0</v>
      </c>
      <c r="AZ70" s="180">
        <v>0</v>
      </c>
      <c r="BA70" s="180">
        <v>0</v>
      </c>
      <c r="BB70" s="180">
        <v>0</v>
      </c>
      <c r="BC70" s="180">
        <v>0</v>
      </c>
      <c r="BD70" s="180">
        <v>0</v>
      </c>
      <c r="BE70" s="180">
        <v>0</v>
      </c>
      <c r="BF70" s="180">
        <v>0</v>
      </c>
      <c r="BG70" s="180">
        <v>0</v>
      </c>
      <c r="BH70" s="180">
        <v>0</v>
      </c>
      <c r="BI70" s="180">
        <v>0</v>
      </c>
      <c r="BJ70" s="180">
        <v>0</v>
      </c>
      <c r="BK70" s="180">
        <v>0</v>
      </c>
      <c r="BL70" s="180"/>
      <c r="BM70" s="180">
        <v>0</v>
      </c>
      <c r="BN70" s="180">
        <v>0</v>
      </c>
      <c r="BO70" s="180">
        <v>0</v>
      </c>
      <c r="BP70" s="180">
        <v>0</v>
      </c>
      <c r="BQ70" s="180">
        <v>0</v>
      </c>
      <c r="BR70" s="180">
        <v>1443875</v>
      </c>
      <c r="BS70">
        <v>22258976</v>
      </c>
      <c r="BT70" s="180">
        <v>0</v>
      </c>
      <c r="BU70" s="180">
        <v>0</v>
      </c>
      <c r="BV70" s="180">
        <v>0</v>
      </c>
      <c r="BW70" s="180">
        <v>0</v>
      </c>
      <c r="BX70" s="180">
        <v>0</v>
      </c>
      <c r="BY70" s="180">
        <v>0</v>
      </c>
      <c r="BZ70" s="180">
        <v>0</v>
      </c>
      <c r="CA70" s="180">
        <v>0</v>
      </c>
      <c r="CB70" s="180">
        <v>0</v>
      </c>
      <c r="CC70" s="180"/>
      <c r="CD70" s="180">
        <v>0</v>
      </c>
      <c r="CE70" s="180"/>
      <c r="CF70" s="180"/>
      <c r="CG70" s="180"/>
      <c r="CH70" s="180"/>
      <c r="CI70" s="180"/>
      <c r="CJ70" s="180"/>
      <c r="CK70" s="180"/>
      <c r="CL70" s="180"/>
      <c r="CM70" s="180"/>
      <c r="CN70" s="180"/>
      <c r="CO70" s="180"/>
      <c r="CP70" s="180"/>
      <c r="CQ70" s="180"/>
      <c r="CR70" s="180"/>
      <c r="CS70" s="180"/>
      <c r="CT70" s="180"/>
      <c r="CU70" s="180"/>
    </row>
    <row r="71" spans="1:99" x14ac:dyDescent="0.3">
      <c r="A71" s="155">
        <v>357</v>
      </c>
      <c r="B71" s="180" t="s">
        <v>308</v>
      </c>
      <c r="C71" s="180"/>
      <c r="D71" s="180"/>
      <c r="E71" s="180">
        <v>0</v>
      </c>
      <c r="F71" s="180">
        <v>0</v>
      </c>
      <c r="G71" s="180">
        <v>0</v>
      </c>
      <c r="H71" s="180">
        <v>0</v>
      </c>
      <c r="I71" s="180">
        <v>0</v>
      </c>
      <c r="J71" s="180">
        <v>0</v>
      </c>
      <c r="K71" s="180">
        <v>0</v>
      </c>
      <c r="L71" s="180">
        <v>0</v>
      </c>
      <c r="M71" s="180">
        <v>0</v>
      </c>
      <c r="N71" s="180">
        <v>0</v>
      </c>
      <c r="O71" s="180">
        <v>0</v>
      </c>
      <c r="P71" s="180">
        <v>0</v>
      </c>
      <c r="Q71" s="180">
        <v>55330178</v>
      </c>
      <c r="R71" s="180">
        <v>0</v>
      </c>
      <c r="S71" s="180">
        <v>0</v>
      </c>
      <c r="T71" s="180">
        <v>0</v>
      </c>
      <c r="U71" s="180">
        <v>0</v>
      </c>
      <c r="V71" s="180">
        <v>18754985</v>
      </c>
      <c r="W71" s="180">
        <v>0</v>
      </c>
      <c r="X71" s="180"/>
      <c r="Y71" s="180">
        <v>0</v>
      </c>
      <c r="Z71" s="180">
        <v>0</v>
      </c>
      <c r="AA71" s="180">
        <v>0</v>
      </c>
      <c r="AB71" s="180">
        <v>0</v>
      </c>
      <c r="AC71" s="180">
        <v>0</v>
      </c>
      <c r="AD71" s="180">
        <v>0</v>
      </c>
      <c r="AE71" s="180">
        <v>0</v>
      </c>
      <c r="AF71" s="180">
        <v>0</v>
      </c>
      <c r="AG71" s="180">
        <v>0</v>
      </c>
      <c r="AH71" s="180">
        <v>0</v>
      </c>
      <c r="AI71" s="180">
        <v>52654026</v>
      </c>
      <c r="AJ71" s="180">
        <v>0</v>
      </c>
      <c r="AK71" s="180"/>
      <c r="AL71" s="180"/>
      <c r="AM71" s="180">
        <v>16534555</v>
      </c>
      <c r="AN71" s="180">
        <v>0</v>
      </c>
      <c r="AO71" s="180">
        <v>0</v>
      </c>
      <c r="AP71" s="180">
        <v>0</v>
      </c>
      <c r="AQ71" s="180">
        <v>0</v>
      </c>
      <c r="AR71" s="180">
        <v>0</v>
      </c>
      <c r="AS71" s="180"/>
      <c r="AT71" s="180">
        <v>0</v>
      </c>
      <c r="AU71" s="180">
        <v>233927</v>
      </c>
      <c r="AV71" s="180">
        <v>0</v>
      </c>
      <c r="AW71" s="180">
        <v>0</v>
      </c>
      <c r="AX71" s="180">
        <v>0</v>
      </c>
      <c r="AY71" s="180">
        <v>0</v>
      </c>
      <c r="AZ71" s="180">
        <v>0</v>
      </c>
      <c r="BA71" s="180">
        <v>0</v>
      </c>
      <c r="BB71" s="180">
        <v>0</v>
      </c>
      <c r="BC71" s="180">
        <v>0</v>
      </c>
      <c r="BD71" s="180">
        <v>0</v>
      </c>
      <c r="BE71" s="180">
        <v>0</v>
      </c>
      <c r="BF71" s="180">
        <v>0</v>
      </c>
      <c r="BG71" s="180">
        <v>0</v>
      </c>
      <c r="BH71" s="180">
        <v>0</v>
      </c>
      <c r="BI71" s="180">
        <v>0</v>
      </c>
      <c r="BJ71" s="180">
        <v>0</v>
      </c>
      <c r="BK71" s="180">
        <v>0</v>
      </c>
      <c r="BL71" s="180"/>
      <c r="BM71" s="180">
        <v>0</v>
      </c>
      <c r="BN71" s="180">
        <v>0</v>
      </c>
      <c r="BO71" s="180">
        <v>0</v>
      </c>
      <c r="BP71" s="180">
        <v>0</v>
      </c>
      <c r="BQ71" s="180">
        <v>0</v>
      </c>
      <c r="BR71" s="180">
        <v>1324315</v>
      </c>
      <c r="BS71">
        <v>11572679</v>
      </c>
      <c r="BT71" s="180">
        <v>0</v>
      </c>
      <c r="BU71" s="180">
        <v>0</v>
      </c>
      <c r="BV71" s="180">
        <v>0</v>
      </c>
      <c r="BW71" s="180">
        <v>0</v>
      </c>
      <c r="BX71" s="180">
        <v>0</v>
      </c>
      <c r="BY71" s="180">
        <v>0</v>
      </c>
      <c r="BZ71" s="180">
        <v>0</v>
      </c>
      <c r="CA71" s="180">
        <v>0</v>
      </c>
      <c r="CB71" s="180">
        <v>0</v>
      </c>
      <c r="CC71" s="180"/>
      <c r="CD71" s="180">
        <v>0</v>
      </c>
      <c r="CE71" s="180"/>
      <c r="CF71" s="180"/>
      <c r="CG71" s="180"/>
      <c r="CH71" s="180"/>
      <c r="CI71" s="180"/>
      <c r="CJ71" s="180"/>
      <c r="CK71" s="180"/>
      <c r="CL71" s="180"/>
      <c r="CM71" s="180"/>
      <c r="CN71" s="180"/>
      <c r="CO71" s="180"/>
      <c r="CP71" s="180"/>
      <c r="CQ71" s="180"/>
      <c r="CR71" s="180"/>
      <c r="CS71" s="180"/>
      <c r="CT71" s="180"/>
      <c r="CU71" s="180"/>
    </row>
    <row r="72" spans="1:99" x14ac:dyDescent="0.3">
      <c r="A72" s="155">
        <v>359</v>
      </c>
      <c r="B72" s="180" t="s">
        <v>247</v>
      </c>
      <c r="C72" s="180"/>
      <c r="D72" s="180"/>
      <c r="E72" s="180">
        <v>0</v>
      </c>
      <c r="F72" s="180">
        <v>0</v>
      </c>
      <c r="G72" s="180">
        <v>0</v>
      </c>
      <c r="H72" s="180">
        <v>0</v>
      </c>
      <c r="I72" s="180">
        <v>0</v>
      </c>
      <c r="J72" s="180">
        <v>0</v>
      </c>
      <c r="K72" s="180">
        <v>0</v>
      </c>
      <c r="L72" s="180">
        <v>0</v>
      </c>
      <c r="M72" s="180">
        <v>0</v>
      </c>
      <c r="N72" s="180">
        <v>0</v>
      </c>
      <c r="O72" s="180">
        <v>0</v>
      </c>
      <c r="P72" s="180">
        <v>0</v>
      </c>
      <c r="Q72" s="180">
        <v>13633604</v>
      </c>
      <c r="R72" s="180">
        <v>0</v>
      </c>
      <c r="S72" s="180">
        <v>0</v>
      </c>
      <c r="T72" s="180">
        <v>0</v>
      </c>
      <c r="U72" s="180">
        <v>0</v>
      </c>
      <c r="V72" s="180">
        <v>532986</v>
      </c>
      <c r="W72" s="180">
        <v>0</v>
      </c>
      <c r="X72" s="180"/>
      <c r="Y72" s="180">
        <v>0</v>
      </c>
      <c r="Z72" s="180">
        <v>0</v>
      </c>
      <c r="AA72" s="180">
        <v>0</v>
      </c>
      <c r="AB72" s="180">
        <v>0</v>
      </c>
      <c r="AC72" s="180">
        <v>0</v>
      </c>
      <c r="AD72" s="180">
        <v>0</v>
      </c>
      <c r="AE72" s="180">
        <v>0</v>
      </c>
      <c r="AF72" s="180">
        <v>0</v>
      </c>
      <c r="AG72" s="180">
        <v>0</v>
      </c>
      <c r="AH72" s="180">
        <v>0</v>
      </c>
      <c r="AI72" s="180">
        <v>3772404</v>
      </c>
      <c r="AJ72" s="180">
        <v>0</v>
      </c>
      <c r="AK72" s="180"/>
      <c r="AL72" s="180"/>
      <c r="AM72" s="180">
        <v>3764348</v>
      </c>
      <c r="AN72" s="180">
        <v>0</v>
      </c>
      <c r="AO72" s="180">
        <v>0</v>
      </c>
      <c r="AP72" s="180">
        <v>0</v>
      </c>
      <c r="AQ72" s="180">
        <v>0</v>
      </c>
      <c r="AR72" s="180">
        <v>0</v>
      </c>
      <c r="AS72" s="180"/>
      <c r="AT72" s="180">
        <v>0</v>
      </c>
      <c r="AU72" s="180">
        <v>0</v>
      </c>
      <c r="AV72" s="180">
        <v>0</v>
      </c>
      <c r="AW72" s="180">
        <v>0</v>
      </c>
      <c r="AX72" s="180">
        <v>0</v>
      </c>
      <c r="AY72" s="180">
        <v>0</v>
      </c>
      <c r="AZ72" s="180">
        <v>0</v>
      </c>
      <c r="BA72" s="180">
        <v>0</v>
      </c>
      <c r="BB72" s="180">
        <v>0</v>
      </c>
      <c r="BC72" s="180">
        <v>0</v>
      </c>
      <c r="BD72" s="180">
        <v>0</v>
      </c>
      <c r="BE72" s="180">
        <v>0</v>
      </c>
      <c r="BF72" s="180">
        <v>0</v>
      </c>
      <c r="BG72" s="180">
        <v>0</v>
      </c>
      <c r="BH72" s="180">
        <v>0</v>
      </c>
      <c r="BI72" s="180">
        <v>0</v>
      </c>
      <c r="BJ72" s="180">
        <v>0</v>
      </c>
      <c r="BK72" s="180">
        <v>0</v>
      </c>
      <c r="BL72" s="180"/>
      <c r="BM72" s="180">
        <v>0</v>
      </c>
      <c r="BN72" s="180">
        <v>0</v>
      </c>
      <c r="BO72" s="180">
        <v>0</v>
      </c>
      <c r="BP72" s="180">
        <v>0</v>
      </c>
      <c r="BQ72" s="180">
        <v>0</v>
      </c>
      <c r="BR72" s="180">
        <v>13263</v>
      </c>
      <c r="BS72">
        <v>0</v>
      </c>
      <c r="BT72" s="180">
        <v>0</v>
      </c>
      <c r="BU72" s="180">
        <v>0</v>
      </c>
      <c r="BV72" s="180">
        <v>0</v>
      </c>
      <c r="BW72" s="180">
        <v>0</v>
      </c>
      <c r="BX72" s="180">
        <v>0</v>
      </c>
      <c r="BY72" s="180">
        <v>0</v>
      </c>
      <c r="BZ72" s="180">
        <v>0</v>
      </c>
      <c r="CA72" s="180">
        <v>0</v>
      </c>
      <c r="CB72" s="180">
        <v>0</v>
      </c>
      <c r="CC72" s="180"/>
      <c r="CD72" s="180">
        <v>0</v>
      </c>
      <c r="CE72" s="180"/>
      <c r="CF72" s="180"/>
      <c r="CG72" s="180"/>
      <c r="CH72" s="180"/>
      <c r="CI72" s="180"/>
      <c r="CJ72" s="180"/>
      <c r="CK72" s="180"/>
      <c r="CL72" s="180"/>
      <c r="CM72" s="180"/>
      <c r="CN72" s="180"/>
      <c r="CO72" s="180"/>
      <c r="CP72" s="180"/>
      <c r="CQ72" s="180"/>
      <c r="CR72" s="180"/>
      <c r="CS72" s="180"/>
      <c r="CT72" s="180"/>
      <c r="CU72" s="180"/>
    </row>
    <row r="73" spans="1:99" x14ac:dyDescent="0.3">
      <c r="A73" s="155">
        <v>360</v>
      </c>
      <c r="B73" s="180" t="s">
        <v>117</v>
      </c>
      <c r="C73" s="180"/>
      <c r="D73" s="180"/>
      <c r="E73" s="180">
        <v>0</v>
      </c>
      <c r="F73" s="180">
        <v>0</v>
      </c>
      <c r="G73" s="180">
        <v>0</v>
      </c>
      <c r="H73" s="180">
        <v>0</v>
      </c>
      <c r="I73" s="180">
        <v>0</v>
      </c>
      <c r="J73" s="180">
        <v>0</v>
      </c>
      <c r="K73" s="180">
        <v>0</v>
      </c>
      <c r="L73" s="180">
        <v>0</v>
      </c>
      <c r="M73" s="180">
        <v>0</v>
      </c>
      <c r="N73" s="180">
        <v>0</v>
      </c>
      <c r="O73" s="180">
        <v>0</v>
      </c>
      <c r="P73" s="180">
        <v>0</v>
      </c>
      <c r="Q73" s="180">
        <v>24534502</v>
      </c>
      <c r="R73" s="180">
        <v>0</v>
      </c>
      <c r="S73" s="180">
        <v>0</v>
      </c>
      <c r="T73" s="180">
        <v>0</v>
      </c>
      <c r="U73" s="180">
        <v>0</v>
      </c>
      <c r="V73" s="180">
        <v>6249721</v>
      </c>
      <c r="W73" s="180">
        <v>0</v>
      </c>
      <c r="X73" s="180"/>
      <c r="Y73" s="180">
        <v>0</v>
      </c>
      <c r="Z73" s="180">
        <v>0</v>
      </c>
      <c r="AA73" s="180">
        <v>0</v>
      </c>
      <c r="AB73" s="180">
        <v>0</v>
      </c>
      <c r="AC73" s="180">
        <v>0</v>
      </c>
      <c r="AD73" s="180">
        <v>0</v>
      </c>
      <c r="AE73" s="180">
        <v>0</v>
      </c>
      <c r="AF73" s="180">
        <v>0</v>
      </c>
      <c r="AG73" s="180">
        <v>0</v>
      </c>
      <c r="AH73" s="180">
        <v>0</v>
      </c>
      <c r="AI73" s="180">
        <v>12587554</v>
      </c>
      <c r="AJ73" s="180">
        <v>0</v>
      </c>
      <c r="AK73" s="180"/>
      <c r="AL73" s="180"/>
      <c r="AM73" s="180">
        <v>6006167</v>
      </c>
      <c r="AN73" s="180">
        <v>0</v>
      </c>
      <c r="AO73" s="180">
        <v>0</v>
      </c>
      <c r="AP73" s="180">
        <v>0</v>
      </c>
      <c r="AQ73" s="180">
        <v>0</v>
      </c>
      <c r="AR73" s="180">
        <v>0</v>
      </c>
      <c r="AS73" s="180"/>
      <c r="AT73" s="180">
        <v>0</v>
      </c>
      <c r="AU73" s="180">
        <v>76936</v>
      </c>
      <c r="AV73" s="180">
        <v>0</v>
      </c>
      <c r="AW73" s="180">
        <v>0</v>
      </c>
      <c r="AX73" s="180">
        <v>0</v>
      </c>
      <c r="AY73" s="180">
        <v>0</v>
      </c>
      <c r="AZ73" s="180">
        <v>0</v>
      </c>
      <c r="BA73" s="180">
        <v>0</v>
      </c>
      <c r="BB73" s="180">
        <v>0</v>
      </c>
      <c r="BC73" s="180">
        <v>0</v>
      </c>
      <c r="BD73" s="180">
        <v>0</v>
      </c>
      <c r="BE73" s="180">
        <v>0</v>
      </c>
      <c r="BF73" s="180">
        <v>0</v>
      </c>
      <c r="BG73" s="180">
        <v>0</v>
      </c>
      <c r="BH73" s="180">
        <v>0</v>
      </c>
      <c r="BI73" s="180">
        <v>0</v>
      </c>
      <c r="BJ73" s="180">
        <v>0</v>
      </c>
      <c r="BK73" s="180">
        <v>0</v>
      </c>
      <c r="BL73" s="180"/>
      <c r="BM73" s="180">
        <v>0</v>
      </c>
      <c r="BN73" s="180">
        <v>0</v>
      </c>
      <c r="BO73" s="180">
        <v>0</v>
      </c>
      <c r="BP73" s="180">
        <v>0</v>
      </c>
      <c r="BQ73" s="180">
        <v>0</v>
      </c>
      <c r="BR73" s="180">
        <v>553475</v>
      </c>
      <c r="BS73" s="180">
        <v>1740743</v>
      </c>
      <c r="BT73" s="180">
        <v>0</v>
      </c>
      <c r="BU73" s="180">
        <v>0</v>
      </c>
      <c r="BV73" s="180">
        <v>0</v>
      </c>
      <c r="BW73" s="180">
        <v>0</v>
      </c>
      <c r="BX73" s="180">
        <v>0</v>
      </c>
      <c r="BY73" s="180">
        <v>0</v>
      </c>
      <c r="BZ73" s="180">
        <v>0</v>
      </c>
      <c r="CA73" s="180">
        <v>0</v>
      </c>
      <c r="CB73" s="180">
        <v>0</v>
      </c>
      <c r="CC73" s="180"/>
      <c r="CD73" s="180">
        <v>0</v>
      </c>
      <c r="CE73" s="180"/>
      <c r="CF73" s="180"/>
      <c r="CG73" s="180"/>
      <c r="CH73" s="180"/>
      <c r="CI73" s="180"/>
      <c r="CJ73" s="180"/>
      <c r="CK73" s="180"/>
      <c r="CL73" s="180"/>
      <c r="CM73" s="180"/>
      <c r="CN73" s="180"/>
      <c r="CO73" s="180"/>
      <c r="CP73" s="180"/>
      <c r="CQ73" s="180"/>
      <c r="CR73" s="180"/>
      <c r="CS73" s="180"/>
      <c r="CT73" s="180"/>
      <c r="CU73" s="180"/>
    </row>
    <row r="74" spans="1:99" x14ac:dyDescent="0.3">
      <c r="A74" s="155">
        <v>361</v>
      </c>
      <c r="B74" s="180" t="s">
        <v>98</v>
      </c>
      <c r="C74" s="180"/>
      <c r="D74" s="180"/>
      <c r="E74" s="180">
        <v>0</v>
      </c>
      <c r="F74" s="180">
        <v>0</v>
      </c>
      <c r="G74" s="180">
        <v>0</v>
      </c>
      <c r="H74" s="180">
        <v>0</v>
      </c>
      <c r="I74" s="180">
        <v>0</v>
      </c>
      <c r="J74" s="180">
        <v>0</v>
      </c>
      <c r="K74" s="180">
        <v>0</v>
      </c>
      <c r="L74" s="180">
        <v>0</v>
      </c>
      <c r="M74" s="180">
        <v>0</v>
      </c>
      <c r="N74" s="180">
        <v>0</v>
      </c>
      <c r="O74" s="180">
        <v>0</v>
      </c>
      <c r="P74" s="180">
        <v>0</v>
      </c>
      <c r="Q74" s="180">
        <v>91537734</v>
      </c>
      <c r="R74" s="180">
        <v>0</v>
      </c>
      <c r="S74" s="180">
        <v>0</v>
      </c>
      <c r="T74" s="180">
        <v>0</v>
      </c>
      <c r="U74" s="180">
        <v>0</v>
      </c>
      <c r="V74" s="180">
        <v>18401038</v>
      </c>
      <c r="W74" s="180">
        <v>0</v>
      </c>
      <c r="X74" s="180"/>
      <c r="Y74" s="180">
        <v>0</v>
      </c>
      <c r="Z74" s="180">
        <v>0</v>
      </c>
      <c r="AA74" s="180">
        <v>0</v>
      </c>
      <c r="AB74" s="180">
        <v>0</v>
      </c>
      <c r="AC74" s="180">
        <v>0</v>
      </c>
      <c r="AD74" s="180">
        <v>0</v>
      </c>
      <c r="AE74" s="180">
        <v>0</v>
      </c>
      <c r="AF74" s="180">
        <v>0</v>
      </c>
      <c r="AG74" s="180">
        <v>0</v>
      </c>
      <c r="AH74" s="180">
        <v>0</v>
      </c>
      <c r="AI74" s="180">
        <v>21559730</v>
      </c>
      <c r="AJ74" s="180">
        <v>0</v>
      </c>
      <c r="AK74" s="180"/>
      <c r="AL74" s="180"/>
      <c r="AM74" s="180">
        <v>12394780</v>
      </c>
      <c r="AN74" s="180">
        <v>0</v>
      </c>
      <c r="AO74" s="180">
        <v>0</v>
      </c>
      <c r="AP74" s="180">
        <v>0</v>
      </c>
      <c r="AQ74" s="180">
        <v>0</v>
      </c>
      <c r="AR74" s="180">
        <v>0</v>
      </c>
      <c r="AS74" s="180"/>
      <c r="AT74" s="180">
        <v>0</v>
      </c>
      <c r="AU74" s="180">
        <v>719454</v>
      </c>
      <c r="AV74" s="180">
        <v>0</v>
      </c>
      <c r="AW74" s="180">
        <v>0</v>
      </c>
      <c r="AX74" s="180">
        <v>0</v>
      </c>
      <c r="AY74" s="180">
        <v>0</v>
      </c>
      <c r="AZ74" s="180">
        <v>0</v>
      </c>
      <c r="BA74" s="180">
        <v>0</v>
      </c>
      <c r="BB74" s="180">
        <v>0</v>
      </c>
      <c r="BC74" s="180">
        <v>0</v>
      </c>
      <c r="BD74" s="180">
        <v>0</v>
      </c>
      <c r="BE74" s="180">
        <v>0</v>
      </c>
      <c r="BF74" s="180">
        <v>0</v>
      </c>
      <c r="BG74" s="180">
        <v>0</v>
      </c>
      <c r="BH74" s="180">
        <v>0</v>
      </c>
      <c r="BI74" s="180">
        <v>0</v>
      </c>
      <c r="BJ74" s="180">
        <v>0</v>
      </c>
      <c r="BK74" s="180">
        <v>0</v>
      </c>
      <c r="BL74" s="180"/>
      <c r="BM74" s="180">
        <v>0</v>
      </c>
      <c r="BN74" s="180">
        <v>0</v>
      </c>
      <c r="BO74" s="180">
        <v>0</v>
      </c>
      <c r="BP74" s="180">
        <v>0</v>
      </c>
      <c r="BQ74" s="180">
        <v>0</v>
      </c>
      <c r="BR74" s="180">
        <v>1764226</v>
      </c>
      <c r="BS74" s="180">
        <v>5104607</v>
      </c>
      <c r="BT74" s="180">
        <v>0</v>
      </c>
      <c r="BU74" s="180">
        <v>0</v>
      </c>
      <c r="BV74" s="180">
        <v>0</v>
      </c>
      <c r="BW74" s="180">
        <v>0</v>
      </c>
      <c r="BX74" s="180">
        <v>0</v>
      </c>
      <c r="BY74" s="180">
        <v>0</v>
      </c>
      <c r="BZ74" s="180">
        <v>0</v>
      </c>
      <c r="CA74" s="180">
        <v>0</v>
      </c>
      <c r="CB74" s="180">
        <v>0</v>
      </c>
      <c r="CC74" s="180"/>
      <c r="CD74" s="180">
        <v>0</v>
      </c>
      <c r="CE74" s="180"/>
      <c r="CF74" s="180"/>
      <c r="CG74" s="180"/>
      <c r="CH74" s="180"/>
      <c r="CI74" s="180"/>
      <c r="CJ74" s="180"/>
      <c r="CK74" s="180"/>
      <c r="CL74" s="180"/>
      <c r="CM74" s="180"/>
      <c r="CN74" s="180"/>
      <c r="CO74" s="180"/>
      <c r="CP74" s="180"/>
      <c r="CQ74" s="180"/>
      <c r="CR74" s="180"/>
      <c r="CS74" s="180"/>
      <c r="CT74" s="180"/>
      <c r="CU74" s="180"/>
    </row>
    <row r="75" spans="1:99" x14ac:dyDescent="0.3">
      <c r="A75" s="155">
        <v>362</v>
      </c>
      <c r="B75" s="180" t="s">
        <v>99</v>
      </c>
      <c r="C75" s="180"/>
      <c r="D75" s="180"/>
      <c r="E75" s="180">
        <v>0</v>
      </c>
      <c r="F75" s="180">
        <v>0</v>
      </c>
      <c r="G75" s="180">
        <v>0</v>
      </c>
      <c r="H75" s="180">
        <v>0</v>
      </c>
      <c r="I75" s="180">
        <v>0</v>
      </c>
      <c r="J75" s="180">
        <v>0</v>
      </c>
      <c r="K75" s="180">
        <v>0</v>
      </c>
      <c r="L75" s="180">
        <v>0</v>
      </c>
      <c r="M75" s="180">
        <v>0</v>
      </c>
      <c r="N75" s="180">
        <v>0</v>
      </c>
      <c r="O75" s="180">
        <v>0</v>
      </c>
      <c r="P75" s="180">
        <v>0</v>
      </c>
      <c r="Q75" s="180">
        <v>161911939</v>
      </c>
      <c r="R75" s="180">
        <v>0</v>
      </c>
      <c r="S75" s="180">
        <v>0</v>
      </c>
      <c r="T75" s="180">
        <v>0</v>
      </c>
      <c r="U75" s="180">
        <v>0</v>
      </c>
      <c r="V75" s="180">
        <v>32056940</v>
      </c>
      <c r="W75" s="180">
        <v>0</v>
      </c>
      <c r="X75" s="180"/>
      <c r="Y75" s="180">
        <v>0</v>
      </c>
      <c r="Z75" s="180">
        <v>0</v>
      </c>
      <c r="AA75" s="180">
        <v>0</v>
      </c>
      <c r="AB75" s="180">
        <v>0</v>
      </c>
      <c r="AC75" s="180">
        <v>0</v>
      </c>
      <c r="AD75" s="180">
        <v>0</v>
      </c>
      <c r="AE75" s="180">
        <v>0</v>
      </c>
      <c r="AF75" s="180">
        <v>0</v>
      </c>
      <c r="AG75" s="180">
        <v>0</v>
      </c>
      <c r="AH75" s="180">
        <v>0</v>
      </c>
      <c r="AI75" s="180">
        <v>54418019</v>
      </c>
      <c r="AJ75" s="180">
        <v>0</v>
      </c>
      <c r="AK75" s="180"/>
      <c r="AL75" s="180"/>
      <c r="AM75" s="180">
        <v>21481593</v>
      </c>
      <c r="AN75" s="180">
        <v>0</v>
      </c>
      <c r="AO75" s="180">
        <v>0</v>
      </c>
      <c r="AP75" s="180">
        <v>0</v>
      </c>
      <c r="AQ75" s="180">
        <v>0</v>
      </c>
      <c r="AR75" s="180">
        <v>0</v>
      </c>
      <c r="AS75" s="180"/>
      <c r="AT75" s="180">
        <v>0</v>
      </c>
      <c r="AU75" s="180">
        <v>768624</v>
      </c>
      <c r="AV75" s="180">
        <v>0</v>
      </c>
      <c r="AW75" s="180">
        <v>0</v>
      </c>
      <c r="AX75" s="180">
        <v>0</v>
      </c>
      <c r="AY75" s="180">
        <v>0</v>
      </c>
      <c r="AZ75" s="180">
        <v>0</v>
      </c>
      <c r="BA75" s="180">
        <v>0</v>
      </c>
      <c r="BB75" s="180">
        <v>0</v>
      </c>
      <c r="BC75" s="180">
        <v>0</v>
      </c>
      <c r="BD75" s="180">
        <v>0</v>
      </c>
      <c r="BE75" s="180">
        <v>0</v>
      </c>
      <c r="BF75" s="180">
        <v>0</v>
      </c>
      <c r="BG75" s="180">
        <v>0</v>
      </c>
      <c r="BH75" s="180">
        <v>0</v>
      </c>
      <c r="BI75" s="180">
        <v>0</v>
      </c>
      <c r="BJ75" s="180">
        <v>0</v>
      </c>
      <c r="BK75" s="180">
        <v>0</v>
      </c>
      <c r="BL75" s="180"/>
      <c r="BM75" s="180">
        <v>0</v>
      </c>
      <c r="BN75" s="180">
        <v>0</v>
      </c>
      <c r="BO75" s="180">
        <v>0</v>
      </c>
      <c r="BP75" s="180">
        <v>0</v>
      </c>
      <c r="BQ75" s="180">
        <v>0</v>
      </c>
      <c r="BR75" s="180">
        <v>1895386</v>
      </c>
      <c r="BS75" s="180">
        <v>22881706</v>
      </c>
      <c r="BT75" s="180">
        <v>0</v>
      </c>
      <c r="BU75" s="180">
        <v>0</v>
      </c>
      <c r="BV75" s="180">
        <v>0</v>
      </c>
      <c r="BW75" s="180">
        <v>0</v>
      </c>
      <c r="BX75" s="180">
        <v>0</v>
      </c>
      <c r="BY75" s="180">
        <v>0</v>
      </c>
      <c r="BZ75" s="180">
        <v>0</v>
      </c>
      <c r="CA75" s="180">
        <v>0</v>
      </c>
      <c r="CB75" s="180">
        <v>0</v>
      </c>
      <c r="CC75" s="180"/>
      <c r="CD75" s="180">
        <v>0</v>
      </c>
      <c r="CE75" s="180"/>
      <c r="CF75" s="180"/>
      <c r="CG75" s="180"/>
      <c r="CH75" s="180"/>
      <c r="CI75" s="180"/>
      <c r="CJ75" s="180"/>
      <c r="CK75" s="180"/>
      <c r="CL75" s="180"/>
      <c r="CM75" s="180"/>
      <c r="CN75" s="180"/>
      <c r="CO75" s="180"/>
      <c r="CP75" s="180"/>
      <c r="CQ75" s="180"/>
      <c r="CR75" s="180"/>
      <c r="CS75" s="180"/>
      <c r="CT75" s="180"/>
      <c r="CU75" s="180"/>
    </row>
    <row r="76" spans="1:99" x14ac:dyDescent="0.3">
      <c r="A76" s="155">
        <v>363</v>
      </c>
      <c r="B76" s="180" t="s">
        <v>233</v>
      </c>
      <c r="C76" s="180"/>
      <c r="D76" s="180"/>
      <c r="E76" s="180">
        <v>0</v>
      </c>
      <c r="F76" s="180">
        <v>0</v>
      </c>
      <c r="G76" s="180">
        <v>0</v>
      </c>
      <c r="H76" s="180">
        <v>0</v>
      </c>
      <c r="I76" s="180">
        <v>0</v>
      </c>
      <c r="J76" s="180">
        <v>0</v>
      </c>
      <c r="K76" s="180">
        <v>0</v>
      </c>
      <c r="L76" s="180">
        <v>0</v>
      </c>
      <c r="M76" s="180">
        <v>0</v>
      </c>
      <c r="N76" s="180">
        <v>0</v>
      </c>
      <c r="O76" s="180">
        <v>0</v>
      </c>
      <c r="P76" s="180">
        <v>0</v>
      </c>
      <c r="Q76" s="180">
        <v>640483</v>
      </c>
      <c r="R76" s="180">
        <v>0</v>
      </c>
      <c r="S76" s="180">
        <v>0</v>
      </c>
      <c r="T76" s="180">
        <v>0</v>
      </c>
      <c r="U76" s="180">
        <v>0</v>
      </c>
      <c r="V76" s="180">
        <v>155592</v>
      </c>
      <c r="W76" s="180">
        <v>0</v>
      </c>
      <c r="X76" s="180"/>
      <c r="Y76" s="180">
        <v>0</v>
      </c>
      <c r="Z76" s="180">
        <v>0</v>
      </c>
      <c r="AA76" s="180">
        <v>0</v>
      </c>
      <c r="AB76" s="180">
        <v>0</v>
      </c>
      <c r="AC76" s="180">
        <v>0</v>
      </c>
      <c r="AD76" s="180">
        <v>0</v>
      </c>
      <c r="AE76" s="180">
        <v>0</v>
      </c>
      <c r="AF76" s="180">
        <v>0</v>
      </c>
      <c r="AG76" s="180">
        <v>0</v>
      </c>
      <c r="AH76" s="180">
        <v>0</v>
      </c>
      <c r="AI76" s="180">
        <v>32230</v>
      </c>
      <c r="AJ76" s="180">
        <v>0</v>
      </c>
      <c r="AK76" s="180"/>
      <c r="AL76" s="180"/>
      <c r="AM76" s="180">
        <v>1016286</v>
      </c>
      <c r="AN76" s="180">
        <v>0</v>
      </c>
      <c r="AO76" s="180">
        <v>0</v>
      </c>
      <c r="AP76" s="180">
        <v>0</v>
      </c>
      <c r="AQ76" s="180">
        <v>0</v>
      </c>
      <c r="AR76" s="180">
        <v>0</v>
      </c>
      <c r="AS76" s="180"/>
      <c r="AT76" s="180">
        <v>0</v>
      </c>
      <c r="AU76" s="180">
        <v>14896</v>
      </c>
      <c r="AV76" s="180">
        <v>0</v>
      </c>
      <c r="AW76" s="180">
        <v>0</v>
      </c>
      <c r="AX76" s="180">
        <v>0</v>
      </c>
      <c r="AY76" s="180">
        <v>0</v>
      </c>
      <c r="AZ76" s="180">
        <v>0</v>
      </c>
      <c r="BA76" s="180">
        <v>0</v>
      </c>
      <c r="BB76" s="180">
        <v>0</v>
      </c>
      <c r="BC76" s="180">
        <v>0</v>
      </c>
      <c r="BD76" s="180">
        <v>0</v>
      </c>
      <c r="BE76" s="180">
        <v>0</v>
      </c>
      <c r="BF76" s="180">
        <v>0</v>
      </c>
      <c r="BG76" s="180">
        <v>0</v>
      </c>
      <c r="BH76" s="180">
        <v>0</v>
      </c>
      <c r="BI76" s="180">
        <v>0</v>
      </c>
      <c r="BJ76" s="180">
        <v>0</v>
      </c>
      <c r="BK76" s="180">
        <v>0</v>
      </c>
      <c r="BL76" s="180"/>
      <c r="BM76" s="180">
        <v>0</v>
      </c>
      <c r="BN76" s="180">
        <v>0</v>
      </c>
      <c r="BO76" s="180">
        <v>0</v>
      </c>
      <c r="BP76" s="180">
        <v>0</v>
      </c>
      <c r="BQ76" s="180">
        <v>0</v>
      </c>
      <c r="BR76" s="180">
        <v>0</v>
      </c>
      <c r="BS76" s="180">
        <v>47349</v>
      </c>
      <c r="BT76" s="180">
        <v>0</v>
      </c>
      <c r="BU76" s="180">
        <v>0</v>
      </c>
      <c r="BV76" s="180">
        <v>0</v>
      </c>
      <c r="BW76" s="180">
        <v>0</v>
      </c>
      <c r="BX76" s="180">
        <v>0</v>
      </c>
      <c r="BY76" s="180">
        <v>0</v>
      </c>
      <c r="BZ76" s="180">
        <v>0</v>
      </c>
      <c r="CA76" s="180">
        <v>0</v>
      </c>
      <c r="CB76" s="180">
        <v>0</v>
      </c>
      <c r="CC76" s="180"/>
      <c r="CD76" s="180">
        <v>0</v>
      </c>
      <c r="CE76" s="180"/>
      <c r="CF76" s="180"/>
      <c r="CG76" s="180"/>
      <c r="CH76" s="180"/>
      <c r="CI76" s="180"/>
      <c r="CJ76" s="180"/>
      <c r="CK76" s="180"/>
      <c r="CL76" s="180"/>
      <c r="CM76" s="180"/>
      <c r="CN76" s="180"/>
      <c r="CO76" s="180"/>
      <c r="CP76" s="180"/>
      <c r="CQ76" s="180"/>
      <c r="CR76" s="180"/>
      <c r="CS76" s="180"/>
      <c r="CT76" s="180"/>
      <c r="CU76" s="180"/>
    </row>
    <row r="77" spans="1:99" x14ac:dyDescent="0.3">
      <c r="A77" s="155">
        <v>364</v>
      </c>
      <c r="B77" s="180" t="s">
        <v>234</v>
      </c>
      <c r="C77" s="180"/>
      <c r="D77" s="180"/>
      <c r="E77" s="180">
        <v>0</v>
      </c>
      <c r="F77" s="180">
        <v>0</v>
      </c>
      <c r="G77" s="180">
        <v>0</v>
      </c>
      <c r="H77" s="180">
        <v>0</v>
      </c>
      <c r="I77" s="180">
        <v>0</v>
      </c>
      <c r="J77" s="180">
        <v>0</v>
      </c>
      <c r="K77" s="180">
        <v>0</v>
      </c>
      <c r="L77" s="180">
        <v>0</v>
      </c>
      <c r="M77" s="180">
        <v>0</v>
      </c>
      <c r="N77" s="180">
        <v>0</v>
      </c>
      <c r="O77" s="180">
        <v>0</v>
      </c>
      <c r="P77" s="180">
        <v>0</v>
      </c>
      <c r="Q77" s="180">
        <v>2211481</v>
      </c>
      <c r="R77" s="180">
        <v>0</v>
      </c>
      <c r="S77" s="180">
        <v>0</v>
      </c>
      <c r="T77" s="180">
        <v>0</v>
      </c>
      <c r="U77" s="180">
        <v>0</v>
      </c>
      <c r="V77" s="180">
        <v>12554</v>
      </c>
      <c r="W77" s="180">
        <v>0</v>
      </c>
      <c r="X77" s="180"/>
      <c r="Y77" s="180">
        <v>0</v>
      </c>
      <c r="Z77" s="180">
        <v>0</v>
      </c>
      <c r="AA77" s="180">
        <v>0</v>
      </c>
      <c r="AB77" s="180">
        <v>0</v>
      </c>
      <c r="AC77" s="180">
        <v>0</v>
      </c>
      <c r="AD77" s="180">
        <v>0</v>
      </c>
      <c r="AE77" s="180">
        <v>0</v>
      </c>
      <c r="AF77" s="180">
        <v>0</v>
      </c>
      <c r="AG77" s="180">
        <v>0</v>
      </c>
      <c r="AH77" s="180">
        <v>0</v>
      </c>
      <c r="AI77" s="180">
        <v>133460</v>
      </c>
      <c r="AJ77" s="180">
        <v>0</v>
      </c>
      <c r="AK77" s="180"/>
      <c r="AL77" s="180"/>
      <c r="AM77" s="180">
        <v>883474</v>
      </c>
      <c r="AN77" s="180">
        <v>0</v>
      </c>
      <c r="AO77" s="180">
        <v>0</v>
      </c>
      <c r="AP77" s="180">
        <v>0</v>
      </c>
      <c r="AQ77" s="180">
        <v>0</v>
      </c>
      <c r="AR77" s="180">
        <v>0</v>
      </c>
      <c r="AS77" s="180"/>
      <c r="AT77" s="180">
        <v>0</v>
      </c>
      <c r="AU77" s="180">
        <v>0</v>
      </c>
      <c r="AV77" s="180">
        <v>0</v>
      </c>
      <c r="AW77" s="180">
        <v>0</v>
      </c>
      <c r="AX77" s="180">
        <v>0</v>
      </c>
      <c r="AY77" s="180">
        <v>0</v>
      </c>
      <c r="AZ77" s="180">
        <v>0</v>
      </c>
      <c r="BA77" s="180">
        <v>0</v>
      </c>
      <c r="BB77" s="180">
        <v>0</v>
      </c>
      <c r="BC77" s="180">
        <v>0</v>
      </c>
      <c r="BD77" s="180">
        <v>0</v>
      </c>
      <c r="BE77" s="180">
        <v>0</v>
      </c>
      <c r="BF77" s="180">
        <v>0</v>
      </c>
      <c r="BG77" s="180">
        <v>0</v>
      </c>
      <c r="BH77" s="180">
        <v>0</v>
      </c>
      <c r="BI77" s="180">
        <v>0</v>
      </c>
      <c r="BJ77" s="180">
        <v>0</v>
      </c>
      <c r="BK77" s="180">
        <v>0</v>
      </c>
      <c r="BL77" s="180"/>
      <c r="BM77" s="180">
        <v>0</v>
      </c>
      <c r="BN77" s="180">
        <v>0</v>
      </c>
      <c r="BO77" s="180">
        <v>0</v>
      </c>
      <c r="BP77" s="180">
        <v>0</v>
      </c>
      <c r="BQ77" s="180">
        <v>0</v>
      </c>
      <c r="BR77" s="180">
        <v>7854</v>
      </c>
      <c r="BS77" s="180">
        <v>0</v>
      </c>
      <c r="BT77" s="180">
        <v>0</v>
      </c>
      <c r="BU77" s="180">
        <v>0</v>
      </c>
      <c r="BV77" s="180">
        <v>0</v>
      </c>
      <c r="BW77" s="180">
        <v>0</v>
      </c>
      <c r="BX77" s="180">
        <v>0</v>
      </c>
      <c r="BY77" s="180">
        <v>0</v>
      </c>
      <c r="BZ77" s="180">
        <v>0</v>
      </c>
      <c r="CA77" s="180">
        <v>0</v>
      </c>
      <c r="CB77" s="180">
        <v>0</v>
      </c>
      <c r="CC77" s="180"/>
      <c r="CD77" s="180">
        <v>0</v>
      </c>
      <c r="CE77" s="180"/>
      <c r="CF77" s="180"/>
      <c r="CG77" s="180"/>
      <c r="CH77" s="180"/>
      <c r="CI77" s="180"/>
      <c r="CJ77" s="180"/>
      <c r="CK77" s="180"/>
      <c r="CL77" s="180"/>
      <c r="CM77" s="180"/>
      <c r="CN77" s="180"/>
      <c r="CO77" s="180"/>
      <c r="CP77" s="180"/>
      <c r="CQ77" s="180"/>
      <c r="CR77" s="180"/>
      <c r="CS77" s="180"/>
      <c r="CT77" s="180"/>
      <c r="CU77" s="180"/>
    </row>
    <row r="78" spans="1:99" x14ac:dyDescent="0.3">
      <c r="A78" s="155">
        <v>365</v>
      </c>
      <c r="B78" s="180" t="s">
        <v>236</v>
      </c>
      <c r="C78" s="180"/>
      <c r="D78" s="180"/>
      <c r="E78" s="180">
        <v>0</v>
      </c>
      <c r="F78" s="180">
        <v>0</v>
      </c>
      <c r="G78" s="180">
        <v>0</v>
      </c>
      <c r="H78" s="180">
        <v>0</v>
      </c>
      <c r="I78" s="180">
        <v>0</v>
      </c>
      <c r="J78" s="180">
        <v>0</v>
      </c>
      <c r="K78" s="180">
        <v>0</v>
      </c>
      <c r="L78" s="180">
        <v>0</v>
      </c>
      <c r="M78" s="180">
        <v>0</v>
      </c>
      <c r="N78" s="180">
        <v>0</v>
      </c>
      <c r="O78" s="180">
        <v>0</v>
      </c>
      <c r="P78" s="180">
        <v>0</v>
      </c>
      <c r="Q78" s="180">
        <v>0</v>
      </c>
      <c r="R78" s="180">
        <v>0</v>
      </c>
      <c r="S78" s="180">
        <v>0</v>
      </c>
      <c r="T78" s="180">
        <v>0</v>
      </c>
      <c r="U78" s="180">
        <v>0</v>
      </c>
      <c r="V78" s="180">
        <v>0</v>
      </c>
      <c r="W78" s="180">
        <v>0</v>
      </c>
      <c r="X78" s="180"/>
      <c r="Y78" s="180">
        <v>0</v>
      </c>
      <c r="Z78" s="180">
        <v>0</v>
      </c>
      <c r="AA78" s="180">
        <v>0</v>
      </c>
      <c r="AB78" s="180">
        <v>0</v>
      </c>
      <c r="AC78" s="180">
        <v>0</v>
      </c>
      <c r="AD78" s="180">
        <v>0</v>
      </c>
      <c r="AE78" s="180">
        <v>0</v>
      </c>
      <c r="AF78" s="180">
        <v>0</v>
      </c>
      <c r="AG78" s="180">
        <v>0</v>
      </c>
      <c r="AH78" s="180">
        <v>0</v>
      </c>
      <c r="AI78" s="180">
        <v>0</v>
      </c>
      <c r="AJ78" s="180">
        <v>0</v>
      </c>
      <c r="AK78" s="180"/>
      <c r="AL78" s="180"/>
      <c r="AM78" s="180">
        <v>0</v>
      </c>
      <c r="AN78" s="180">
        <v>0</v>
      </c>
      <c r="AO78" s="180">
        <v>0</v>
      </c>
      <c r="AP78" s="180">
        <v>0</v>
      </c>
      <c r="AQ78" s="180">
        <v>0</v>
      </c>
      <c r="AR78" s="180">
        <v>0</v>
      </c>
      <c r="AS78" s="180"/>
      <c r="AT78" s="180">
        <v>0</v>
      </c>
      <c r="AU78" s="180">
        <v>0</v>
      </c>
      <c r="AV78" s="180">
        <v>0</v>
      </c>
      <c r="AW78" s="180">
        <v>0</v>
      </c>
      <c r="AX78" s="180">
        <v>0</v>
      </c>
      <c r="AY78" s="180">
        <v>0</v>
      </c>
      <c r="AZ78" s="180">
        <v>0</v>
      </c>
      <c r="BA78" s="180">
        <v>0</v>
      </c>
      <c r="BB78" s="180">
        <v>0</v>
      </c>
      <c r="BC78" s="180">
        <v>0</v>
      </c>
      <c r="BD78" s="180">
        <v>0</v>
      </c>
      <c r="BE78" s="180">
        <v>0</v>
      </c>
      <c r="BF78" s="180">
        <v>0</v>
      </c>
      <c r="BG78" s="180">
        <v>0</v>
      </c>
      <c r="BH78" s="180">
        <v>0</v>
      </c>
      <c r="BI78" s="180">
        <v>0</v>
      </c>
      <c r="BJ78" s="180">
        <v>0</v>
      </c>
      <c r="BK78" s="180">
        <v>0</v>
      </c>
      <c r="BL78" s="180"/>
      <c r="BM78" s="180">
        <v>0</v>
      </c>
      <c r="BN78" s="180">
        <v>0</v>
      </c>
      <c r="BO78" s="180">
        <v>0</v>
      </c>
      <c r="BP78" s="180">
        <v>0</v>
      </c>
      <c r="BQ78" s="180">
        <v>0</v>
      </c>
      <c r="BR78" s="180">
        <v>0</v>
      </c>
      <c r="BS78" s="180">
        <v>0</v>
      </c>
      <c r="BT78" s="180">
        <v>0</v>
      </c>
      <c r="BU78" s="180">
        <v>0</v>
      </c>
      <c r="BV78" s="180">
        <v>0</v>
      </c>
      <c r="BW78" s="180">
        <v>0</v>
      </c>
      <c r="BX78" s="180">
        <v>0</v>
      </c>
      <c r="BY78" s="180">
        <v>0</v>
      </c>
      <c r="BZ78" s="180">
        <v>0</v>
      </c>
      <c r="CA78" s="180">
        <v>0</v>
      </c>
      <c r="CB78" s="180">
        <v>0</v>
      </c>
      <c r="CC78" s="180"/>
      <c r="CD78" s="180">
        <v>0</v>
      </c>
      <c r="CE78" s="180"/>
      <c r="CF78" s="180"/>
      <c r="CG78" s="180"/>
      <c r="CH78" s="180"/>
      <c r="CI78" s="180"/>
      <c r="CJ78" s="180"/>
      <c r="CK78" s="180"/>
      <c r="CL78" s="180"/>
      <c r="CM78" s="180"/>
      <c r="CN78" s="180"/>
      <c r="CO78" s="180"/>
      <c r="CP78" s="180"/>
      <c r="CQ78" s="180"/>
      <c r="CR78" s="180"/>
      <c r="CS78" s="180"/>
      <c r="CT78" s="180"/>
      <c r="CU78" s="180"/>
    </row>
    <row r="79" spans="1:99" x14ac:dyDescent="0.3">
      <c r="A79" s="155">
        <v>366</v>
      </c>
      <c r="B79" s="180" t="s">
        <v>924</v>
      </c>
      <c r="C79" s="180"/>
      <c r="D79" s="180"/>
      <c r="E79" s="180">
        <v>0</v>
      </c>
      <c r="F79" s="180">
        <v>0</v>
      </c>
      <c r="G79" s="180">
        <v>0</v>
      </c>
      <c r="H79" s="180">
        <v>0</v>
      </c>
      <c r="I79" s="180">
        <v>0</v>
      </c>
      <c r="J79" s="180">
        <v>0</v>
      </c>
      <c r="K79" s="180">
        <v>0</v>
      </c>
      <c r="L79" s="180">
        <v>0</v>
      </c>
      <c r="M79" s="180">
        <v>0</v>
      </c>
      <c r="N79" s="180">
        <v>0</v>
      </c>
      <c r="O79" s="180">
        <v>0</v>
      </c>
      <c r="P79" s="180">
        <v>0</v>
      </c>
      <c r="Q79" s="180">
        <v>468863</v>
      </c>
      <c r="R79" s="180">
        <v>0</v>
      </c>
      <c r="S79" s="180">
        <v>0</v>
      </c>
      <c r="T79" s="180">
        <v>0</v>
      </c>
      <c r="U79" s="180">
        <v>0</v>
      </c>
      <c r="V79" s="180">
        <v>794458</v>
      </c>
      <c r="W79" s="180">
        <v>0</v>
      </c>
      <c r="X79" s="180"/>
      <c r="Y79" s="180">
        <v>0</v>
      </c>
      <c r="Z79" s="180">
        <v>0</v>
      </c>
      <c r="AA79" s="180">
        <v>0</v>
      </c>
      <c r="AB79" s="180">
        <v>0</v>
      </c>
      <c r="AC79" s="180">
        <v>0</v>
      </c>
      <c r="AD79" s="180">
        <v>0</v>
      </c>
      <c r="AE79" s="180">
        <v>0</v>
      </c>
      <c r="AF79" s="180">
        <v>0</v>
      </c>
      <c r="AG79" s="180">
        <v>0</v>
      </c>
      <c r="AH79" s="180">
        <v>0</v>
      </c>
      <c r="AI79" s="180">
        <v>2572550</v>
      </c>
      <c r="AJ79" s="180">
        <v>0</v>
      </c>
      <c r="AK79" s="180"/>
      <c r="AL79" s="180"/>
      <c r="AM79" s="180">
        <v>0</v>
      </c>
      <c r="AN79" s="180">
        <v>0</v>
      </c>
      <c r="AO79" s="180">
        <v>0</v>
      </c>
      <c r="AP79" s="180">
        <v>0</v>
      </c>
      <c r="AQ79" s="180">
        <v>0</v>
      </c>
      <c r="AR79" s="180">
        <v>0</v>
      </c>
      <c r="AS79" s="180"/>
      <c r="AT79" s="180">
        <v>0</v>
      </c>
      <c r="AU79" s="180">
        <v>0</v>
      </c>
      <c r="AV79" s="180">
        <v>0</v>
      </c>
      <c r="AW79" s="180">
        <v>0</v>
      </c>
      <c r="AX79" s="180">
        <v>0</v>
      </c>
      <c r="AY79" s="180">
        <v>0</v>
      </c>
      <c r="AZ79" s="180">
        <v>0</v>
      </c>
      <c r="BA79" s="180">
        <v>0</v>
      </c>
      <c r="BB79" s="180">
        <v>0</v>
      </c>
      <c r="BC79" s="180">
        <v>0</v>
      </c>
      <c r="BD79" s="180">
        <v>0</v>
      </c>
      <c r="BE79" s="180">
        <v>0</v>
      </c>
      <c r="BF79" s="180">
        <v>0</v>
      </c>
      <c r="BG79" s="180">
        <v>0</v>
      </c>
      <c r="BH79" s="180">
        <v>0</v>
      </c>
      <c r="BI79" s="180">
        <v>0</v>
      </c>
      <c r="BJ79" s="180">
        <v>0</v>
      </c>
      <c r="BK79" s="180">
        <v>0</v>
      </c>
      <c r="BL79" s="180"/>
      <c r="BM79" s="180">
        <v>0</v>
      </c>
      <c r="BN79" s="180">
        <v>0</v>
      </c>
      <c r="BO79" s="180">
        <v>0</v>
      </c>
      <c r="BP79" s="180">
        <v>0</v>
      </c>
      <c r="BQ79" s="180">
        <v>0</v>
      </c>
      <c r="BR79" s="180">
        <v>344778</v>
      </c>
      <c r="BS79" s="180">
        <v>28929</v>
      </c>
      <c r="BT79" s="180">
        <v>0</v>
      </c>
      <c r="BU79" s="180">
        <v>0</v>
      </c>
      <c r="BV79" s="180">
        <v>0</v>
      </c>
      <c r="BW79" s="180">
        <v>0</v>
      </c>
      <c r="BX79" s="180">
        <v>0</v>
      </c>
      <c r="BY79" s="180">
        <v>0</v>
      </c>
      <c r="BZ79" s="180">
        <v>0</v>
      </c>
      <c r="CA79" s="180">
        <v>0</v>
      </c>
      <c r="CB79" s="180">
        <v>0</v>
      </c>
      <c r="CC79" s="180"/>
      <c r="CD79" s="180">
        <v>0</v>
      </c>
      <c r="CE79" s="180"/>
      <c r="CF79" s="180"/>
      <c r="CG79" s="180"/>
      <c r="CH79" s="180"/>
      <c r="CI79" s="180"/>
      <c r="CJ79" s="180"/>
      <c r="CK79" s="180"/>
      <c r="CL79" s="180"/>
      <c r="CM79" s="180"/>
      <c r="CN79" s="180"/>
      <c r="CO79" s="180"/>
      <c r="CP79" s="180"/>
      <c r="CQ79" s="180"/>
      <c r="CR79" s="180"/>
      <c r="CS79" s="180"/>
      <c r="CT79" s="180"/>
      <c r="CU79" s="180"/>
    </row>
    <row r="80" spans="1:99" x14ac:dyDescent="0.3">
      <c r="A80" s="155">
        <v>368</v>
      </c>
      <c r="B80" s="180" t="s">
        <v>191</v>
      </c>
      <c r="C80" s="180"/>
      <c r="D80" s="180"/>
      <c r="E80" s="180">
        <v>0</v>
      </c>
      <c r="F80" s="180">
        <v>0</v>
      </c>
      <c r="G80" s="180">
        <v>0</v>
      </c>
      <c r="H80" s="180">
        <v>0</v>
      </c>
      <c r="I80" s="180">
        <v>0</v>
      </c>
      <c r="J80" s="180">
        <v>0</v>
      </c>
      <c r="K80" s="180">
        <v>0</v>
      </c>
      <c r="L80" s="180">
        <v>0</v>
      </c>
      <c r="M80" s="180">
        <v>0</v>
      </c>
      <c r="N80" s="180">
        <v>0</v>
      </c>
      <c r="O80" s="180">
        <v>0</v>
      </c>
      <c r="P80" s="180">
        <v>0</v>
      </c>
      <c r="Q80" s="180">
        <v>15868</v>
      </c>
      <c r="R80" s="180">
        <v>0</v>
      </c>
      <c r="S80" s="180">
        <v>0</v>
      </c>
      <c r="T80" s="180">
        <v>19477</v>
      </c>
      <c r="U80" s="180">
        <v>0</v>
      </c>
      <c r="V80" s="180">
        <v>0</v>
      </c>
      <c r="W80" s="180">
        <v>0</v>
      </c>
      <c r="X80" s="180"/>
      <c r="Y80" s="180">
        <v>284205</v>
      </c>
      <c r="Z80" s="180">
        <v>0</v>
      </c>
      <c r="AA80" s="180">
        <v>86045</v>
      </c>
      <c r="AB80" s="180">
        <v>0</v>
      </c>
      <c r="AC80" s="180">
        <v>32379</v>
      </c>
      <c r="AD80" s="180">
        <v>0</v>
      </c>
      <c r="AE80" s="180">
        <v>0</v>
      </c>
      <c r="AF80" s="180">
        <v>7710</v>
      </c>
      <c r="AG80" s="180">
        <v>0</v>
      </c>
      <c r="AH80" s="180">
        <v>0</v>
      </c>
      <c r="AI80" s="180">
        <v>0</v>
      </c>
      <c r="AJ80" s="180">
        <v>0</v>
      </c>
      <c r="AK80" s="180"/>
      <c r="AL80" s="180"/>
      <c r="AM80" s="180">
        <v>33640</v>
      </c>
      <c r="AN80" s="180">
        <v>0</v>
      </c>
      <c r="AO80" s="180">
        <v>0</v>
      </c>
      <c r="AP80" s="180">
        <v>0</v>
      </c>
      <c r="AQ80" s="180">
        <v>0</v>
      </c>
      <c r="AR80" s="180">
        <v>0</v>
      </c>
      <c r="AS80" s="180"/>
      <c r="AT80" s="180">
        <v>0</v>
      </c>
      <c r="AU80" s="180">
        <v>0</v>
      </c>
      <c r="AV80" s="180">
        <v>93429</v>
      </c>
      <c r="AW80" s="180">
        <v>12907</v>
      </c>
      <c r="AX80" s="180">
        <v>33000</v>
      </c>
      <c r="AY80" s="180">
        <v>157311</v>
      </c>
      <c r="AZ80" s="180">
        <v>0</v>
      </c>
      <c r="BA80" s="180">
        <v>0</v>
      </c>
      <c r="BB80" s="180">
        <v>0</v>
      </c>
      <c r="BC80" s="180">
        <v>3100</v>
      </c>
      <c r="BD80" s="180">
        <v>0</v>
      </c>
      <c r="BE80" s="180">
        <v>0</v>
      </c>
      <c r="BF80" s="180">
        <v>0</v>
      </c>
      <c r="BG80" s="180">
        <v>0</v>
      </c>
      <c r="BH80" s="180">
        <v>0</v>
      </c>
      <c r="BI80" s="180">
        <v>0</v>
      </c>
      <c r="BJ80" s="180">
        <v>0</v>
      </c>
      <c r="BK80" s="180">
        <v>0</v>
      </c>
      <c r="BL80" s="180"/>
      <c r="BM80" s="180">
        <v>0</v>
      </c>
      <c r="BN80" s="180">
        <v>45437</v>
      </c>
      <c r="BO80" s="180">
        <v>0</v>
      </c>
      <c r="BP80" s="180">
        <v>0</v>
      </c>
      <c r="BQ80" s="180">
        <v>0</v>
      </c>
      <c r="BR80" s="180">
        <v>0</v>
      </c>
      <c r="BS80" s="180">
        <v>0</v>
      </c>
      <c r="BT80" s="180">
        <v>0</v>
      </c>
      <c r="BU80" s="180">
        <v>0</v>
      </c>
      <c r="BV80" s="180">
        <v>632678</v>
      </c>
      <c r="BW80" s="180">
        <v>0</v>
      </c>
      <c r="BX80" s="180">
        <v>0</v>
      </c>
      <c r="BY80" s="180">
        <v>16729</v>
      </c>
      <c r="BZ80" s="180">
        <v>0</v>
      </c>
      <c r="CA80" s="180">
        <v>0</v>
      </c>
      <c r="CB80" s="180">
        <v>0</v>
      </c>
      <c r="CC80" s="180"/>
      <c r="CD80" s="180">
        <v>0</v>
      </c>
      <c r="CE80" s="180"/>
      <c r="CF80" s="180"/>
      <c r="CG80" s="180"/>
      <c r="CH80" s="180"/>
      <c r="CI80" s="180"/>
      <c r="CJ80" s="180"/>
      <c r="CK80" s="180"/>
      <c r="CL80" s="180"/>
      <c r="CM80" s="180"/>
      <c r="CN80" s="180"/>
      <c r="CO80" s="180"/>
      <c r="CP80" s="180"/>
      <c r="CQ80" s="180"/>
      <c r="CR80" s="180"/>
      <c r="CS80" s="180"/>
      <c r="CT80" s="180"/>
      <c r="CU80" s="180"/>
    </row>
    <row r="81" spans="1:99" s="562" customFormat="1" x14ac:dyDescent="0.3">
      <c r="A81" s="561">
        <v>369</v>
      </c>
      <c r="B81" s="562" t="s">
        <v>196</v>
      </c>
      <c r="E81" s="562">
        <v>30533</v>
      </c>
      <c r="F81" s="562">
        <v>431340</v>
      </c>
      <c r="G81" s="562">
        <v>1116387</v>
      </c>
      <c r="H81" s="562">
        <v>2120046</v>
      </c>
      <c r="I81" s="562">
        <v>2001107</v>
      </c>
      <c r="J81" s="562">
        <v>39327</v>
      </c>
      <c r="K81" s="562">
        <v>279647</v>
      </c>
      <c r="L81" s="562">
        <v>98003</v>
      </c>
      <c r="M81" s="562">
        <v>5902909</v>
      </c>
      <c r="N81" s="562">
        <v>384124</v>
      </c>
      <c r="O81" s="562">
        <v>1260051</v>
      </c>
      <c r="P81" s="562">
        <v>9457</v>
      </c>
      <c r="Q81" s="562">
        <v>16138936</v>
      </c>
      <c r="R81" s="562">
        <v>144193</v>
      </c>
      <c r="S81" s="562">
        <v>5125</v>
      </c>
      <c r="T81" s="562">
        <v>28753797</v>
      </c>
      <c r="U81" s="562">
        <v>7899656</v>
      </c>
      <c r="V81" s="562">
        <v>3978637</v>
      </c>
      <c r="W81" s="562">
        <v>13354853</v>
      </c>
      <c r="Y81" s="562">
        <v>6360192</v>
      </c>
      <c r="Z81" s="562">
        <v>661224</v>
      </c>
      <c r="AA81" s="562">
        <v>6817914</v>
      </c>
      <c r="AB81" s="562">
        <v>2824502</v>
      </c>
      <c r="AC81" s="562">
        <v>1247246</v>
      </c>
      <c r="AD81" s="562">
        <v>1022742</v>
      </c>
      <c r="AE81" s="562">
        <v>1513721</v>
      </c>
      <c r="AF81" s="562">
        <v>1962409</v>
      </c>
      <c r="AG81" s="562">
        <v>2870282</v>
      </c>
      <c r="AH81" s="562">
        <v>770282</v>
      </c>
      <c r="AI81" s="562">
        <v>15346110</v>
      </c>
      <c r="AJ81" s="562">
        <v>553624</v>
      </c>
      <c r="AM81" s="562">
        <v>1363501</v>
      </c>
      <c r="AN81" s="562">
        <v>301390</v>
      </c>
      <c r="AO81" s="562">
        <v>625140</v>
      </c>
      <c r="AP81" s="562">
        <v>34235</v>
      </c>
      <c r="AQ81" s="562">
        <v>2827114</v>
      </c>
      <c r="AR81" s="562">
        <v>2690887</v>
      </c>
      <c r="AT81" s="562">
        <v>1093876</v>
      </c>
      <c r="AU81" s="562">
        <v>63963</v>
      </c>
      <c r="AV81" s="562">
        <v>4413708</v>
      </c>
      <c r="AW81" s="562">
        <v>939040</v>
      </c>
      <c r="AX81" s="562">
        <v>987457</v>
      </c>
      <c r="AY81" s="562">
        <v>3315394</v>
      </c>
      <c r="AZ81" s="562">
        <v>279692</v>
      </c>
      <c r="BA81" s="562">
        <v>355721</v>
      </c>
      <c r="BB81" s="562">
        <v>37235</v>
      </c>
      <c r="BC81" s="562">
        <v>21458</v>
      </c>
      <c r="BD81" s="562">
        <v>3653852</v>
      </c>
      <c r="BE81" s="562">
        <v>88505</v>
      </c>
      <c r="BF81" s="562">
        <v>74106</v>
      </c>
      <c r="BG81" s="562">
        <v>59133</v>
      </c>
      <c r="BH81" s="562">
        <v>45488</v>
      </c>
      <c r="BI81" s="562">
        <v>160273</v>
      </c>
      <c r="BJ81" s="562">
        <v>144192</v>
      </c>
      <c r="BK81" s="562">
        <v>491751</v>
      </c>
      <c r="BM81" s="562">
        <v>983073</v>
      </c>
      <c r="BN81" s="562">
        <v>1550165</v>
      </c>
      <c r="BO81" s="562">
        <v>540556</v>
      </c>
      <c r="BP81" s="562">
        <v>1135581</v>
      </c>
      <c r="BQ81" s="562">
        <v>8559605</v>
      </c>
      <c r="BR81" s="562">
        <v>555086</v>
      </c>
      <c r="BS81" s="562">
        <v>7280559</v>
      </c>
      <c r="BT81" s="562">
        <v>324579</v>
      </c>
      <c r="BU81" s="562">
        <v>331463</v>
      </c>
      <c r="BV81" s="562">
        <v>373750</v>
      </c>
      <c r="BW81" s="562">
        <v>1016533</v>
      </c>
      <c r="BX81" s="562">
        <v>815334</v>
      </c>
      <c r="BY81" s="562">
        <v>55126</v>
      </c>
      <c r="BZ81" s="562">
        <v>244534</v>
      </c>
      <c r="CA81" s="562">
        <v>80603</v>
      </c>
      <c r="CB81" s="562">
        <v>458078</v>
      </c>
      <c r="CD81" s="562">
        <v>50916</v>
      </c>
    </row>
    <row r="82" spans="1:99" s="562" customFormat="1" x14ac:dyDescent="0.3">
      <c r="A82" s="561">
        <v>370</v>
      </c>
      <c r="B82" s="562" t="s">
        <v>198</v>
      </c>
      <c r="E82" s="562">
        <v>2100</v>
      </c>
      <c r="F82" s="562">
        <v>14569</v>
      </c>
      <c r="G82" s="562">
        <v>50589</v>
      </c>
      <c r="H82" s="562">
        <v>0</v>
      </c>
      <c r="I82" s="562">
        <v>0</v>
      </c>
      <c r="J82" s="562">
        <v>0</v>
      </c>
      <c r="K82" s="562">
        <v>0</v>
      </c>
      <c r="L82" s="562">
        <v>0</v>
      </c>
      <c r="M82" s="562">
        <v>1062998</v>
      </c>
      <c r="N82" s="562">
        <v>11903</v>
      </c>
      <c r="O82" s="562">
        <v>125159</v>
      </c>
      <c r="P82" s="562">
        <v>0</v>
      </c>
      <c r="Q82" s="562">
        <v>3221477</v>
      </c>
      <c r="R82" s="562">
        <v>17941</v>
      </c>
      <c r="S82" s="562">
        <v>0</v>
      </c>
      <c r="T82" s="562">
        <v>9010433</v>
      </c>
      <c r="U82" s="562">
        <v>8841788</v>
      </c>
      <c r="V82" s="562">
        <v>1405433</v>
      </c>
      <c r="W82" s="562">
        <v>3079639</v>
      </c>
      <c r="Y82" s="562">
        <v>45232</v>
      </c>
      <c r="Z82" s="562">
        <v>0</v>
      </c>
      <c r="AA82" s="562">
        <v>1403629</v>
      </c>
      <c r="AB82" s="562">
        <v>74834</v>
      </c>
      <c r="AC82" s="562">
        <v>103947</v>
      </c>
      <c r="AD82" s="562">
        <v>0</v>
      </c>
      <c r="AE82" s="562">
        <v>110978</v>
      </c>
      <c r="AF82" s="562">
        <v>4066078</v>
      </c>
      <c r="AG82" s="562">
        <v>65051</v>
      </c>
      <c r="AH82" s="562">
        <v>8654</v>
      </c>
      <c r="AI82" s="562">
        <v>2248446</v>
      </c>
      <c r="AJ82" s="562">
        <v>0</v>
      </c>
      <c r="AM82" s="562">
        <v>1368641</v>
      </c>
      <c r="AN82" s="562">
        <v>0</v>
      </c>
      <c r="AO82" s="562">
        <v>29831</v>
      </c>
      <c r="AP82" s="562">
        <v>0</v>
      </c>
      <c r="AQ82" s="562">
        <v>100183</v>
      </c>
      <c r="AR82" s="562">
        <v>803025</v>
      </c>
      <c r="AT82" s="562">
        <v>116874</v>
      </c>
      <c r="AU82" s="562">
        <v>0</v>
      </c>
      <c r="AV82" s="562">
        <v>0</v>
      </c>
      <c r="AW82" s="562">
        <v>255600</v>
      </c>
      <c r="AX82" s="562">
        <v>0</v>
      </c>
      <c r="AY82" s="562">
        <v>938170</v>
      </c>
      <c r="AZ82" s="562">
        <v>24067</v>
      </c>
      <c r="BA82" s="562">
        <v>0</v>
      </c>
      <c r="BB82" s="562">
        <v>0</v>
      </c>
      <c r="BC82" s="562">
        <v>0</v>
      </c>
      <c r="BD82" s="562">
        <v>211122</v>
      </c>
      <c r="BE82" s="562">
        <v>0</v>
      </c>
      <c r="BF82" s="562">
        <v>0</v>
      </c>
      <c r="BG82" s="562">
        <v>93395</v>
      </c>
      <c r="BH82" s="562">
        <v>0</v>
      </c>
      <c r="BI82" s="562">
        <v>0</v>
      </c>
      <c r="BJ82" s="562">
        <v>18940</v>
      </c>
      <c r="BK82" s="562">
        <v>270809</v>
      </c>
      <c r="BM82" s="562">
        <v>37175</v>
      </c>
      <c r="BN82" s="562">
        <v>162274</v>
      </c>
      <c r="BO82" s="562">
        <v>45967</v>
      </c>
      <c r="BP82" s="562">
        <v>578145</v>
      </c>
      <c r="BQ82" s="562">
        <v>11343</v>
      </c>
      <c r="BR82" s="562">
        <v>24653</v>
      </c>
      <c r="BS82" s="562">
        <v>325961</v>
      </c>
      <c r="BT82" s="562">
        <v>20544</v>
      </c>
      <c r="BU82" s="562">
        <v>124155</v>
      </c>
      <c r="BV82" s="562">
        <v>0</v>
      </c>
      <c r="BW82" s="562">
        <v>112023</v>
      </c>
      <c r="BX82" s="562">
        <v>10188</v>
      </c>
      <c r="BY82" s="562">
        <v>0</v>
      </c>
      <c r="BZ82" s="562">
        <v>281994</v>
      </c>
      <c r="CA82" s="562">
        <v>0</v>
      </c>
      <c r="CB82" s="562">
        <v>75518</v>
      </c>
      <c r="CD82" s="562">
        <v>0</v>
      </c>
    </row>
    <row r="83" spans="1:99" s="562" customFormat="1" x14ac:dyDescent="0.3">
      <c r="A83" s="561">
        <v>371</v>
      </c>
      <c r="B83" s="562" t="s">
        <v>248</v>
      </c>
      <c r="E83" s="562">
        <v>0</v>
      </c>
      <c r="F83" s="562">
        <v>0</v>
      </c>
      <c r="G83" s="562">
        <v>0</v>
      </c>
      <c r="H83" s="562">
        <v>0</v>
      </c>
      <c r="I83" s="562">
        <v>0</v>
      </c>
      <c r="J83" s="562">
        <v>0</v>
      </c>
      <c r="K83" s="562">
        <v>0</v>
      </c>
      <c r="L83" s="562">
        <v>0</v>
      </c>
      <c r="M83" s="562">
        <v>0</v>
      </c>
      <c r="N83" s="562">
        <v>0</v>
      </c>
      <c r="O83" s="562">
        <v>0</v>
      </c>
      <c r="P83" s="562">
        <v>0</v>
      </c>
      <c r="Q83" s="562">
        <v>0</v>
      </c>
      <c r="R83" s="562">
        <v>0</v>
      </c>
      <c r="S83" s="562">
        <v>0</v>
      </c>
      <c r="T83" s="562">
        <v>0</v>
      </c>
      <c r="U83" s="562">
        <v>0</v>
      </c>
      <c r="V83" s="562">
        <v>0</v>
      </c>
      <c r="W83" s="562">
        <v>0</v>
      </c>
      <c r="Y83" s="562">
        <v>0</v>
      </c>
      <c r="Z83" s="562">
        <v>0</v>
      </c>
      <c r="AA83" s="562">
        <v>0</v>
      </c>
      <c r="AB83" s="562">
        <v>0</v>
      </c>
      <c r="AC83" s="562">
        <v>0</v>
      </c>
      <c r="AD83" s="562">
        <v>0</v>
      </c>
      <c r="AE83" s="562">
        <v>0</v>
      </c>
      <c r="AF83" s="562">
        <v>0</v>
      </c>
      <c r="AG83" s="562">
        <v>0</v>
      </c>
      <c r="AH83" s="562">
        <v>0</v>
      </c>
      <c r="AI83" s="562">
        <v>0</v>
      </c>
      <c r="AJ83" s="562">
        <v>0</v>
      </c>
      <c r="AM83" s="562">
        <v>0</v>
      </c>
      <c r="AN83" s="562">
        <v>0</v>
      </c>
      <c r="AO83" s="562">
        <v>0</v>
      </c>
      <c r="AP83" s="562">
        <v>0</v>
      </c>
      <c r="AQ83" s="562">
        <v>0</v>
      </c>
      <c r="AR83" s="562">
        <v>0</v>
      </c>
      <c r="AT83" s="562">
        <v>0</v>
      </c>
      <c r="AU83" s="562">
        <v>0</v>
      </c>
      <c r="AV83" s="562">
        <v>0</v>
      </c>
      <c r="AW83" s="562">
        <v>0</v>
      </c>
      <c r="AX83" s="562">
        <v>0</v>
      </c>
      <c r="AY83" s="562">
        <v>0</v>
      </c>
      <c r="AZ83" s="562">
        <v>0</v>
      </c>
      <c r="BA83" s="562">
        <v>0</v>
      </c>
      <c r="BB83" s="562">
        <v>0</v>
      </c>
      <c r="BC83" s="562">
        <v>0</v>
      </c>
      <c r="BD83" s="562">
        <v>0</v>
      </c>
      <c r="BE83" s="562">
        <v>0</v>
      </c>
      <c r="BF83" s="562">
        <v>0</v>
      </c>
      <c r="BG83" s="562">
        <v>0</v>
      </c>
      <c r="BH83" s="562">
        <v>0</v>
      </c>
      <c r="BI83" s="562">
        <v>0</v>
      </c>
      <c r="BJ83" s="562">
        <v>0</v>
      </c>
      <c r="BK83" s="562">
        <v>0</v>
      </c>
      <c r="BM83" s="562">
        <v>0</v>
      </c>
      <c r="BN83" s="562">
        <v>0</v>
      </c>
      <c r="BO83" s="562">
        <v>0</v>
      </c>
      <c r="BP83" s="562">
        <v>0</v>
      </c>
      <c r="BQ83" s="562">
        <v>0</v>
      </c>
      <c r="BR83" s="562">
        <v>0</v>
      </c>
      <c r="BS83" s="562">
        <v>0</v>
      </c>
      <c r="BT83" s="562">
        <v>0</v>
      </c>
      <c r="BU83" s="562">
        <v>0</v>
      </c>
      <c r="BV83" s="562">
        <v>0</v>
      </c>
      <c r="BW83" s="562">
        <v>0</v>
      </c>
      <c r="BX83" s="562">
        <v>0</v>
      </c>
      <c r="BY83" s="562">
        <v>0</v>
      </c>
      <c r="BZ83" s="562">
        <v>0</v>
      </c>
      <c r="CA83" s="562">
        <v>0</v>
      </c>
      <c r="CB83" s="562">
        <v>0</v>
      </c>
      <c r="CD83" s="562">
        <v>0</v>
      </c>
    </row>
    <row r="84" spans="1:99" x14ac:dyDescent="0.3">
      <c r="A84" s="155">
        <v>373</v>
      </c>
      <c r="B84" s="180" t="s">
        <v>304</v>
      </c>
      <c r="C84" s="180"/>
      <c r="D84" s="180"/>
      <c r="E84" s="180">
        <v>90348</v>
      </c>
      <c r="F84" s="180">
        <v>1174798</v>
      </c>
      <c r="G84" s="180">
        <v>2409196</v>
      </c>
      <c r="H84" s="180">
        <v>621999</v>
      </c>
      <c r="I84" s="180">
        <v>1864336</v>
      </c>
      <c r="J84" s="180">
        <v>59154</v>
      </c>
      <c r="K84" s="180">
        <v>323260</v>
      </c>
      <c r="L84" s="180">
        <v>366239</v>
      </c>
      <c r="M84" s="180">
        <v>28956061</v>
      </c>
      <c r="N84" s="180">
        <v>396339</v>
      </c>
      <c r="O84" s="180">
        <v>8585199</v>
      </c>
      <c r="P84" s="180">
        <v>94439</v>
      </c>
      <c r="Q84" s="180">
        <v>92273919</v>
      </c>
      <c r="R84" s="180">
        <v>1604004</v>
      </c>
      <c r="S84" s="180">
        <v>202017</v>
      </c>
      <c r="T84" s="180">
        <v>96210993</v>
      </c>
      <c r="U84" s="180">
        <v>16843871</v>
      </c>
      <c r="V84" s="180">
        <v>84437960</v>
      </c>
      <c r="W84" s="180">
        <v>53894725</v>
      </c>
      <c r="X84" s="180"/>
      <c r="Y84" s="180">
        <v>34216905</v>
      </c>
      <c r="Z84" s="180">
        <v>1774759</v>
      </c>
      <c r="AA84" s="180">
        <v>12988102</v>
      </c>
      <c r="AB84" s="180">
        <v>8651808</v>
      </c>
      <c r="AC84" s="180">
        <v>3061305</v>
      </c>
      <c r="AD84" s="180">
        <v>3799312</v>
      </c>
      <c r="AE84" s="180">
        <v>3826092</v>
      </c>
      <c r="AF84" s="180">
        <v>88021874</v>
      </c>
      <c r="AG84" s="180">
        <v>6886006</v>
      </c>
      <c r="AH84" s="180">
        <v>1283337</v>
      </c>
      <c r="AI84" s="180">
        <v>41822680</v>
      </c>
      <c r="AJ84" s="180">
        <v>1315332</v>
      </c>
      <c r="AK84" s="180"/>
      <c r="AL84" s="180"/>
      <c r="AM84" s="180">
        <v>24700403</v>
      </c>
      <c r="AN84" s="180">
        <v>509992</v>
      </c>
      <c r="AO84" s="180">
        <v>603212</v>
      </c>
      <c r="AP84" s="180">
        <v>116151</v>
      </c>
      <c r="AQ84" s="180">
        <v>13474950</v>
      </c>
      <c r="AR84" s="180">
        <v>14207087</v>
      </c>
      <c r="AS84" s="180"/>
      <c r="AT84" s="180">
        <v>2697018</v>
      </c>
      <c r="AU84" s="180">
        <v>259142</v>
      </c>
      <c r="AV84" s="180">
        <v>16576578</v>
      </c>
      <c r="AW84" s="180">
        <v>2747202</v>
      </c>
      <c r="AX84" s="180">
        <v>2948611</v>
      </c>
      <c r="AY84" s="180">
        <v>5330970</v>
      </c>
      <c r="AZ84" s="180">
        <v>1788861</v>
      </c>
      <c r="BA84" s="180">
        <v>703405</v>
      </c>
      <c r="BB84" s="180">
        <v>0</v>
      </c>
      <c r="BC84" s="180">
        <v>22798</v>
      </c>
      <c r="BD84" s="180">
        <v>12902535</v>
      </c>
      <c r="BE84" s="180">
        <v>22546</v>
      </c>
      <c r="BF84" s="180">
        <v>288428</v>
      </c>
      <c r="BG84" s="180">
        <v>235142</v>
      </c>
      <c r="BH84" s="180">
        <v>134275</v>
      </c>
      <c r="BI84" s="180">
        <v>369546</v>
      </c>
      <c r="BJ84" s="180">
        <v>41596</v>
      </c>
      <c r="BK84" s="180">
        <v>4834326</v>
      </c>
      <c r="BL84" s="180"/>
      <c r="BM84" s="180">
        <v>1849107</v>
      </c>
      <c r="BN84" s="180">
        <v>5284748</v>
      </c>
      <c r="BO84" s="180">
        <v>1710786</v>
      </c>
      <c r="BP84" s="180">
        <v>2799726</v>
      </c>
      <c r="BQ84" s="180">
        <v>27328096</v>
      </c>
      <c r="BR84" s="180">
        <v>1600251</v>
      </c>
      <c r="BS84" s="180">
        <v>19855990</v>
      </c>
      <c r="BT84" s="180">
        <v>1798653</v>
      </c>
      <c r="BU84" s="180">
        <v>3961557</v>
      </c>
      <c r="BV84" s="180">
        <v>1210491</v>
      </c>
      <c r="BW84" s="180">
        <v>4539083</v>
      </c>
      <c r="BX84" s="180">
        <v>659263</v>
      </c>
      <c r="BY84" s="180">
        <v>79872</v>
      </c>
      <c r="BZ84" s="180">
        <v>261134</v>
      </c>
      <c r="CA84" s="180">
        <v>64002</v>
      </c>
      <c r="CB84" s="180">
        <v>1571232</v>
      </c>
      <c r="CC84" s="180"/>
      <c r="CD84" s="180">
        <v>141097</v>
      </c>
      <c r="CE84" s="180"/>
      <c r="CF84" s="180"/>
      <c r="CG84" s="180"/>
      <c r="CH84" s="180"/>
      <c r="CI84" s="180"/>
      <c r="CJ84" s="180"/>
      <c r="CK84" s="180"/>
      <c r="CL84" s="180"/>
      <c r="CM84" s="180"/>
      <c r="CN84" s="180"/>
      <c r="CO84" s="180"/>
      <c r="CP84" s="180"/>
      <c r="CQ84" s="180"/>
      <c r="CR84" s="180"/>
      <c r="CS84" s="180"/>
      <c r="CT84" s="180"/>
      <c r="CU84" s="180"/>
    </row>
    <row r="85" spans="1:99" x14ac:dyDescent="0.3">
      <c r="A85" s="155">
        <v>375</v>
      </c>
      <c r="B85" s="180" t="s">
        <v>213</v>
      </c>
      <c r="C85" s="180"/>
      <c r="D85" s="180"/>
      <c r="E85" s="180">
        <v>0</v>
      </c>
      <c r="F85" s="180">
        <v>731377</v>
      </c>
      <c r="G85" s="180">
        <v>0</v>
      </c>
      <c r="H85" s="180">
        <v>0</v>
      </c>
      <c r="I85" s="180">
        <v>0</v>
      </c>
      <c r="J85" s="180">
        <v>61473</v>
      </c>
      <c r="K85" s="180">
        <v>0</v>
      </c>
      <c r="L85" s="180">
        <v>0</v>
      </c>
      <c r="M85" s="180">
        <v>0</v>
      </c>
      <c r="N85" s="180">
        <v>0</v>
      </c>
      <c r="O85" s="180">
        <v>724335</v>
      </c>
      <c r="P85" s="180">
        <v>0</v>
      </c>
      <c r="Q85" s="180">
        <v>48750836</v>
      </c>
      <c r="R85" s="180">
        <v>906983</v>
      </c>
      <c r="S85" s="180">
        <v>0</v>
      </c>
      <c r="T85" s="180">
        <v>49427077</v>
      </c>
      <c r="U85" s="180">
        <v>7923212</v>
      </c>
      <c r="V85" s="180">
        <v>17890567</v>
      </c>
      <c r="W85" s="180">
        <v>0</v>
      </c>
      <c r="X85" s="180"/>
      <c r="Y85" s="180">
        <v>6461237</v>
      </c>
      <c r="Z85" s="180">
        <v>1749223</v>
      </c>
      <c r="AA85" s="180">
        <v>14666998</v>
      </c>
      <c r="AB85" s="180">
        <v>0</v>
      </c>
      <c r="AC85" s="180">
        <v>1345657</v>
      </c>
      <c r="AD85" s="180">
        <v>1138844</v>
      </c>
      <c r="AE85" s="180">
        <v>1965144</v>
      </c>
      <c r="AF85" s="180">
        <v>3522990</v>
      </c>
      <c r="AG85" s="180">
        <v>623765</v>
      </c>
      <c r="AH85" s="180">
        <v>0</v>
      </c>
      <c r="AI85" s="180">
        <v>23053759</v>
      </c>
      <c r="AJ85" s="180">
        <v>358718</v>
      </c>
      <c r="AK85" s="180"/>
      <c r="AL85" s="180"/>
      <c r="AM85" s="180">
        <v>3095657</v>
      </c>
      <c r="AN85" s="180">
        <v>25506</v>
      </c>
      <c r="AO85" s="180">
        <v>12788</v>
      </c>
      <c r="AP85" s="180">
        <v>0</v>
      </c>
      <c r="AQ85" s="180">
        <v>0</v>
      </c>
      <c r="AR85" s="180">
        <v>4987230</v>
      </c>
      <c r="AS85" s="180"/>
      <c r="AT85" s="180">
        <v>1244631</v>
      </c>
      <c r="AU85" s="180">
        <v>0</v>
      </c>
      <c r="AV85" s="180">
        <v>33563978</v>
      </c>
      <c r="AW85" s="180">
        <v>0</v>
      </c>
      <c r="AX85" s="180">
        <v>3134641</v>
      </c>
      <c r="AY85" s="180">
        <v>17760143</v>
      </c>
      <c r="AZ85" s="180">
        <v>1017346</v>
      </c>
      <c r="BA85" s="180">
        <v>180039</v>
      </c>
      <c r="BB85" s="180">
        <v>0</v>
      </c>
      <c r="BC85" s="180">
        <v>-32488</v>
      </c>
      <c r="BD85" s="180">
        <v>7742625</v>
      </c>
      <c r="BE85" s="180">
        <v>0</v>
      </c>
      <c r="BF85" s="180">
        <v>66044</v>
      </c>
      <c r="BG85" s="180">
        <v>132118</v>
      </c>
      <c r="BH85" s="180">
        <v>0</v>
      </c>
      <c r="BI85" s="180">
        <v>352632</v>
      </c>
      <c r="BJ85" s="180">
        <v>0</v>
      </c>
      <c r="BK85" s="180">
        <v>250856</v>
      </c>
      <c r="BL85" s="180"/>
      <c r="BM85" s="180">
        <v>454924</v>
      </c>
      <c r="BN85" s="180">
        <v>1002881</v>
      </c>
      <c r="BO85" s="180">
        <v>675312</v>
      </c>
      <c r="BP85" s="180">
        <v>1185330</v>
      </c>
      <c r="BQ85" s="180">
        <v>0</v>
      </c>
      <c r="BR85" s="180">
        <v>819177</v>
      </c>
      <c r="BS85" s="180">
        <v>0</v>
      </c>
      <c r="BT85" s="180">
        <v>623255</v>
      </c>
      <c r="BU85" s="180">
        <v>1730689</v>
      </c>
      <c r="BV85" s="180">
        <v>0</v>
      </c>
      <c r="BW85" s="180">
        <v>717360</v>
      </c>
      <c r="BX85" s="180">
        <v>1298225</v>
      </c>
      <c r="BY85" s="180">
        <v>989</v>
      </c>
      <c r="BZ85" s="180">
        <v>-209197</v>
      </c>
      <c r="CA85" s="180">
        <v>56305</v>
      </c>
      <c r="CB85" s="180">
        <v>1472268</v>
      </c>
      <c r="CC85" s="180"/>
      <c r="CD85" s="180">
        <v>35503</v>
      </c>
      <c r="CE85" s="180"/>
      <c r="CF85" s="180"/>
      <c r="CG85" s="180"/>
      <c r="CH85" s="180"/>
      <c r="CI85" s="180"/>
      <c r="CJ85" s="180"/>
      <c r="CK85" s="180"/>
      <c r="CL85" s="180"/>
      <c r="CM85" s="180"/>
      <c r="CN85" s="180"/>
      <c r="CO85" s="180"/>
      <c r="CP85" s="180"/>
      <c r="CQ85" s="180"/>
      <c r="CR85" s="180"/>
      <c r="CS85" s="180"/>
      <c r="CT85" s="180"/>
      <c r="CU85" s="180"/>
    </row>
    <row r="86" spans="1:99" x14ac:dyDescent="0.3">
      <c r="A86" s="155">
        <v>376</v>
      </c>
      <c r="B86" s="180" t="s">
        <v>100</v>
      </c>
      <c r="C86" s="180"/>
      <c r="D86" s="180"/>
      <c r="E86" s="180">
        <v>0</v>
      </c>
      <c r="F86" s="180">
        <v>0</v>
      </c>
      <c r="G86" s="180">
        <v>0</v>
      </c>
      <c r="H86" s="180">
        <v>0</v>
      </c>
      <c r="I86" s="180">
        <v>0</v>
      </c>
      <c r="J86" s="180">
        <v>1</v>
      </c>
      <c r="K86" s="180">
        <v>0</v>
      </c>
      <c r="L86" s="180">
        <v>0</v>
      </c>
      <c r="M86" s="180">
        <v>0</v>
      </c>
      <c r="N86" s="180">
        <v>0</v>
      </c>
      <c r="O86" s="180">
        <v>-1</v>
      </c>
      <c r="P86" s="180">
        <v>0</v>
      </c>
      <c r="Q86" s="180">
        <v>0</v>
      </c>
      <c r="R86" s="180">
        <v>0</v>
      </c>
      <c r="S86" s="180">
        <v>0</v>
      </c>
      <c r="T86" s="180">
        <v>0</v>
      </c>
      <c r="U86" s="180">
        <v>0</v>
      </c>
      <c r="V86" s="180">
        <v>807118</v>
      </c>
      <c r="W86" s="180">
        <v>0</v>
      </c>
      <c r="X86" s="180"/>
      <c r="Y86" s="180">
        <v>0</v>
      </c>
      <c r="Z86" s="180">
        <v>0</v>
      </c>
      <c r="AA86" s="180">
        <v>0</v>
      </c>
      <c r="AB86" s="180">
        <v>0</v>
      </c>
      <c r="AC86" s="180">
        <v>1</v>
      </c>
      <c r="AD86" s="180">
        <v>-11319</v>
      </c>
      <c r="AE86" s="180">
        <v>7415</v>
      </c>
      <c r="AF86" s="180">
        <v>0</v>
      </c>
      <c r="AG86" s="180">
        <v>0</v>
      </c>
      <c r="AH86" s="180">
        <v>70161</v>
      </c>
      <c r="AI86" s="180">
        <v>0</v>
      </c>
      <c r="AJ86" s="180">
        <v>-112916</v>
      </c>
      <c r="AK86" s="180"/>
      <c r="AL86" s="180"/>
      <c r="AM86" s="180">
        <v>0</v>
      </c>
      <c r="AN86" s="180">
        <v>0</v>
      </c>
      <c r="AO86" s="180">
        <v>0</v>
      </c>
      <c r="AP86" s="180">
        <v>0</v>
      </c>
      <c r="AQ86" s="180">
        <v>0</v>
      </c>
      <c r="AR86" s="180">
        <v>0</v>
      </c>
      <c r="AS86" s="180"/>
      <c r="AT86" s="180">
        <v>0</v>
      </c>
      <c r="AU86" s="180">
        <v>0</v>
      </c>
      <c r="AV86" s="180">
        <v>-96535</v>
      </c>
      <c r="AW86" s="180">
        <v>0</v>
      </c>
      <c r="AX86" s="180">
        <v>-1</v>
      </c>
      <c r="AY86" s="180">
        <v>0</v>
      </c>
      <c r="AZ86" s="180">
        <v>0</v>
      </c>
      <c r="BA86" s="180">
        <v>0</v>
      </c>
      <c r="BB86" s="180">
        <v>0</v>
      </c>
      <c r="BC86" s="180">
        <v>2</v>
      </c>
      <c r="BD86" s="180">
        <v>0</v>
      </c>
      <c r="BE86" s="180">
        <v>0</v>
      </c>
      <c r="BF86" s="180">
        <v>0</v>
      </c>
      <c r="BG86" s="180">
        <v>0</v>
      </c>
      <c r="BH86" s="180">
        <v>0</v>
      </c>
      <c r="BI86" s="180">
        <v>0</v>
      </c>
      <c r="BJ86" s="180">
        <v>0</v>
      </c>
      <c r="BK86" s="180">
        <v>-449032</v>
      </c>
      <c r="BL86" s="180"/>
      <c r="BM86" s="180">
        <v>0</v>
      </c>
      <c r="BN86" s="180">
        <v>0</v>
      </c>
      <c r="BO86" s="180">
        <v>0</v>
      </c>
      <c r="BP86" s="180">
        <v>0</v>
      </c>
      <c r="BQ86" s="180">
        <v>0</v>
      </c>
      <c r="BR86" s="180">
        <v>0</v>
      </c>
      <c r="BS86" s="180">
        <v>0</v>
      </c>
      <c r="BT86" s="180">
        <v>0</v>
      </c>
      <c r="BU86" s="180">
        <v>0</v>
      </c>
      <c r="BV86" s="180">
        <v>0</v>
      </c>
      <c r="BW86" s="180">
        <v>0</v>
      </c>
      <c r="BX86" s="180">
        <v>0</v>
      </c>
      <c r="BY86" s="180">
        <v>0</v>
      </c>
      <c r="BZ86" s="180">
        <v>0</v>
      </c>
      <c r="CA86" s="180">
        <v>0</v>
      </c>
      <c r="CB86" s="180">
        <v>0</v>
      </c>
      <c r="CC86" s="180"/>
      <c r="CD86" s="180">
        <v>0</v>
      </c>
      <c r="CE86" s="180"/>
      <c r="CF86" s="180"/>
      <c r="CG86" s="180"/>
      <c r="CH86" s="180"/>
      <c r="CI86" s="180"/>
      <c r="CJ86" s="180"/>
      <c r="CK86" s="180"/>
      <c r="CL86" s="180"/>
      <c r="CM86" s="180"/>
      <c r="CN86" s="180"/>
      <c r="CO86" s="180"/>
      <c r="CP86" s="180"/>
      <c r="CQ86" s="180"/>
      <c r="CR86" s="180"/>
      <c r="CS86" s="180"/>
      <c r="CT86" s="180"/>
      <c r="CU86" s="180"/>
    </row>
    <row r="87" spans="1:99" x14ac:dyDescent="0.3">
      <c r="A87" s="155">
        <v>377</v>
      </c>
      <c r="B87" s="180" t="s">
        <v>101</v>
      </c>
      <c r="C87" s="180"/>
      <c r="D87" s="180"/>
      <c r="E87" s="180">
        <v>0</v>
      </c>
      <c r="F87" s="180">
        <v>0</v>
      </c>
      <c r="G87" s="180">
        <v>0</v>
      </c>
      <c r="H87" s="180">
        <v>0</v>
      </c>
      <c r="I87" s="180">
        <v>0</v>
      </c>
      <c r="J87" s="180">
        <v>15001</v>
      </c>
      <c r="K87" s="180">
        <v>0</v>
      </c>
      <c r="L87" s="180">
        <v>0</v>
      </c>
      <c r="M87" s="180">
        <v>0</v>
      </c>
      <c r="N87" s="180">
        <v>0</v>
      </c>
      <c r="O87" s="180">
        <v>1</v>
      </c>
      <c r="P87" s="180">
        <v>0</v>
      </c>
      <c r="Q87" s="180">
        <v>0</v>
      </c>
      <c r="R87" s="180">
        <v>0</v>
      </c>
      <c r="S87" s="180">
        <v>0</v>
      </c>
      <c r="T87" s="180">
        <v>0</v>
      </c>
      <c r="U87" s="180">
        <v>0</v>
      </c>
      <c r="V87" s="180">
        <v>1</v>
      </c>
      <c r="W87" s="180">
        <v>0</v>
      </c>
      <c r="X87" s="180"/>
      <c r="Y87" s="180">
        <v>0</v>
      </c>
      <c r="Z87" s="180">
        <v>0</v>
      </c>
      <c r="AA87" s="180">
        <v>0</v>
      </c>
      <c r="AB87" s="180">
        <v>0</v>
      </c>
      <c r="AC87" s="180">
        <v>351073</v>
      </c>
      <c r="AD87" s="180">
        <v>-22864</v>
      </c>
      <c r="AE87" s="180">
        <v>0</v>
      </c>
      <c r="AF87" s="180">
        <v>0</v>
      </c>
      <c r="AG87" s="180">
        <v>0</v>
      </c>
      <c r="AH87" s="180">
        <v>0</v>
      </c>
      <c r="AI87" s="180">
        <v>0</v>
      </c>
      <c r="AJ87" s="180">
        <v>0</v>
      </c>
      <c r="AK87" s="180"/>
      <c r="AL87" s="180"/>
      <c r="AM87" s="180">
        <v>0</v>
      </c>
      <c r="AN87" s="180">
        <v>0</v>
      </c>
      <c r="AO87" s="180">
        <v>0</v>
      </c>
      <c r="AP87" s="180">
        <v>0</v>
      </c>
      <c r="AQ87" s="180">
        <v>0</v>
      </c>
      <c r="AR87" s="180">
        <v>0</v>
      </c>
      <c r="AS87" s="180"/>
      <c r="AT87" s="180">
        <v>0</v>
      </c>
      <c r="AU87" s="180">
        <v>0</v>
      </c>
      <c r="AV87" s="180">
        <v>0</v>
      </c>
      <c r="AW87" s="180">
        <v>0</v>
      </c>
      <c r="AX87" s="180">
        <v>4593727</v>
      </c>
      <c r="AY87" s="180">
        <v>0</v>
      </c>
      <c r="AZ87" s="180">
        <v>1</v>
      </c>
      <c r="BA87" s="180">
        <v>0</v>
      </c>
      <c r="BB87" s="180">
        <v>0</v>
      </c>
      <c r="BC87" s="180">
        <v>16193</v>
      </c>
      <c r="BD87" s="180">
        <v>0</v>
      </c>
      <c r="BE87" s="180">
        <v>0</v>
      </c>
      <c r="BF87" s="180">
        <v>0</v>
      </c>
      <c r="BG87" s="180">
        <v>0</v>
      </c>
      <c r="BH87" s="180">
        <v>0</v>
      </c>
      <c r="BI87" s="180">
        <v>0</v>
      </c>
      <c r="BJ87" s="180">
        <v>0</v>
      </c>
      <c r="BK87" s="180">
        <v>449032</v>
      </c>
      <c r="BL87" s="180"/>
      <c r="BM87" s="180">
        <v>0</v>
      </c>
      <c r="BN87" s="180">
        <v>0</v>
      </c>
      <c r="BO87" s="180">
        <v>0</v>
      </c>
      <c r="BP87" s="180">
        <v>0</v>
      </c>
      <c r="BQ87" s="180">
        <v>0</v>
      </c>
      <c r="BR87" s="180">
        <v>0</v>
      </c>
      <c r="BS87" s="180">
        <v>0</v>
      </c>
      <c r="BT87" s="180">
        <v>0</v>
      </c>
      <c r="BU87" s="180">
        <v>0</v>
      </c>
      <c r="BV87" s="180">
        <v>0</v>
      </c>
      <c r="BW87" s="180">
        <v>0</v>
      </c>
      <c r="BX87" s="180">
        <v>0</v>
      </c>
      <c r="BY87" s="180">
        <v>0</v>
      </c>
      <c r="BZ87" s="180">
        <v>0</v>
      </c>
      <c r="CA87" s="180">
        <v>0</v>
      </c>
      <c r="CB87" s="180">
        <v>0</v>
      </c>
      <c r="CC87" s="180"/>
      <c r="CD87" s="180">
        <v>0</v>
      </c>
      <c r="CE87" s="180"/>
      <c r="CF87" s="180"/>
      <c r="CG87" s="180"/>
      <c r="CH87" s="180"/>
      <c r="CI87" s="180"/>
      <c r="CJ87" s="180"/>
      <c r="CK87" s="180"/>
      <c r="CL87" s="180"/>
      <c r="CM87" s="180"/>
      <c r="CN87" s="180"/>
      <c r="CO87" s="180"/>
      <c r="CP87" s="180"/>
      <c r="CQ87" s="180"/>
      <c r="CR87" s="180"/>
      <c r="CS87" s="180"/>
      <c r="CT87" s="180"/>
      <c r="CU87" s="180"/>
    </row>
    <row r="88" spans="1:99" x14ac:dyDescent="0.3">
      <c r="A88" s="155">
        <v>378</v>
      </c>
      <c r="B88" s="180" t="s">
        <v>102</v>
      </c>
      <c r="C88" s="180"/>
      <c r="D88" s="180"/>
      <c r="E88" s="180">
        <v>0</v>
      </c>
      <c r="F88" s="180">
        <v>0</v>
      </c>
      <c r="G88" s="180">
        <v>0</v>
      </c>
      <c r="H88" s="180">
        <v>0</v>
      </c>
      <c r="I88" s="180">
        <v>0</v>
      </c>
      <c r="J88" s="180">
        <v>0</v>
      </c>
      <c r="K88" s="180">
        <v>0</v>
      </c>
      <c r="L88" s="180">
        <v>0</v>
      </c>
      <c r="M88" s="180">
        <v>0</v>
      </c>
      <c r="N88" s="180">
        <v>0</v>
      </c>
      <c r="O88" s="180">
        <v>0</v>
      </c>
      <c r="P88" s="180">
        <v>0</v>
      </c>
      <c r="Q88" s="180">
        <v>0</v>
      </c>
      <c r="R88" s="180">
        <v>0</v>
      </c>
      <c r="S88" s="180">
        <v>0</v>
      </c>
      <c r="T88" s="180">
        <v>0</v>
      </c>
      <c r="U88" s="180">
        <v>0</v>
      </c>
      <c r="V88" s="180">
        <v>2</v>
      </c>
      <c r="W88" s="180">
        <v>0</v>
      </c>
      <c r="X88" s="180"/>
      <c r="Y88" s="180">
        <v>0</v>
      </c>
      <c r="Z88" s="180">
        <v>0</v>
      </c>
      <c r="AA88" s="180">
        <v>0</v>
      </c>
      <c r="AB88" s="180">
        <v>0</v>
      </c>
      <c r="AC88" s="180">
        <v>0</v>
      </c>
      <c r="AD88" s="180">
        <v>0</v>
      </c>
      <c r="AE88" s="180">
        <v>0</v>
      </c>
      <c r="AF88" s="180">
        <v>0</v>
      </c>
      <c r="AG88" s="180">
        <v>0</v>
      </c>
      <c r="AH88" s="180">
        <v>0</v>
      </c>
      <c r="AI88" s="180">
        <v>0</v>
      </c>
      <c r="AJ88" s="180">
        <v>0</v>
      </c>
      <c r="AK88" s="180"/>
      <c r="AL88" s="180"/>
      <c r="AM88" s="180">
        <v>0</v>
      </c>
      <c r="AN88" s="180">
        <v>0</v>
      </c>
      <c r="AO88" s="180">
        <v>0</v>
      </c>
      <c r="AP88" s="180">
        <v>0</v>
      </c>
      <c r="AQ88" s="180">
        <v>0</v>
      </c>
      <c r="AR88" s="180">
        <v>0</v>
      </c>
      <c r="AS88" s="180"/>
      <c r="AT88" s="180">
        <v>0</v>
      </c>
      <c r="AU88" s="180">
        <v>0</v>
      </c>
      <c r="AV88" s="180">
        <v>0</v>
      </c>
      <c r="AW88" s="180">
        <v>0</v>
      </c>
      <c r="AX88" s="180">
        <v>0</v>
      </c>
      <c r="AY88" s="180">
        <v>0</v>
      </c>
      <c r="AZ88" s="180">
        <v>0</v>
      </c>
      <c r="BA88" s="180">
        <v>0</v>
      </c>
      <c r="BB88" s="180">
        <v>0</v>
      </c>
      <c r="BC88" s="180">
        <v>0</v>
      </c>
      <c r="BD88" s="180">
        <v>0</v>
      </c>
      <c r="BE88" s="180">
        <v>0</v>
      </c>
      <c r="BF88" s="180">
        <v>0</v>
      </c>
      <c r="BG88" s="180">
        <v>0</v>
      </c>
      <c r="BH88" s="180">
        <v>0</v>
      </c>
      <c r="BI88" s="180">
        <v>0</v>
      </c>
      <c r="BJ88" s="180">
        <v>0</v>
      </c>
      <c r="BK88" s="180">
        <v>0</v>
      </c>
      <c r="BL88" s="180"/>
      <c r="BM88" s="180">
        <v>0</v>
      </c>
      <c r="BN88" s="180">
        <v>0</v>
      </c>
      <c r="BO88" s="180">
        <v>0</v>
      </c>
      <c r="BP88" s="180">
        <v>0</v>
      </c>
      <c r="BQ88" s="180">
        <v>0</v>
      </c>
      <c r="BR88" s="180">
        <v>0</v>
      </c>
      <c r="BS88" s="180">
        <v>0</v>
      </c>
      <c r="BT88" s="180">
        <v>0</v>
      </c>
      <c r="BU88" s="180">
        <v>0</v>
      </c>
      <c r="BV88" s="180">
        <v>0</v>
      </c>
      <c r="BW88" s="180">
        <v>0</v>
      </c>
      <c r="BX88" s="180">
        <v>0</v>
      </c>
      <c r="BY88" s="180">
        <v>0</v>
      </c>
      <c r="BZ88" s="180">
        <v>0</v>
      </c>
      <c r="CA88" s="180">
        <v>0</v>
      </c>
      <c r="CB88" s="180">
        <v>0</v>
      </c>
      <c r="CC88" s="180"/>
      <c r="CD88" s="180">
        <v>0</v>
      </c>
      <c r="CE88" s="180"/>
      <c r="CF88" s="180"/>
      <c r="CG88" s="180"/>
      <c r="CH88" s="180"/>
      <c r="CI88" s="180"/>
      <c r="CJ88" s="180"/>
      <c r="CK88" s="180"/>
      <c r="CL88" s="180"/>
      <c r="CM88" s="180"/>
      <c r="CN88" s="180"/>
      <c r="CO88" s="180"/>
      <c r="CP88" s="180"/>
      <c r="CQ88" s="180"/>
      <c r="CR88" s="180"/>
      <c r="CS88" s="180"/>
      <c r="CT88" s="180"/>
      <c r="CU88" s="180"/>
    </row>
    <row r="89" spans="1:99" x14ac:dyDescent="0.3">
      <c r="A89" s="155">
        <v>379</v>
      </c>
      <c r="B89" s="180" t="s">
        <v>110</v>
      </c>
      <c r="C89" s="180"/>
      <c r="D89" s="180"/>
      <c r="E89" s="180">
        <v>257044</v>
      </c>
      <c r="F89" s="180">
        <v>1231086</v>
      </c>
      <c r="G89" s="180">
        <v>6056875</v>
      </c>
      <c r="H89" s="180">
        <v>6901490</v>
      </c>
      <c r="I89" s="180">
        <v>6515920</v>
      </c>
      <c r="J89" s="180">
        <v>152138</v>
      </c>
      <c r="K89" s="180">
        <v>1126547</v>
      </c>
      <c r="L89" s="180">
        <v>982613</v>
      </c>
      <c r="M89" s="180">
        <v>13360925</v>
      </c>
      <c r="N89" s="180">
        <v>921118</v>
      </c>
      <c r="O89" s="180">
        <v>8638785</v>
      </c>
      <c r="P89" s="180">
        <v>351795</v>
      </c>
      <c r="Q89" s="180">
        <v>40403366</v>
      </c>
      <c r="R89" s="180">
        <v>1179033</v>
      </c>
      <c r="S89" s="180">
        <v>176494</v>
      </c>
      <c r="T89" s="180">
        <v>91647364</v>
      </c>
      <c r="U89" s="180">
        <v>12230443</v>
      </c>
      <c r="V89" s="180">
        <v>33102684</v>
      </c>
      <c r="W89" s="180">
        <v>34531599</v>
      </c>
      <c r="X89" s="180"/>
      <c r="Y89" s="180">
        <v>18434847</v>
      </c>
      <c r="Z89" s="180">
        <v>1425403</v>
      </c>
      <c r="AA89" s="180">
        <v>21374346</v>
      </c>
      <c r="AB89" s="180">
        <v>2770342</v>
      </c>
      <c r="AC89" s="180">
        <v>2662955</v>
      </c>
      <c r="AD89" s="180">
        <v>2226872</v>
      </c>
      <c r="AE89" s="180">
        <v>4023680</v>
      </c>
      <c r="AF89" s="180">
        <v>21604752</v>
      </c>
      <c r="AG89" s="180">
        <v>6096018</v>
      </c>
      <c r="AH89" s="180">
        <v>1818997</v>
      </c>
      <c r="AI89" s="180">
        <v>29045353</v>
      </c>
      <c r="AJ89" s="180">
        <v>3901426</v>
      </c>
      <c r="AK89" s="180"/>
      <c r="AL89" s="180"/>
      <c r="AM89" s="180">
        <v>15100225</v>
      </c>
      <c r="AN89" s="180">
        <v>806415</v>
      </c>
      <c r="AO89" s="180">
        <v>947846</v>
      </c>
      <c r="AP89" s="180">
        <v>128654</v>
      </c>
      <c r="AQ89" s="180">
        <v>5222825</v>
      </c>
      <c r="AR89" s="180">
        <v>52691963</v>
      </c>
      <c r="AS89" s="180"/>
      <c r="AT89" s="180">
        <v>2480503</v>
      </c>
      <c r="AU89" s="180">
        <v>343688</v>
      </c>
      <c r="AV89" s="180">
        <v>22339033</v>
      </c>
      <c r="AW89" s="180">
        <v>4777044</v>
      </c>
      <c r="AX89" s="180">
        <v>1294597</v>
      </c>
      <c r="AY89" s="180">
        <v>10036590</v>
      </c>
      <c r="AZ89" s="180">
        <v>2476952</v>
      </c>
      <c r="BA89" s="180">
        <v>1409328</v>
      </c>
      <c r="BB89" s="180">
        <v>127262</v>
      </c>
      <c r="BC89" s="180">
        <v>649849</v>
      </c>
      <c r="BD89" s="180">
        <v>11471394</v>
      </c>
      <c r="BE89" s="180">
        <v>731080</v>
      </c>
      <c r="BF89" s="180">
        <v>989879</v>
      </c>
      <c r="BG89" s="180">
        <v>359271</v>
      </c>
      <c r="BH89" s="180">
        <v>306748</v>
      </c>
      <c r="BI89" s="180">
        <v>540342</v>
      </c>
      <c r="BJ89" s="180">
        <v>393011</v>
      </c>
      <c r="BK89" s="180">
        <v>2740388</v>
      </c>
      <c r="BL89" s="180"/>
      <c r="BM89" s="180">
        <v>784911</v>
      </c>
      <c r="BN89" s="180">
        <v>4024281</v>
      </c>
      <c r="BO89" s="180">
        <v>1781815</v>
      </c>
      <c r="BP89" s="180">
        <v>2521122</v>
      </c>
      <c r="BQ89" s="180">
        <v>17282352</v>
      </c>
      <c r="BR89" s="180">
        <v>1078517</v>
      </c>
      <c r="BS89" s="180">
        <v>25131048</v>
      </c>
      <c r="BT89" s="180">
        <v>859709</v>
      </c>
      <c r="BU89" s="180">
        <v>7251411</v>
      </c>
      <c r="BV89" s="180">
        <v>3220596</v>
      </c>
      <c r="BW89" s="180">
        <v>1990610</v>
      </c>
      <c r="BX89" s="180">
        <v>2390043</v>
      </c>
      <c r="BY89" s="180">
        <v>387708</v>
      </c>
      <c r="BZ89" s="180">
        <v>1157151</v>
      </c>
      <c r="CA89" s="180">
        <v>197265</v>
      </c>
      <c r="CB89" s="180">
        <v>676107</v>
      </c>
      <c r="CC89" s="180"/>
      <c r="CD89" s="180">
        <v>439532</v>
      </c>
      <c r="CE89" s="180"/>
      <c r="CF89" s="180"/>
      <c r="CG89" s="180"/>
      <c r="CH89" s="180"/>
      <c r="CI89" s="180"/>
      <c r="CJ89" s="180"/>
      <c r="CK89" s="180"/>
      <c r="CL89" s="180"/>
      <c r="CM89" s="180"/>
      <c r="CN89" s="180"/>
      <c r="CO89" s="180"/>
      <c r="CP89" s="180"/>
      <c r="CQ89" s="180"/>
      <c r="CR89" s="180"/>
      <c r="CS89" s="180"/>
      <c r="CT89" s="180"/>
      <c r="CU89" s="180"/>
    </row>
    <row r="90" spans="1:99" x14ac:dyDescent="0.3">
      <c r="A90" s="155">
        <v>380</v>
      </c>
      <c r="B90" s="180" t="s">
        <v>113</v>
      </c>
      <c r="C90" s="180"/>
      <c r="D90" s="180"/>
      <c r="E90" s="180">
        <v>34402</v>
      </c>
      <c r="F90" s="180">
        <v>0</v>
      </c>
      <c r="G90" s="180">
        <v>20199</v>
      </c>
      <c r="H90" s="180">
        <v>10888</v>
      </c>
      <c r="I90" s="180">
        <v>50641</v>
      </c>
      <c r="J90" s="180">
        <v>3245</v>
      </c>
      <c r="K90" s="180">
        <v>503</v>
      </c>
      <c r="L90" s="180">
        <v>876</v>
      </c>
      <c r="M90" s="180">
        <v>133171</v>
      </c>
      <c r="N90" s="180">
        <v>1446</v>
      </c>
      <c r="O90" s="180">
        <v>56161</v>
      </c>
      <c r="P90" s="180">
        <v>687</v>
      </c>
      <c r="Q90" s="180">
        <v>829375</v>
      </c>
      <c r="R90" s="180">
        <v>296</v>
      </c>
      <c r="S90" s="180">
        <v>0</v>
      </c>
      <c r="T90" s="180">
        <v>0</v>
      </c>
      <c r="U90" s="180">
        <v>0</v>
      </c>
      <c r="V90" s="180">
        <v>286742</v>
      </c>
      <c r="W90" s="180">
        <v>895140</v>
      </c>
      <c r="X90" s="180"/>
      <c r="Y90" s="180">
        <v>209181</v>
      </c>
      <c r="Z90" s="180">
        <v>40520</v>
      </c>
      <c r="AA90" s="180">
        <v>863112</v>
      </c>
      <c r="AB90" s="180">
        <v>438805</v>
      </c>
      <c r="AC90" s="180">
        <v>6585</v>
      </c>
      <c r="AD90" s="180">
        <v>74643</v>
      </c>
      <c r="AE90" s="180">
        <v>95842</v>
      </c>
      <c r="AF90" s="180">
        <v>1585234</v>
      </c>
      <c r="AG90" s="180">
        <v>190139</v>
      </c>
      <c r="AH90" s="180">
        <v>20392</v>
      </c>
      <c r="AI90" s="180">
        <v>306466</v>
      </c>
      <c r="AJ90" s="180">
        <v>1444</v>
      </c>
      <c r="AK90" s="180"/>
      <c r="AL90" s="180"/>
      <c r="AM90" s="180">
        <v>332738</v>
      </c>
      <c r="AN90" s="180">
        <v>24199</v>
      </c>
      <c r="AO90" s="180">
        <v>32107</v>
      </c>
      <c r="AP90" s="180">
        <v>0</v>
      </c>
      <c r="AQ90" s="180">
        <v>41602</v>
      </c>
      <c r="AR90" s="180">
        <v>32865302</v>
      </c>
      <c r="AS90" s="180"/>
      <c r="AT90" s="180">
        <v>34232</v>
      </c>
      <c r="AU90" s="180">
        <v>36538</v>
      </c>
      <c r="AV90" s="180">
        <v>178744</v>
      </c>
      <c r="AW90" s="180">
        <v>6987</v>
      </c>
      <c r="AX90" s="180">
        <v>36348</v>
      </c>
      <c r="AY90" s="180">
        <v>1354</v>
      </c>
      <c r="AZ90" s="180">
        <v>5882</v>
      </c>
      <c r="BA90" s="180">
        <v>48960</v>
      </c>
      <c r="BB90" s="180">
        <v>0</v>
      </c>
      <c r="BC90" s="180">
        <v>832</v>
      </c>
      <c r="BD90" s="180">
        <v>1924377</v>
      </c>
      <c r="BE90" s="180">
        <v>0</v>
      </c>
      <c r="BF90" s="180">
        <v>68340</v>
      </c>
      <c r="BG90" s="180">
        <v>54347</v>
      </c>
      <c r="BH90" s="180">
        <v>567</v>
      </c>
      <c r="BI90" s="180">
        <v>16036</v>
      </c>
      <c r="BJ90" s="180">
        <v>4155</v>
      </c>
      <c r="BK90" s="180">
        <v>108940</v>
      </c>
      <c r="BL90" s="180"/>
      <c r="BM90" s="180">
        <v>11534</v>
      </c>
      <c r="BN90" s="180">
        <v>323436</v>
      </c>
      <c r="BO90" s="180">
        <v>817</v>
      </c>
      <c r="BP90" s="180">
        <v>4320</v>
      </c>
      <c r="BQ90" s="180">
        <v>19575</v>
      </c>
      <c r="BR90" s="180">
        <v>19254</v>
      </c>
      <c r="BS90" s="180">
        <v>656482</v>
      </c>
      <c r="BT90" s="180">
        <v>11845</v>
      </c>
      <c r="BU90" s="180">
        <v>79424</v>
      </c>
      <c r="BV90" s="180">
        <v>8022</v>
      </c>
      <c r="BW90" s="180">
        <v>339217</v>
      </c>
      <c r="BX90" s="180">
        <v>43890</v>
      </c>
      <c r="BY90" s="180">
        <v>178</v>
      </c>
      <c r="BZ90" s="180">
        <v>15630</v>
      </c>
      <c r="CA90" s="180">
        <v>1383</v>
      </c>
      <c r="CB90" s="180">
        <v>6691</v>
      </c>
      <c r="CC90" s="180"/>
      <c r="CD90" s="180">
        <v>1525</v>
      </c>
      <c r="CE90" s="180"/>
      <c r="CF90" s="180"/>
      <c r="CG90" s="180"/>
      <c r="CH90" s="180"/>
      <c r="CI90" s="180"/>
      <c r="CJ90" s="180"/>
      <c r="CK90" s="180"/>
      <c r="CL90" s="180"/>
      <c r="CM90" s="180"/>
      <c r="CN90" s="180"/>
      <c r="CO90" s="180"/>
      <c r="CP90" s="180"/>
      <c r="CQ90" s="180"/>
      <c r="CR90" s="180"/>
      <c r="CS90" s="180"/>
      <c r="CT90" s="180"/>
      <c r="CU90" s="180"/>
    </row>
    <row r="91" spans="1:99" x14ac:dyDescent="0.3">
      <c r="A91" s="155">
        <v>381</v>
      </c>
      <c r="B91" s="180" t="s">
        <v>105</v>
      </c>
      <c r="C91" s="180"/>
      <c r="D91" s="180"/>
      <c r="E91" s="180">
        <v>0</v>
      </c>
      <c r="F91" s="180">
        <v>6238810</v>
      </c>
      <c r="G91" s="180">
        <v>0</v>
      </c>
      <c r="H91" s="180">
        <v>0</v>
      </c>
      <c r="I91" s="180">
        <v>0</v>
      </c>
      <c r="J91" s="180">
        <v>2329267</v>
      </c>
      <c r="K91" s="180">
        <v>0</v>
      </c>
      <c r="L91" s="180">
        <v>0</v>
      </c>
      <c r="M91" s="180">
        <v>0</v>
      </c>
      <c r="N91" s="180">
        <v>0</v>
      </c>
      <c r="O91" s="180">
        <v>21011168</v>
      </c>
      <c r="P91" s="180">
        <v>0</v>
      </c>
      <c r="Q91" s="180">
        <v>166432250</v>
      </c>
      <c r="R91" s="180">
        <v>2307725</v>
      </c>
      <c r="S91" s="180">
        <v>0</v>
      </c>
      <c r="T91" s="180">
        <v>215013931</v>
      </c>
      <c r="U91" s="180">
        <v>62267497</v>
      </c>
      <c r="V91" s="180">
        <v>82461201</v>
      </c>
      <c r="W91" s="180">
        <v>0</v>
      </c>
      <c r="X91" s="180"/>
      <c r="Y91" s="180">
        <v>50447159</v>
      </c>
      <c r="Z91" s="180">
        <v>13672037</v>
      </c>
      <c r="AA91" s="180">
        <v>50278403</v>
      </c>
      <c r="AB91" s="180">
        <v>30044390</v>
      </c>
      <c r="AC91" s="180">
        <v>5145090</v>
      </c>
      <c r="AD91" s="180">
        <v>8011798</v>
      </c>
      <c r="AE91" s="180">
        <v>14306183</v>
      </c>
      <c r="AF91" s="180">
        <v>11623041</v>
      </c>
      <c r="AG91" s="180">
        <v>8993194</v>
      </c>
      <c r="AH91" s="180">
        <v>0</v>
      </c>
      <c r="AI91" s="180">
        <v>134927610</v>
      </c>
      <c r="AJ91" s="180">
        <v>1850576</v>
      </c>
      <c r="AK91" s="180"/>
      <c r="AL91" s="180"/>
      <c r="AM91" s="180">
        <v>36305298</v>
      </c>
      <c r="AN91" s="180">
        <v>1031701</v>
      </c>
      <c r="AO91" s="180">
        <v>2613298</v>
      </c>
      <c r="AP91" s="180">
        <v>0</v>
      </c>
      <c r="AQ91" s="180">
        <v>0</v>
      </c>
      <c r="AR91" s="180">
        <v>23882624</v>
      </c>
      <c r="AS91" s="180"/>
      <c r="AT91" s="180">
        <v>17707434</v>
      </c>
      <c r="AU91" s="180">
        <v>0</v>
      </c>
      <c r="AV91" s="180">
        <v>131297829</v>
      </c>
      <c r="AW91" s="180">
        <v>0</v>
      </c>
      <c r="AX91" s="180">
        <v>15219447</v>
      </c>
      <c r="AY91" s="180">
        <v>23643819</v>
      </c>
      <c r="AZ91" s="180">
        <v>6603048</v>
      </c>
      <c r="BA91" s="180">
        <v>1414282</v>
      </c>
      <c r="BB91" s="180">
        <v>0</v>
      </c>
      <c r="BC91" s="180">
        <v>677389</v>
      </c>
      <c r="BD91" s="180">
        <v>62738341</v>
      </c>
      <c r="BE91" s="180">
        <v>0</v>
      </c>
      <c r="BF91" s="180">
        <v>3161430</v>
      </c>
      <c r="BG91" s="180">
        <v>4197576</v>
      </c>
      <c r="BH91" s="180">
        <v>0</v>
      </c>
      <c r="BI91" s="180">
        <v>3136588</v>
      </c>
      <c r="BJ91" s="180">
        <v>0</v>
      </c>
      <c r="BK91" s="180">
        <v>19300376</v>
      </c>
      <c r="BL91" s="180"/>
      <c r="BM91" s="180">
        <v>12862572</v>
      </c>
      <c r="BN91" s="180">
        <v>4555553</v>
      </c>
      <c r="BO91" s="180">
        <v>5719260</v>
      </c>
      <c r="BP91" s="180">
        <v>1802842</v>
      </c>
      <c r="BQ91" s="180">
        <v>0</v>
      </c>
      <c r="BR91" s="180">
        <v>6930342</v>
      </c>
      <c r="BS91" s="180">
        <v>0</v>
      </c>
      <c r="BT91" s="180">
        <v>6963129</v>
      </c>
      <c r="BU91" s="180">
        <v>20493891</v>
      </c>
      <c r="BV91" s="180">
        <v>0</v>
      </c>
      <c r="BW91" s="180">
        <v>14541586</v>
      </c>
      <c r="BX91" s="180">
        <v>3507612</v>
      </c>
      <c r="BY91" s="180">
        <v>630987</v>
      </c>
      <c r="BZ91" s="180">
        <v>5227889</v>
      </c>
      <c r="CA91" s="180">
        <v>4455950</v>
      </c>
      <c r="CB91" s="180">
        <v>5143379</v>
      </c>
      <c r="CC91" s="180"/>
      <c r="CD91" s="180">
        <v>767808</v>
      </c>
      <c r="CE91" s="180"/>
      <c r="CF91" s="180"/>
      <c r="CG91" s="180"/>
      <c r="CH91" s="180"/>
      <c r="CI91" s="180"/>
      <c r="CJ91" s="180"/>
      <c r="CK91" s="180"/>
      <c r="CL91" s="180"/>
      <c r="CM91" s="180"/>
      <c r="CN91" s="180"/>
      <c r="CO91" s="180"/>
      <c r="CP91" s="180"/>
      <c r="CQ91" s="180"/>
      <c r="CR91" s="180"/>
      <c r="CS91" s="180"/>
      <c r="CT91" s="180"/>
      <c r="CU91" s="180"/>
    </row>
    <row r="92" spans="1:99" x14ac:dyDescent="0.3">
      <c r="A92" s="155">
        <v>382</v>
      </c>
      <c r="B92" s="180" t="s">
        <v>106</v>
      </c>
      <c r="C92" s="180"/>
      <c r="D92" s="180"/>
      <c r="E92" s="180">
        <v>0</v>
      </c>
      <c r="F92" s="180">
        <v>0</v>
      </c>
      <c r="G92" s="180">
        <v>0</v>
      </c>
      <c r="H92" s="180">
        <v>0</v>
      </c>
      <c r="I92" s="180">
        <v>0</v>
      </c>
      <c r="J92" s="180">
        <v>0</v>
      </c>
      <c r="K92" s="180">
        <v>0</v>
      </c>
      <c r="L92" s="180">
        <v>0</v>
      </c>
      <c r="M92" s="180">
        <v>0</v>
      </c>
      <c r="N92" s="180">
        <v>0</v>
      </c>
      <c r="O92" s="180">
        <v>0</v>
      </c>
      <c r="P92" s="180">
        <v>0</v>
      </c>
      <c r="Q92" s="180">
        <v>186446441</v>
      </c>
      <c r="R92" s="180">
        <v>0</v>
      </c>
      <c r="S92" s="180">
        <v>0</v>
      </c>
      <c r="T92" s="180">
        <v>0</v>
      </c>
      <c r="U92" s="180">
        <v>0</v>
      </c>
      <c r="V92" s="180">
        <v>38306661</v>
      </c>
      <c r="W92" s="180">
        <v>0</v>
      </c>
      <c r="X92" s="180"/>
      <c r="Y92" s="180">
        <v>0</v>
      </c>
      <c r="Z92" s="180">
        <v>0</v>
      </c>
      <c r="AA92" s="180">
        <v>0</v>
      </c>
      <c r="AB92" s="180">
        <v>0</v>
      </c>
      <c r="AC92" s="180">
        <v>0</v>
      </c>
      <c r="AD92" s="180">
        <v>0</v>
      </c>
      <c r="AE92" s="180">
        <v>0</v>
      </c>
      <c r="AF92" s="180">
        <v>0</v>
      </c>
      <c r="AG92" s="180">
        <v>0</v>
      </c>
      <c r="AH92" s="180">
        <v>0</v>
      </c>
      <c r="AI92" s="180">
        <v>67005573</v>
      </c>
      <c r="AJ92" s="180">
        <v>0</v>
      </c>
      <c r="AK92" s="180"/>
      <c r="AL92" s="180"/>
      <c r="AM92" s="180">
        <v>27487760</v>
      </c>
      <c r="AN92" s="180">
        <v>0</v>
      </c>
      <c r="AO92" s="180">
        <v>0</v>
      </c>
      <c r="AP92" s="180">
        <v>0</v>
      </c>
      <c r="AQ92" s="180">
        <v>0</v>
      </c>
      <c r="AR92" s="180">
        <v>0</v>
      </c>
      <c r="AS92" s="180"/>
      <c r="AT92" s="180">
        <v>0</v>
      </c>
      <c r="AU92" s="180">
        <v>845560</v>
      </c>
      <c r="AV92" s="180">
        <v>0</v>
      </c>
      <c r="AW92" s="180">
        <v>0</v>
      </c>
      <c r="AX92" s="180">
        <v>0</v>
      </c>
      <c r="AY92" s="180">
        <v>0</v>
      </c>
      <c r="AZ92" s="180">
        <v>0</v>
      </c>
      <c r="BA92" s="180">
        <v>0</v>
      </c>
      <c r="BB92" s="180">
        <v>0</v>
      </c>
      <c r="BC92" s="180">
        <v>0</v>
      </c>
      <c r="BD92" s="180">
        <v>0</v>
      </c>
      <c r="BE92" s="180">
        <v>0</v>
      </c>
      <c r="BF92" s="180">
        <v>0</v>
      </c>
      <c r="BG92" s="180">
        <v>0</v>
      </c>
      <c r="BH92" s="180">
        <v>0</v>
      </c>
      <c r="BI92" s="180">
        <v>0</v>
      </c>
      <c r="BJ92" s="180">
        <v>0</v>
      </c>
      <c r="BK92" s="180">
        <v>0</v>
      </c>
      <c r="BL92" s="180"/>
      <c r="BM92" s="180">
        <v>0</v>
      </c>
      <c r="BN92" s="180">
        <v>0</v>
      </c>
      <c r="BO92" s="180">
        <v>0</v>
      </c>
      <c r="BP92" s="180">
        <v>0</v>
      </c>
      <c r="BQ92" s="180">
        <v>0</v>
      </c>
      <c r="BR92" s="180">
        <v>2448861</v>
      </c>
      <c r="BS92" s="180">
        <v>24622449</v>
      </c>
      <c r="BT92" s="180">
        <v>0</v>
      </c>
      <c r="BU92" s="180">
        <v>0</v>
      </c>
      <c r="BV92" s="180">
        <v>0</v>
      </c>
      <c r="BW92" s="180">
        <v>0</v>
      </c>
      <c r="BX92" s="180">
        <v>0</v>
      </c>
      <c r="BY92" s="180">
        <v>0</v>
      </c>
      <c r="BZ92" s="180">
        <v>0</v>
      </c>
      <c r="CA92" s="180">
        <v>0</v>
      </c>
      <c r="CB92" s="180">
        <v>0</v>
      </c>
      <c r="CC92" s="180"/>
      <c r="CD92" s="180">
        <v>0</v>
      </c>
      <c r="CE92" s="180"/>
      <c r="CF92" s="180"/>
      <c r="CG92" s="180"/>
      <c r="CH92" s="180"/>
      <c r="CI92" s="180"/>
      <c r="CJ92" s="180"/>
      <c r="CK92" s="180"/>
      <c r="CL92" s="180"/>
      <c r="CM92" s="180"/>
      <c r="CN92" s="180"/>
      <c r="CO92" s="180"/>
      <c r="CP92" s="180"/>
      <c r="CQ92" s="180"/>
      <c r="CR92" s="180"/>
      <c r="CS92" s="180"/>
      <c r="CT92" s="180"/>
      <c r="CU92" s="180"/>
    </row>
    <row r="93" spans="1:99" x14ac:dyDescent="0.3">
      <c r="A93" s="155">
        <v>383</v>
      </c>
      <c r="B93" s="180" t="s">
        <v>212</v>
      </c>
      <c r="C93" s="180"/>
      <c r="D93" s="180"/>
      <c r="E93" s="180">
        <v>0</v>
      </c>
      <c r="F93" s="180">
        <v>0</v>
      </c>
      <c r="G93" s="180">
        <v>0</v>
      </c>
      <c r="H93" s="180">
        <v>0</v>
      </c>
      <c r="I93" s="180">
        <v>0</v>
      </c>
      <c r="J93" s="180">
        <v>0</v>
      </c>
      <c r="K93" s="180">
        <v>0</v>
      </c>
      <c r="L93" s="180">
        <v>0</v>
      </c>
      <c r="M93" s="180">
        <v>0</v>
      </c>
      <c r="N93" s="180">
        <v>0</v>
      </c>
      <c r="O93" s="180">
        <v>0</v>
      </c>
      <c r="P93" s="180">
        <v>0</v>
      </c>
      <c r="Q93" s="180">
        <v>0</v>
      </c>
      <c r="R93" s="180">
        <v>0</v>
      </c>
      <c r="S93" s="180">
        <v>0</v>
      </c>
      <c r="T93" s="180">
        <v>0</v>
      </c>
      <c r="U93" s="180">
        <v>0</v>
      </c>
      <c r="V93" s="180">
        <v>0</v>
      </c>
      <c r="W93" s="180">
        <v>0</v>
      </c>
      <c r="X93" s="180"/>
      <c r="Y93" s="180">
        <v>35550</v>
      </c>
      <c r="Z93" s="180">
        <v>3456</v>
      </c>
      <c r="AA93" s="180">
        <v>0</v>
      </c>
      <c r="AB93" s="180">
        <v>0</v>
      </c>
      <c r="AC93" s="180">
        <v>0</v>
      </c>
      <c r="AD93" s="180">
        <v>0</v>
      </c>
      <c r="AE93" s="180">
        <v>0</v>
      </c>
      <c r="AF93" s="180">
        <v>0</v>
      </c>
      <c r="AG93" s="180">
        <v>0</v>
      </c>
      <c r="AH93" s="180">
        <v>0</v>
      </c>
      <c r="AI93" s="180">
        <v>0</v>
      </c>
      <c r="AJ93" s="180">
        <v>0</v>
      </c>
      <c r="AK93" s="180"/>
      <c r="AL93" s="180"/>
      <c r="AM93" s="180">
        <v>0</v>
      </c>
      <c r="AN93" s="180">
        <v>0</v>
      </c>
      <c r="AO93" s="180">
        <v>0</v>
      </c>
      <c r="AP93" s="180">
        <v>0</v>
      </c>
      <c r="AQ93" s="180">
        <v>0</v>
      </c>
      <c r="AR93" s="180">
        <v>0</v>
      </c>
      <c r="AS93" s="180"/>
      <c r="AT93" s="180">
        <v>54612</v>
      </c>
      <c r="AU93" s="180">
        <v>0</v>
      </c>
      <c r="AV93" s="180">
        <v>0</v>
      </c>
      <c r="AW93" s="180">
        <v>0</v>
      </c>
      <c r="AX93" s="180">
        <v>0</v>
      </c>
      <c r="AY93" s="180">
        <v>0</v>
      </c>
      <c r="AZ93" s="180">
        <v>0</v>
      </c>
      <c r="BA93" s="180">
        <v>0</v>
      </c>
      <c r="BB93" s="180">
        <v>0</v>
      </c>
      <c r="BC93" s="180">
        <v>0</v>
      </c>
      <c r="BD93" s="180">
        <v>0</v>
      </c>
      <c r="BE93" s="180">
        <v>0</v>
      </c>
      <c r="BF93" s="180">
        <v>0</v>
      </c>
      <c r="BG93" s="180">
        <v>0</v>
      </c>
      <c r="BH93" s="180">
        <v>0</v>
      </c>
      <c r="BI93" s="180">
        <v>0</v>
      </c>
      <c r="BJ93" s="180">
        <v>0</v>
      </c>
      <c r="BK93" s="180">
        <v>0</v>
      </c>
      <c r="BL93" s="180"/>
      <c r="BM93" s="180">
        <v>0</v>
      </c>
      <c r="BN93" s="180">
        <v>0</v>
      </c>
      <c r="BO93" s="180">
        <v>1921</v>
      </c>
      <c r="BP93" s="180">
        <v>14605</v>
      </c>
      <c r="BQ93" s="180">
        <v>0</v>
      </c>
      <c r="BR93" s="180">
        <v>0</v>
      </c>
      <c r="BS93" s="180">
        <v>0</v>
      </c>
      <c r="BT93" s="180">
        <v>0</v>
      </c>
      <c r="BU93" s="180">
        <v>0</v>
      </c>
      <c r="BV93" s="180">
        <v>0</v>
      </c>
      <c r="BW93" s="180">
        <v>0</v>
      </c>
      <c r="BX93" s="180">
        <v>0</v>
      </c>
      <c r="BY93" s="180">
        <v>0</v>
      </c>
      <c r="BZ93" s="180">
        <v>0</v>
      </c>
      <c r="CA93" s="180">
        <v>4865</v>
      </c>
      <c r="CB93" s="180">
        <v>0</v>
      </c>
      <c r="CC93" s="180"/>
      <c r="CD93" s="180">
        <v>0</v>
      </c>
      <c r="CE93" s="180"/>
      <c r="CF93" s="180"/>
      <c r="CG93" s="180"/>
      <c r="CH93" s="180"/>
      <c r="CI93" s="180"/>
      <c r="CJ93" s="180"/>
      <c r="CK93" s="180"/>
      <c r="CL93" s="180"/>
      <c r="CM93" s="180"/>
      <c r="CN93" s="180"/>
      <c r="CO93" s="180"/>
      <c r="CP93" s="180"/>
      <c r="CQ93" s="180"/>
      <c r="CR93" s="180"/>
      <c r="CS93" s="180"/>
      <c r="CT93" s="180"/>
      <c r="CU93" s="180"/>
    </row>
    <row r="94" spans="1:99" x14ac:dyDescent="0.3">
      <c r="A94" s="155">
        <v>384</v>
      </c>
      <c r="B94" s="180" t="s">
        <v>116</v>
      </c>
      <c r="C94" s="180"/>
      <c r="D94" s="180"/>
      <c r="E94" s="180">
        <v>0</v>
      </c>
      <c r="F94" s="180">
        <v>0</v>
      </c>
      <c r="G94" s="180">
        <v>0</v>
      </c>
      <c r="H94" s="180">
        <v>0</v>
      </c>
      <c r="I94" s="180">
        <v>0</v>
      </c>
      <c r="J94" s="180">
        <v>0</v>
      </c>
      <c r="K94" s="180">
        <v>0</v>
      </c>
      <c r="L94" s="180">
        <v>0</v>
      </c>
      <c r="M94" s="180">
        <v>0</v>
      </c>
      <c r="N94" s="180">
        <v>0</v>
      </c>
      <c r="O94" s="180">
        <v>0</v>
      </c>
      <c r="P94" s="180">
        <v>0</v>
      </c>
      <c r="Q94" s="180">
        <v>0</v>
      </c>
      <c r="R94" s="180">
        <v>0</v>
      </c>
      <c r="S94" s="180">
        <v>0</v>
      </c>
      <c r="T94" s="180">
        <v>0</v>
      </c>
      <c r="U94" s="180">
        <v>0</v>
      </c>
      <c r="V94" s="180">
        <v>0</v>
      </c>
      <c r="W94" s="180">
        <v>0</v>
      </c>
      <c r="X94" s="180"/>
      <c r="Y94" s="180">
        <v>0</v>
      </c>
      <c r="Z94" s="180">
        <v>0</v>
      </c>
      <c r="AA94" s="180">
        <v>0</v>
      </c>
      <c r="AB94" s="180">
        <v>0</v>
      </c>
      <c r="AC94" s="180">
        <v>0</v>
      </c>
      <c r="AD94" s="180">
        <v>0</v>
      </c>
      <c r="AE94" s="180">
        <v>0</v>
      </c>
      <c r="AF94" s="180">
        <v>0</v>
      </c>
      <c r="AG94" s="180">
        <v>0</v>
      </c>
      <c r="AH94" s="180">
        <v>0</v>
      </c>
      <c r="AI94" s="180">
        <v>0</v>
      </c>
      <c r="AJ94" s="180">
        <v>0</v>
      </c>
      <c r="AK94" s="180"/>
      <c r="AL94" s="180"/>
      <c r="AM94" s="180">
        <v>0</v>
      </c>
      <c r="AN94" s="180">
        <v>0</v>
      </c>
      <c r="AO94" s="180">
        <v>0</v>
      </c>
      <c r="AP94" s="180">
        <v>0</v>
      </c>
      <c r="AQ94" s="180">
        <v>0</v>
      </c>
      <c r="AR94" s="180">
        <v>0</v>
      </c>
      <c r="AS94" s="180"/>
      <c r="AT94" s="180">
        <v>0</v>
      </c>
      <c r="AU94" s="180">
        <v>0</v>
      </c>
      <c r="AV94" s="180">
        <v>0</v>
      </c>
      <c r="AW94" s="180">
        <v>0</v>
      </c>
      <c r="AX94" s="180">
        <v>0</v>
      </c>
      <c r="AY94" s="180">
        <v>0</v>
      </c>
      <c r="AZ94" s="180">
        <v>0</v>
      </c>
      <c r="BA94" s="180">
        <v>0</v>
      </c>
      <c r="BB94" s="180">
        <v>0</v>
      </c>
      <c r="BC94" s="180">
        <v>0</v>
      </c>
      <c r="BD94" s="180">
        <v>0</v>
      </c>
      <c r="BE94" s="180">
        <v>0</v>
      </c>
      <c r="BF94" s="180">
        <v>0</v>
      </c>
      <c r="BG94" s="180">
        <v>0</v>
      </c>
      <c r="BH94" s="180">
        <v>0</v>
      </c>
      <c r="BI94" s="180">
        <v>0</v>
      </c>
      <c r="BJ94" s="180">
        <v>0</v>
      </c>
      <c r="BK94" s="180">
        <v>0</v>
      </c>
      <c r="BL94" s="180"/>
      <c r="BM94" s="180">
        <v>0</v>
      </c>
      <c r="BN94" s="180">
        <v>0</v>
      </c>
      <c r="BO94" s="180">
        <v>0</v>
      </c>
      <c r="BP94" s="180">
        <v>0</v>
      </c>
      <c r="BQ94" s="180">
        <v>0</v>
      </c>
      <c r="BR94" s="180">
        <v>0</v>
      </c>
      <c r="BS94" s="180">
        <v>0</v>
      </c>
      <c r="BT94" s="180">
        <v>0</v>
      </c>
      <c r="BU94" s="180">
        <v>0</v>
      </c>
      <c r="BV94" s="180">
        <v>0</v>
      </c>
      <c r="BW94" s="180">
        <v>0</v>
      </c>
      <c r="BX94" s="180">
        <v>0</v>
      </c>
      <c r="BY94" s="180">
        <v>0</v>
      </c>
      <c r="BZ94" s="180">
        <v>0</v>
      </c>
      <c r="CA94" s="180">
        <v>0</v>
      </c>
      <c r="CB94" s="180">
        <v>0</v>
      </c>
      <c r="CC94" s="180"/>
      <c r="CD94" s="180">
        <v>0</v>
      </c>
      <c r="CE94" s="180"/>
      <c r="CF94" s="180"/>
      <c r="CG94" s="180"/>
      <c r="CH94" s="180"/>
      <c r="CI94" s="180"/>
      <c r="CJ94" s="180"/>
      <c r="CK94" s="180"/>
      <c r="CL94" s="180"/>
      <c r="CM94" s="180"/>
      <c r="CN94" s="180"/>
      <c r="CO94" s="180"/>
      <c r="CP94" s="180"/>
      <c r="CQ94" s="180"/>
      <c r="CR94" s="180"/>
      <c r="CS94" s="180"/>
      <c r="CT94" s="180"/>
      <c r="CU94" s="180"/>
    </row>
    <row r="95" spans="1:99" x14ac:dyDescent="0.3">
      <c r="A95" s="155">
        <v>385</v>
      </c>
      <c r="B95" s="180" t="s">
        <v>107</v>
      </c>
      <c r="C95" s="180"/>
      <c r="D95" s="180"/>
      <c r="E95" s="180">
        <v>423150</v>
      </c>
      <c r="F95" s="180">
        <v>2484651</v>
      </c>
      <c r="G95" s="180">
        <v>13901532</v>
      </c>
      <c r="H95" s="180">
        <v>11247950</v>
      </c>
      <c r="I95" s="180">
        <v>13620709</v>
      </c>
      <c r="J95" s="180">
        <v>189054</v>
      </c>
      <c r="K95" s="180">
        <v>2946102</v>
      </c>
      <c r="L95" s="180">
        <v>1504900</v>
      </c>
      <c r="M95" s="180">
        <v>98163699</v>
      </c>
      <c r="N95" s="180">
        <v>1473564</v>
      </c>
      <c r="O95" s="180">
        <v>17061463</v>
      </c>
      <c r="P95" s="180">
        <v>532254</v>
      </c>
      <c r="Q95" s="180">
        <v>187602170</v>
      </c>
      <c r="R95" s="180">
        <v>7920067</v>
      </c>
      <c r="S95" s="180">
        <v>314737</v>
      </c>
      <c r="T95" s="180">
        <v>314826199</v>
      </c>
      <c r="U95" s="180">
        <v>77535764</v>
      </c>
      <c r="V95" s="180">
        <v>81477689</v>
      </c>
      <c r="W95" s="180">
        <v>256433643</v>
      </c>
      <c r="X95" s="180"/>
      <c r="Y95" s="180">
        <v>49999038</v>
      </c>
      <c r="Z95" s="180">
        <v>3810096</v>
      </c>
      <c r="AA95" s="180">
        <v>58479028</v>
      </c>
      <c r="AB95" s="180">
        <v>8876033</v>
      </c>
      <c r="AC95" s="180">
        <v>7054043</v>
      </c>
      <c r="AD95" s="180">
        <v>3827311</v>
      </c>
      <c r="AE95" s="180">
        <v>8624127</v>
      </c>
      <c r="AF95" s="180">
        <v>74116505</v>
      </c>
      <c r="AG95" s="180">
        <v>15842965</v>
      </c>
      <c r="AH95" s="180">
        <v>4453081</v>
      </c>
      <c r="AI95" s="180">
        <v>125103532</v>
      </c>
      <c r="AJ95" s="180">
        <v>8719869</v>
      </c>
      <c r="AK95" s="180"/>
      <c r="AL95" s="180"/>
      <c r="AM95" s="180">
        <v>42130408</v>
      </c>
      <c r="AN95" s="180">
        <v>1267705</v>
      </c>
      <c r="AO95" s="180">
        <v>1478121</v>
      </c>
      <c r="AP95" s="180">
        <v>186342</v>
      </c>
      <c r="AQ95" s="180">
        <v>44815885</v>
      </c>
      <c r="AR95" s="180">
        <v>95885615</v>
      </c>
      <c r="AS95" s="180"/>
      <c r="AT95" s="180">
        <v>6126143</v>
      </c>
      <c r="AU95" s="180">
        <v>597115</v>
      </c>
      <c r="AV95" s="180">
        <v>64197882</v>
      </c>
      <c r="AW95" s="180">
        <v>13385298</v>
      </c>
      <c r="AX95" s="180">
        <v>5113796</v>
      </c>
      <c r="AY95" s="180">
        <v>33307914</v>
      </c>
      <c r="AZ95" s="180">
        <v>4856557</v>
      </c>
      <c r="BA95" s="180">
        <v>4400032</v>
      </c>
      <c r="BB95" s="180">
        <v>175737</v>
      </c>
      <c r="BC95" s="180">
        <v>1033771</v>
      </c>
      <c r="BD95" s="180">
        <v>21344305</v>
      </c>
      <c r="BE95" s="180">
        <v>824997</v>
      </c>
      <c r="BF95" s="180">
        <v>1144438</v>
      </c>
      <c r="BG95" s="180">
        <v>502024</v>
      </c>
      <c r="BH95" s="180">
        <v>455879</v>
      </c>
      <c r="BI95" s="180">
        <v>869867</v>
      </c>
      <c r="BJ95" s="180">
        <v>794640</v>
      </c>
      <c r="BK95" s="180">
        <v>11828317</v>
      </c>
      <c r="BL95" s="180"/>
      <c r="BM95" s="180">
        <v>4073347</v>
      </c>
      <c r="BN95" s="180">
        <v>16698718</v>
      </c>
      <c r="BO95" s="180">
        <v>3321380</v>
      </c>
      <c r="BP95" s="180">
        <v>5693385</v>
      </c>
      <c r="BQ95" s="180">
        <v>52162411</v>
      </c>
      <c r="BR95" s="180">
        <v>1949837</v>
      </c>
      <c r="BS95" s="180">
        <v>86590869</v>
      </c>
      <c r="BT95" s="180">
        <v>2240942</v>
      </c>
      <c r="BU95" s="180">
        <v>14929504</v>
      </c>
      <c r="BV95" s="180">
        <v>6442240</v>
      </c>
      <c r="BW95" s="180">
        <v>5758780</v>
      </c>
      <c r="BX95" s="180">
        <v>3390403</v>
      </c>
      <c r="BY95" s="180">
        <v>723583</v>
      </c>
      <c r="BZ95" s="180">
        <v>2738092</v>
      </c>
      <c r="CA95" s="180">
        <v>299039</v>
      </c>
      <c r="CB95" s="180">
        <v>4061675</v>
      </c>
      <c r="CC95" s="180"/>
      <c r="CD95" s="180">
        <v>497810</v>
      </c>
      <c r="CE95" s="180"/>
      <c r="CF95" s="180"/>
      <c r="CG95" s="180"/>
      <c r="CH95" s="180"/>
      <c r="CI95" s="180"/>
      <c r="CJ95" s="180"/>
      <c r="CK95" s="180"/>
      <c r="CL95" s="180"/>
      <c r="CM95" s="180"/>
      <c r="CN95" s="180"/>
      <c r="CO95" s="180"/>
      <c r="CP95" s="180"/>
      <c r="CQ95" s="180"/>
      <c r="CR95" s="180"/>
      <c r="CS95" s="180"/>
      <c r="CT95" s="180"/>
      <c r="CU95" s="180"/>
    </row>
    <row r="96" spans="1:99" x14ac:dyDescent="0.3">
      <c r="A96" s="155">
        <v>386</v>
      </c>
      <c r="B96" s="180" t="s">
        <v>185</v>
      </c>
      <c r="C96" s="180"/>
      <c r="D96" s="180"/>
      <c r="E96" s="180">
        <v>0</v>
      </c>
      <c r="F96" s="180">
        <v>0</v>
      </c>
      <c r="G96" s="180">
        <v>0</v>
      </c>
      <c r="H96" s="180">
        <v>0</v>
      </c>
      <c r="I96" s="180">
        <v>0</v>
      </c>
      <c r="J96" s="180">
        <v>0</v>
      </c>
      <c r="K96" s="180">
        <v>0</v>
      </c>
      <c r="L96" s="180">
        <v>0</v>
      </c>
      <c r="M96" s="180">
        <v>0</v>
      </c>
      <c r="N96" s="180">
        <v>0</v>
      </c>
      <c r="O96" s="180">
        <v>0</v>
      </c>
      <c r="P96" s="180">
        <v>0</v>
      </c>
      <c r="Q96" s="180">
        <v>21655451</v>
      </c>
      <c r="R96" s="180">
        <v>0</v>
      </c>
      <c r="S96" s="180">
        <v>0</v>
      </c>
      <c r="T96" s="180">
        <v>236000</v>
      </c>
      <c r="U96" s="180">
        <v>0</v>
      </c>
      <c r="V96" s="180">
        <v>794458</v>
      </c>
      <c r="W96" s="180">
        <v>0</v>
      </c>
      <c r="X96" s="180"/>
      <c r="Y96" s="180">
        <v>0</v>
      </c>
      <c r="Z96" s="180">
        <v>29795</v>
      </c>
      <c r="AA96" s="180">
        <v>0</v>
      </c>
      <c r="AB96" s="180">
        <v>0</v>
      </c>
      <c r="AC96" s="180">
        <v>0</v>
      </c>
      <c r="AD96" s="180">
        <v>0</v>
      </c>
      <c r="AE96" s="180">
        <v>0</v>
      </c>
      <c r="AF96" s="180">
        <v>0</v>
      </c>
      <c r="AG96" s="180">
        <v>849169</v>
      </c>
      <c r="AH96" s="180">
        <v>0</v>
      </c>
      <c r="AI96" s="180">
        <v>5462019</v>
      </c>
      <c r="AJ96" s="180">
        <v>0</v>
      </c>
      <c r="AK96" s="180"/>
      <c r="AL96" s="180"/>
      <c r="AM96" s="180">
        <v>0</v>
      </c>
      <c r="AN96" s="180">
        <v>0</v>
      </c>
      <c r="AO96" s="180">
        <v>0</v>
      </c>
      <c r="AP96" s="180">
        <v>0</v>
      </c>
      <c r="AQ96" s="180">
        <v>0</v>
      </c>
      <c r="AR96" s="180">
        <v>1030998</v>
      </c>
      <c r="AS96" s="180"/>
      <c r="AT96" s="180">
        <v>0</v>
      </c>
      <c r="AU96" s="180">
        <v>0</v>
      </c>
      <c r="AV96" s="180">
        <v>34690</v>
      </c>
      <c r="AW96" s="180">
        <v>0</v>
      </c>
      <c r="AX96" s="180">
        <v>0</v>
      </c>
      <c r="AY96" s="180">
        <v>0</v>
      </c>
      <c r="AZ96" s="180">
        <v>0</v>
      </c>
      <c r="BA96" s="180">
        <v>0</v>
      </c>
      <c r="BB96" s="180">
        <v>0</v>
      </c>
      <c r="BC96" s="180">
        <v>0</v>
      </c>
      <c r="BD96" s="180">
        <v>225975</v>
      </c>
      <c r="BE96" s="180">
        <v>0</v>
      </c>
      <c r="BF96" s="180">
        <v>0</v>
      </c>
      <c r="BG96" s="180">
        <v>0</v>
      </c>
      <c r="BH96" s="180">
        <v>0</v>
      </c>
      <c r="BI96" s="180">
        <v>0</v>
      </c>
      <c r="BJ96" s="180">
        <v>0</v>
      </c>
      <c r="BK96" s="180">
        <v>0</v>
      </c>
      <c r="BL96" s="180"/>
      <c r="BM96" s="180">
        <v>0</v>
      </c>
      <c r="BN96" s="180">
        <v>0</v>
      </c>
      <c r="BO96" s="180">
        <v>0</v>
      </c>
      <c r="BP96" s="180">
        <v>0</v>
      </c>
      <c r="BQ96" s="180">
        <v>0</v>
      </c>
      <c r="BR96" s="180">
        <v>344778</v>
      </c>
      <c r="BS96" s="180">
        <v>42717</v>
      </c>
      <c r="BT96" s="180">
        <v>27650</v>
      </c>
      <c r="BU96" s="180">
        <v>0</v>
      </c>
      <c r="BV96" s="180">
        <v>0</v>
      </c>
      <c r="BW96" s="180">
        <v>0</v>
      </c>
      <c r="BX96" s="180">
        <v>0</v>
      </c>
      <c r="BY96" s="180">
        <v>0</v>
      </c>
      <c r="BZ96" s="180">
        <v>0</v>
      </c>
      <c r="CA96" s="180">
        <v>0</v>
      </c>
      <c r="CB96" s="180">
        <v>0</v>
      </c>
      <c r="CC96" s="180"/>
      <c r="CD96" s="180">
        <v>0</v>
      </c>
      <c r="CE96" s="180"/>
      <c r="CF96" s="180"/>
      <c r="CG96" s="180"/>
      <c r="CH96" s="180"/>
      <c r="CI96" s="180"/>
      <c r="CJ96" s="180"/>
      <c r="CK96" s="180"/>
      <c r="CL96" s="180"/>
      <c r="CM96" s="180"/>
      <c r="CN96" s="180"/>
      <c r="CO96" s="180"/>
      <c r="CP96" s="180"/>
      <c r="CQ96" s="180"/>
      <c r="CR96" s="180"/>
      <c r="CS96" s="180"/>
      <c r="CT96" s="180"/>
      <c r="CU96" s="180"/>
    </row>
    <row r="97" spans="1:99" x14ac:dyDescent="0.3">
      <c r="A97" s="155">
        <v>387</v>
      </c>
      <c r="B97" s="180" t="s">
        <v>186</v>
      </c>
      <c r="C97" s="180"/>
      <c r="D97" s="180"/>
      <c r="E97" s="180">
        <v>0</v>
      </c>
      <c r="F97" s="180">
        <v>0</v>
      </c>
      <c r="G97" s="180">
        <v>0</v>
      </c>
      <c r="H97" s="180">
        <v>0</v>
      </c>
      <c r="I97" s="180">
        <v>0</v>
      </c>
      <c r="J97" s="180">
        <v>15000</v>
      </c>
      <c r="K97" s="180">
        <v>0</v>
      </c>
      <c r="L97" s="180">
        <v>0</v>
      </c>
      <c r="M97" s="180">
        <v>0</v>
      </c>
      <c r="N97" s="180">
        <v>0</v>
      </c>
      <c r="O97" s="180">
        <v>0</v>
      </c>
      <c r="P97" s="180">
        <v>0</v>
      </c>
      <c r="Q97" s="180">
        <v>22118773</v>
      </c>
      <c r="R97" s="180">
        <v>0</v>
      </c>
      <c r="S97" s="180">
        <v>0</v>
      </c>
      <c r="T97" s="180">
        <v>0</v>
      </c>
      <c r="U97" s="180">
        <v>39620</v>
      </c>
      <c r="V97" s="180">
        <v>0</v>
      </c>
      <c r="W97" s="180">
        <v>0</v>
      </c>
      <c r="X97" s="180"/>
      <c r="Y97" s="180">
        <v>0</v>
      </c>
      <c r="Z97" s="180">
        <v>29063</v>
      </c>
      <c r="AA97" s="180">
        <v>0</v>
      </c>
      <c r="AB97" s="180">
        <v>629498</v>
      </c>
      <c r="AC97" s="180">
        <v>351073</v>
      </c>
      <c r="AD97" s="180">
        <v>0</v>
      </c>
      <c r="AE97" s="180">
        <v>0</v>
      </c>
      <c r="AF97" s="180">
        <v>0</v>
      </c>
      <c r="AG97" s="180">
        <v>0</v>
      </c>
      <c r="AH97" s="180">
        <v>0</v>
      </c>
      <c r="AI97" s="180">
        <v>2849468</v>
      </c>
      <c r="AJ97" s="180">
        <v>0</v>
      </c>
      <c r="AK97" s="180"/>
      <c r="AL97" s="180"/>
      <c r="AM97" s="180">
        <v>0</v>
      </c>
      <c r="AN97" s="180">
        <v>76267</v>
      </c>
      <c r="AO97" s="180">
        <v>0</v>
      </c>
      <c r="AP97" s="180">
        <v>0</v>
      </c>
      <c r="AQ97" s="180">
        <v>0</v>
      </c>
      <c r="AR97" s="180">
        <v>1582264</v>
      </c>
      <c r="AS97" s="180"/>
      <c r="AT97" s="180">
        <v>0</v>
      </c>
      <c r="AU97" s="180">
        <v>0</v>
      </c>
      <c r="AV97" s="180">
        <v>0</v>
      </c>
      <c r="AW97" s="180">
        <v>0</v>
      </c>
      <c r="AX97" s="180">
        <v>0</v>
      </c>
      <c r="AY97" s="180">
        <v>0</v>
      </c>
      <c r="AZ97" s="180">
        <v>0</v>
      </c>
      <c r="BA97" s="180">
        <v>0</v>
      </c>
      <c r="BB97" s="180">
        <v>0</v>
      </c>
      <c r="BC97" s="180">
        <v>16194</v>
      </c>
      <c r="BD97" s="180">
        <v>0</v>
      </c>
      <c r="BE97" s="180">
        <v>0</v>
      </c>
      <c r="BF97" s="180">
        <v>0</v>
      </c>
      <c r="BG97" s="180">
        <v>0</v>
      </c>
      <c r="BH97" s="180">
        <v>0</v>
      </c>
      <c r="BI97" s="180">
        <v>1850</v>
      </c>
      <c r="BJ97" s="180">
        <v>0</v>
      </c>
      <c r="BK97" s="180">
        <v>0</v>
      </c>
      <c r="BL97" s="180"/>
      <c r="BM97" s="180">
        <v>0</v>
      </c>
      <c r="BN97" s="180">
        <v>9128</v>
      </c>
      <c r="BO97" s="180">
        <v>0</v>
      </c>
      <c r="BP97" s="180">
        <v>0</v>
      </c>
      <c r="BQ97" s="180">
        <v>0</v>
      </c>
      <c r="BR97" s="180">
        <v>0</v>
      </c>
      <c r="BS97" s="180">
        <v>0</v>
      </c>
      <c r="BT97" s="180">
        <v>0</v>
      </c>
      <c r="BU97" s="180">
        <v>0</v>
      </c>
      <c r="BV97" s="180">
        <v>0</v>
      </c>
      <c r="BW97" s="180">
        <v>0</v>
      </c>
      <c r="BX97" s="180">
        <v>0</v>
      </c>
      <c r="BY97" s="180">
        <v>0</v>
      </c>
      <c r="BZ97" s="180">
        <v>141415</v>
      </c>
      <c r="CA97" s="180">
        <v>0</v>
      </c>
      <c r="CB97" s="180">
        <v>0</v>
      </c>
      <c r="CC97" s="180"/>
      <c r="CD97" s="180">
        <v>0</v>
      </c>
      <c r="CE97" s="180"/>
      <c r="CF97" s="180"/>
      <c r="CG97" s="180"/>
      <c r="CH97" s="180"/>
      <c r="CI97" s="180"/>
      <c r="CJ97" s="180"/>
      <c r="CK97" s="180"/>
      <c r="CL97" s="180"/>
      <c r="CM97" s="180"/>
      <c r="CN97" s="180"/>
      <c r="CO97" s="180"/>
      <c r="CP97" s="180"/>
      <c r="CQ97" s="180"/>
      <c r="CR97" s="180"/>
      <c r="CS97" s="180"/>
      <c r="CT97" s="180"/>
      <c r="CU97" s="180"/>
    </row>
    <row r="98" spans="1:99" x14ac:dyDescent="0.3">
      <c r="A98" s="155">
        <v>388</v>
      </c>
      <c r="B98" s="180" t="s">
        <v>180</v>
      </c>
      <c r="C98" s="180"/>
      <c r="D98" s="180"/>
      <c r="E98" s="180">
        <v>52883</v>
      </c>
      <c r="F98" s="180">
        <v>942356</v>
      </c>
      <c r="G98" s="180">
        <v>2037743</v>
      </c>
      <c r="H98" s="180">
        <v>1023482</v>
      </c>
      <c r="I98" s="180">
        <v>4081736</v>
      </c>
      <c r="J98" s="180">
        <v>83166</v>
      </c>
      <c r="K98" s="180">
        <v>336740</v>
      </c>
      <c r="L98" s="180">
        <v>246761</v>
      </c>
      <c r="M98" s="180">
        <v>20000529</v>
      </c>
      <c r="N98" s="180">
        <v>580731</v>
      </c>
      <c r="O98" s="180">
        <v>4643906</v>
      </c>
      <c r="P98" s="180">
        <v>93036</v>
      </c>
      <c r="Q98" s="180">
        <v>50702659</v>
      </c>
      <c r="R98" s="180">
        <v>1732081</v>
      </c>
      <c r="S98" s="180">
        <v>42091</v>
      </c>
      <c r="T98" s="180">
        <v>69723441</v>
      </c>
      <c r="U98" s="180">
        <v>21541872</v>
      </c>
      <c r="V98" s="180">
        <v>22911813</v>
      </c>
      <c r="W98" s="180">
        <v>40143984</v>
      </c>
      <c r="X98" s="180"/>
      <c r="Y98" s="180">
        <v>15662827</v>
      </c>
      <c r="Z98" s="180">
        <v>1449808</v>
      </c>
      <c r="AA98" s="180">
        <v>13819733</v>
      </c>
      <c r="AB98" s="180">
        <v>4867334</v>
      </c>
      <c r="AC98" s="180">
        <v>2044464</v>
      </c>
      <c r="AD98" s="180">
        <v>2293779</v>
      </c>
      <c r="AE98" s="180">
        <v>2847124</v>
      </c>
      <c r="AF98" s="180">
        <v>25784386</v>
      </c>
      <c r="AG98" s="180">
        <v>7082125</v>
      </c>
      <c r="AH98" s="180">
        <v>797093</v>
      </c>
      <c r="AI98" s="180">
        <v>41160744</v>
      </c>
      <c r="AJ98" s="180">
        <v>506080</v>
      </c>
      <c r="AK98" s="180"/>
      <c r="AL98" s="180"/>
      <c r="AM98" s="180">
        <v>14408606</v>
      </c>
      <c r="AN98" s="180">
        <v>624184</v>
      </c>
      <c r="AO98" s="180">
        <v>690340</v>
      </c>
      <c r="AP98" s="180">
        <v>42738</v>
      </c>
      <c r="AQ98" s="180">
        <v>13034320</v>
      </c>
      <c r="AR98" s="180">
        <v>7192778</v>
      </c>
      <c r="AS98" s="180"/>
      <c r="AT98" s="180">
        <v>2872597</v>
      </c>
      <c r="AU98" s="180">
        <v>189043</v>
      </c>
      <c r="AV98" s="180">
        <v>28774400</v>
      </c>
      <c r="AW98" s="180">
        <v>1587140</v>
      </c>
      <c r="AX98" s="180">
        <v>2150081</v>
      </c>
      <c r="AY98" s="180">
        <v>23685965</v>
      </c>
      <c r="AZ98" s="180">
        <v>903590</v>
      </c>
      <c r="BA98" s="180">
        <v>1172628</v>
      </c>
      <c r="BB98" s="180">
        <v>32351</v>
      </c>
      <c r="BC98" s="180">
        <v>212201</v>
      </c>
      <c r="BD98" s="180">
        <v>10125794</v>
      </c>
      <c r="BE98" s="180">
        <v>75355</v>
      </c>
      <c r="BF98" s="180">
        <v>483117</v>
      </c>
      <c r="BG98" s="180">
        <v>137541</v>
      </c>
      <c r="BH98" s="180">
        <v>97240</v>
      </c>
      <c r="BI98" s="180">
        <v>286634</v>
      </c>
      <c r="BJ98" s="180">
        <v>132886</v>
      </c>
      <c r="BK98" s="180">
        <v>3832195</v>
      </c>
      <c r="BL98" s="180"/>
      <c r="BM98" s="180">
        <v>2699409</v>
      </c>
      <c r="BN98" s="180">
        <v>4808583</v>
      </c>
      <c r="BO98" s="180">
        <v>1218217</v>
      </c>
      <c r="BP98" s="180">
        <v>1557347</v>
      </c>
      <c r="BQ98" s="180">
        <v>20177349</v>
      </c>
      <c r="BR98" s="180">
        <v>1223012</v>
      </c>
      <c r="BS98" s="180">
        <v>14021008</v>
      </c>
      <c r="BT98" s="180">
        <v>643984</v>
      </c>
      <c r="BU98" s="180">
        <v>5866449</v>
      </c>
      <c r="BV98" s="180">
        <v>756680</v>
      </c>
      <c r="BW98" s="180">
        <v>2120703</v>
      </c>
      <c r="BX98" s="180">
        <v>846496</v>
      </c>
      <c r="BY98" s="180">
        <v>74540</v>
      </c>
      <c r="BZ98" s="180">
        <v>415874</v>
      </c>
      <c r="CA98" s="180">
        <v>128631</v>
      </c>
      <c r="CB98" s="180">
        <v>1205031</v>
      </c>
      <c r="CC98" s="180"/>
      <c r="CD98" s="180">
        <v>70430</v>
      </c>
      <c r="CE98" s="180"/>
      <c r="CF98" s="180"/>
      <c r="CG98" s="180"/>
      <c r="CH98" s="180"/>
      <c r="CI98" s="180"/>
      <c r="CJ98" s="180"/>
      <c r="CK98" s="180"/>
      <c r="CL98" s="180"/>
      <c r="CM98" s="180"/>
      <c r="CN98" s="180"/>
      <c r="CO98" s="180"/>
      <c r="CP98" s="180"/>
      <c r="CQ98" s="180"/>
      <c r="CR98" s="180"/>
      <c r="CS98" s="180"/>
      <c r="CT98" s="180"/>
      <c r="CU98" s="180"/>
    </row>
    <row r="99" spans="1:99" x14ac:dyDescent="0.3">
      <c r="A99" s="155">
        <v>389</v>
      </c>
      <c r="B99" s="180" t="s">
        <v>187</v>
      </c>
      <c r="C99" s="180"/>
      <c r="D99" s="180"/>
      <c r="E99" s="180">
        <v>0</v>
      </c>
      <c r="F99" s="180">
        <v>0</v>
      </c>
      <c r="G99" s="180">
        <v>0</v>
      </c>
      <c r="H99" s="180">
        <v>0</v>
      </c>
      <c r="I99" s="180">
        <v>0</v>
      </c>
      <c r="J99" s="180">
        <v>0</v>
      </c>
      <c r="K99" s="180">
        <v>0</v>
      </c>
      <c r="L99" s="180">
        <v>0</v>
      </c>
      <c r="M99" s="180">
        <v>0</v>
      </c>
      <c r="N99" s="180">
        <v>0</v>
      </c>
      <c r="O99" s="180">
        <v>0</v>
      </c>
      <c r="P99" s="180">
        <v>0</v>
      </c>
      <c r="Q99" s="180">
        <v>0</v>
      </c>
      <c r="R99" s="180">
        <v>0</v>
      </c>
      <c r="S99" s="180">
        <v>0</v>
      </c>
      <c r="T99" s="180">
        <v>803668</v>
      </c>
      <c r="U99" s="180">
        <v>0</v>
      </c>
      <c r="V99" s="180">
        <v>0</v>
      </c>
      <c r="W99" s="180">
        <v>0</v>
      </c>
      <c r="X99" s="180"/>
      <c r="Y99" s="180">
        <v>0</v>
      </c>
      <c r="Z99" s="180">
        <v>0</v>
      </c>
      <c r="AA99" s="180">
        <v>0</v>
      </c>
      <c r="AB99" s="180">
        <v>0</v>
      </c>
      <c r="AC99" s="180">
        <v>0</v>
      </c>
      <c r="AD99" s="180">
        <v>0</v>
      </c>
      <c r="AE99" s="180">
        <v>0</v>
      </c>
      <c r="AF99" s="180">
        <v>0</v>
      </c>
      <c r="AG99" s="180">
        <v>0</v>
      </c>
      <c r="AH99" s="180">
        <v>0</v>
      </c>
      <c r="AI99" s="180">
        <v>0</v>
      </c>
      <c r="AJ99" s="180">
        <v>0</v>
      </c>
      <c r="AK99" s="180"/>
      <c r="AL99" s="180"/>
      <c r="AM99" s="180">
        <v>0</v>
      </c>
      <c r="AN99" s="180">
        <v>0</v>
      </c>
      <c r="AO99" s="180">
        <v>0</v>
      </c>
      <c r="AP99" s="180">
        <v>0</v>
      </c>
      <c r="AQ99" s="180">
        <v>0</v>
      </c>
      <c r="AR99" s="180">
        <v>0</v>
      </c>
      <c r="AS99" s="180"/>
      <c r="AT99" s="180">
        <v>0</v>
      </c>
      <c r="AU99" s="180">
        <v>0</v>
      </c>
      <c r="AV99" s="180">
        <v>0</v>
      </c>
      <c r="AW99" s="180">
        <v>0</v>
      </c>
      <c r="AX99" s="180">
        <v>0</v>
      </c>
      <c r="AY99" s="180">
        <v>0</v>
      </c>
      <c r="AZ99" s="180">
        <v>0</v>
      </c>
      <c r="BA99" s="180">
        <v>0</v>
      </c>
      <c r="BB99" s="180">
        <v>0</v>
      </c>
      <c r="BC99" s="180">
        <v>0</v>
      </c>
      <c r="BD99" s="180">
        <v>0</v>
      </c>
      <c r="BE99" s="180">
        <v>0</v>
      </c>
      <c r="BF99" s="180">
        <v>0</v>
      </c>
      <c r="BG99" s="180">
        <v>0</v>
      </c>
      <c r="BH99" s="180">
        <v>0</v>
      </c>
      <c r="BI99" s="180">
        <v>0</v>
      </c>
      <c r="BJ99" s="180">
        <v>0</v>
      </c>
      <c r="BK99" s="180">
        <v>0</v>
      </c>
      <c r="BL99" s="180"/>
      <c r="BM99" s="180">
        <v>0</v>
      </c>
      <c r="BN99" s="180">
        <v>0</v>
      </c>
      <c r="BO99" s="180">
        <v>0</v>
      </c>
      <c r="BP99" s="180">
        <v>0</v>
      </c>
      <c r="BQ99" s="180">
        <v>0</v>
      </c>
      <c r="BR99" s="180">
        <v>0</v>
      </c>
      <c r="BS99" s="180">
        <v>0</v>
      </c>
      <c r="BT99" s="180">
        <v>0</v>
      </c>
      <c r="BU99" s="180">
        <v>0</v>
      </c>
      <c r="BV99" s="180">
        <v>0</v>
      </c>
      <c r="BW99" s="180">
        <v>0</v>
      </c>
      <c r="BX99" s="180">
        <v>0</v>
      </c>
      <c r="BY99" s="180">
        <v>0</v>
      </c>
      <c r="BZ99" s="180">
        <v>0</v>
      </c>
      <c r="CA99" s="180">
        <v>0</v>
      </c>
      <c r="CB99" s="180">
        <v>0</v>
      </c>
      <c r="CC99" s="180"/>
      <c r="CD99" s="180">
        <v>0</v>
      </c>
      <c r="CE99" s="180"/>
      <c r="CF99" s="180"/>
      <c r="CG99" s="180"/>
      <c r="CH99" s="180"/>
      <c r="CI99" s="180"/>
      <c r="CJ99" s="180"/>
      <c r="CK99" s="180"/>
      <c r="CL99" s="180"/>
      <c r="CM99" s="180"/>
      <c r="CN99" s="180"/>
      <c r="CO99" s="180"/>
      <c r="CP99" s="180"/>
      <c r="CQ99" s="180"/>
      <c r="CR99" s="180"/>
      <c r="CS99" s="180"/>
      <c r="CT99" s="180"/>
      <c r="CU99" s="180"/>
    </row>
    <row r="100" spans="1:99" x14ac:dyDescent="0.3">
      <c r="A100" s="155">
        <v>391</v>
      </c>
      <c r="B100" s="180" t="s">
        <v>192</v>
      </c>
      <c r="C100" s="180"/>
      <c r="D100" s="180"/>
      <c r="E100" s="180">
        <v>4515</v>
      </c>
      <c r="F100" s="180">
        <v>119588</v>
      </c>
      <c r="G100" s="180">
        <v>679172</v>
      </c>
      <c r="H100" s="180">
        <v>281694</v>
      </c>
      <c r="I100" s="180">
        <v>453970</v>
      </c>
      <c r="J100" s="180">
        <v>10963</v>
      </c>
      <c r="K100" s="180">
        <v>64075</v>
      </c>
      <c r="L100" s="180">
        <v>20115</v>
      </c>
      <c r="M100" s="180">
        <v>2996499</v>
      </c>
      <c r="N100" s="180">
        <v>64370</v>
      </c>
      <c r="O100" s="180">
        <v>2045737</v>
      </c>
      <c r="P100" s="180">
        <v>18717</v>
      </c>
      <c r="Q100" s="180">
        <v>9484228</v>
      </c>
      <c r="R100" s="180">
        <v>186980</v>
      </c>
      <c r="S100" s="180">
        <v>4202</v>
      </c>
      <c r="T100" s="180">
        <v>13814678</v>
      </c>
      <c r="U100" s="180">
        <v>2902019</v>
      </c>
      <c r="V100" s="180">
        <v>4573924</v>
      </c>
      <c r="W100" s="180">
        <v>4442732</v>
      </c>
      <c r="X100" s="180"/>
      <c r="Y100" s="180">
        <v>3561121</v>
      </c>
      <c r="Z100" s="180">
        <v>176325</v>
      </c>
      <c r="AA100" s="180">
        <v>1553513</v>
      </c>
      <c r="AB100" s="180">
        <v>819306</v>
      </c>
      <c r="AC100" s="180">
        <v>434317</v>
      </c>
      <c r="AD100" s="180">
        <v>218242</v>
      </c>
      <c r="AE100" s="180">
        <v>27187</v>
      </c>
      <c r="AF100" s="180">
        <v>3922259</v>
      </c>
      <c r="AG100" s="180">
        <v>918395</v>
      </c>
      <c r="AH100" s="180">
        <v>144831</v>
      </c>
      <c r="AI100" s="180">
        <v>11404785</v>
      </c>
      <c r="AJ100" s="180">
        <v>231418</v>
      </c>
      <c r="AK100" s="180"/>
      <c r="AL100" s="180"/>
      <c r="AM100" s="180">
        <v>2695845</v>
      </c>
      <c r="AN100" s="180">
        <v>65255</v>
      </c>
      <c r="AO100" s="180">
        <v>125669</v>
      </c>
      <c r="AP100" s="180">
        <v>2512</v>
      </c>
      <c r="AQ100" s="180">
        <v>713711</v>
      </c>
      <c r="AR100" s="180">
        <v>1236604</v>
      </c>
      <c r="AS100" s="180"/>
      <c r="AT100" s="180">
        <v>242597</v>
      </c>
      <c r="AU100" s="180">
        <v>12005</v>
      </c>
      <c r="AV100" s="180">
        <v>378110</v>
      </c>
      <c r="AW100" s="180">
        <v>250469</v>
      </c>
      <c r="AX100" s="180">
        <v>198390</v>
      </c>
      <c r="AY100" s="180">
        <v>271422</v>
      </c>
      <c r="AZ100" s="180">
        <v>71404</v>
      </c>
      <c r="BA100" s="180">
        <v>55214</v>
      </c>
      <c r="BB100" s="180">
        <v>0</v>
      </c>
      <c r="BC100" s="180">
        <v>152675</v>
      </c>
      <c r="BD100" s="180">
        <v>941603</v>
      </c>
      <c r="BE100" s="180">
        <v>5995</v>
      </c>
      <c r="BF100" s="180">
        <v>112861</v>
      </c>
      <c r="BG100" s="180">
        <v>0</v>
      </c>
      <c r="BH100" s="180">
        <v>7379</v>
      </c>
      <c r="BI100" s="180">
        <v>32548</v>
      </c>
      <c r="BJ100" s="180">
        <v>16586</v>
      </c>
      <c r="BK100" s="180">
        <v>403067</v>
      </c>
      <c r="BL100" s="180"/>
      <c r="BM100" s="180">
        <v>374613</v>
      </c>
      <c r="BN100" s="180">
        <v>569928</v>
      </c>
      <c r="BO100" s="180">
        <v>148629</v>
      </c>
      <c r="BP100" s="180">
        <v>212816</v>
      </c>
      <c r="BQ100" s="180">
        <v>2893797</v>
      </c>
      <c r="BR100" s="180">
        <v>138345</v>
      </c>
      <c r="BS100" s="180">
        <v>1741151</v>
      </c>
      <c r="BT100" s="180">
        <v>70468</v>
      </c>
      <c r="BU100" s="180">
        <v>576225</v>
      </c>
      <c r="BV100" s="180">
        <v>107451</v>
      </c>
      <c r="BW100" s="180">
        <v>297400</v>
      </c>
      <c r="BX100" s="180">
        <v>148038</v>
      </c>
      <c r="BY100" s="180">
        <v>23461</v>
      </c>
      <c r="BZ100" s="180">
        <v>613317</v>
      </c>
      <c r="CA100" s="180">
        <v>7327</v>
      </c>
      <c r="CB100" s="180">
        <v>381395</v>
      </c>
      <c r="CC100" s="180"/>
      <c r="CD100" s="180">
        <v>2879</v>
      </c>
      <c r="CE100" s="180"/>
      <c r="CF100" s="180"/>
      <c r="CG100" s="180"/>
      <c r="CH100" s="180"/>
      <c r="CI100" s="180"/>
      <c r="CJ100" s="180"/>
      <c r="CK100" s="180"/>
      <c r="CL100" s="180"/>
      <c r="CM100" s="180"/>
      <c r="CN100" s="180"/>
      <c r="CO100" s="180"/>
      <c r="CP100" s="180"/>
      <c r="CQ100" s="180"/>
      <c r="CR100" s="180"/>
      <c r="CS100" s="180"/>
      <c r="CT100" s="180"/>
      <c r="CU100" s="180"/>
    </row>
    <row r="101" spans="1:99" x14ac:dyDescent="0.3">
      <c r="A101" s="155">
        <v>500</v>
      </c>
      <c r="B101" s="180" t="s">
        <v>175</v>
      </c>
      <c r="C101" s="180"/>
      <c r="D101" s="180"/>
      <c r="E101" s="180">
        <v>62879</v>
      </c>
      <c r="F101" s="180">
        <v>257009</v>
      </c>
      <c r="G101" s="180">
        <v>1062892</v>
      </c>
      <c r="H101" s="180">
        <v>782721</v>
      </c>
      <c r="I101" s="180">
        <v>406835</v>
      </c>
      <c r="J101" s="180">
        <v>0</v>
      </c>
      <c r="K101" s="180">
        <v>135337</v>
      </c>
      <c r="L101" s="180">
        <v>33033</v>
      </c>
      <c r="M101" s="180">
        <v>5396160</v>
      </c>
      <c r="N101" s="180">
        <v>121365</v>
      </c>
      <c r="O101" s="180">
        <v>1423057</v>
      </c>
      <c r="P101" s="180">
        <v>18780</v>
      </c>
      <c r="Q101" s="180">
        <v>13429770</v>
      </c>
      <c r="R101" s="180">
        <v>131072</v>
      </c>
      <c r="S101" s="180">
        <v>15094</v>
      </c>
      <c r="T101" s="180">
        <v>48905698</v>
      </c>
      <c r="U101" s="180">
        <v>1670476</v>
      </c>
      <c r="V101" s="180">
        <v>9208617</v>
      </c>
      <c r="W101" s="180">
        <v>30785949</v>
      </c>
      <c r="X101" s="180"/>
      <c r="Y101" s="180">
        <v>3559989</v>
      </c>
      <c r="Z101" s="180">
        <v>250707</v>
      </c>
      <c r="AA101" s="180">
        <v>4868334</v>
      </c>
      <c r="AB101" s="180">
        <v>324159</v>
      </c>
      <c r="AC101" s="180">
        <v>376271</v>
      </c>
      <c r="AD101" s="180">
        <v>600236</v>
      </c>
      <c r="AE101" s="180">
        <v>262406</v>
      </c>
      <c r="AF101" s="180">
        <v>5480809</v>
      </c>
      <c r="AG101" s="180">
        <v>694692</v>
      </c>
      <c r="AH101" s="180">
        <v>141653</v>
      </c>
      <c r="AI101" s="180">
        <v>7634209</v>
      </c>
      <c r="AJ101" s="180">
        <v>248048</v>
      </c>
      <c r="AK101" s="180"/>
      <c r="AL101" s="180"/>
      <c r="AM101" s="180">
        <v>4031082</v>
      </c>
      <c r="AN101" s="180">
        <v>149145</v>
      </c>
      <c r="AO101" s="180">
        <v>68008</v>
      </c>
      <c r="AP101" s="180">
        <v>0</v>
      </c>
      <c r="AQ101" s="180">
        <v>397301</v>
      </c>
      <c r="AR101" s="180">
        <v>305805</v>
      </c>
      <c r="AS101" s="180"/>
      <c r="AT101" s="180">
        <v>579880</v>
      </c>
      <c r="AU101" s="180">
        <v>95961</v>
      </c>
      <c r="AV101" s="180">
        <v>5896305</v>
      </c>
      <c r="AW101" s="180">
        <v>843063</v>
      </c>
      <c r="AX101" s="180">
        <v>114159</v>
      </c>
      <c r="AY101" s="180">
        <v>251904</v>
      </c>
      <c r="AZ101" s="180">
        <v>51368</v>
      </c>
      <c r="BA101" s="180">
        <v>531751</v>
      </c>
      <c r="BB101" s="180">
        <v>0</v>
      </c>
      <c r="BC101" s="180">
        <v>338719</v>
      </c>
      <c r="BD101" s="180">
        <v>1699239</v>
      </c>
      <c r="BE101" s="180">
        <v>64519</v>
      </c>
      <c r="BF101" s="180">
        <v>317</v>
      </c>
      <c r="BG101" s="180">
        <v>76034</v>
      </c>
      <c r="BH101" s="180">
        <v>35336</v>
      </c>
      <c r="BI101" s="180">
        <v>101535</v>
      </c>
      <c r="BJ101" s="180">
        <v>26632</v>
      </c>
      <c r="BK101" s="180">
        <v>94956</v>
      </c>
      <c r="BL101" s="180"/>
      <c r="BM101" s="180">
        <v>108445</v>
      </c>
      <c r="BN101" s="180">
        <v>222053</v>
      </c>
      <c r="BO101" s="180">
        <v>552059</v>
      </c>
      <c r="BP101" s="180">
        <v>538277</v>
      </c>
      <c r="BQ101" s="180">
        <v>2652592</v>
      </c>
      <c r="BR101" s="180">
        <v>309739</v>
      </c>
      <c r="BS101" s="180">
        <v>5931723</v>
      </c>
      <c r="BT101" s="180">
        <v>469363</v>
      </c>
      <c r="BU101" s="180">
        <v>222537</v>
      </c>
      <c r="BV101" s="180">
        <v>662693</v>
      </c>
      <c r="BW101" s="180">
        <v>16255</v>
      </c>
      <c r="BX101" s="180">
        <v>611532</v>
      </c>
      <c r="BY101" s="180">
        <v>166457</v>
      </c>
      <c r="BZ101" s="180">
        <v>36181</v>
      </c>
      <c r="CA101" s="180">
        <v>53637</v>
      </c>
      <c r="CB101" s="180">
        <v>480457</v>
      </c>
      <c r="CC101" s="180"/>
      <c r="CD101" s="180">
        <v>18800</v>
      </c>
      <c r="CE101" s="180"/>
      <c r="CF101" s="180"/>
      <c r="CG101" s="180"/>
      <c r="CH101" s="180"/>
      <c r="CI101" s="180"/>
      <c r="CJ101" s="180"/>
      <c r="CK101" s="180"/>
      <c r="CL101" s="180"/>
      <c r="CM101" s="180"/>
      <c r="CN101" s="180"/>
      <c r="CO101" s="180"/>
      <c r="CP101" s="180"/>
      <c r="CQ101" s="180"/>
      <c r="CR101" s="180"/>
      <c r="CS101" s="180"/>
      <c r="CT101" s="180"/>
      <c r="CU101" s="180"/>
    </row>
    <row r="102" spans="1:99" x14ac:dyDescent="0.3">
      <c r="A102" s="155">
        <v>502</v>
      </c>
      <c r="B102" s="180" t="s">
        <v>177</v>
      </c>
      <c r="C102" s="180"/>
      <c r="D102" s="180"/>
      <c r="E102" s="180">
        <v>0</v>
      </c>
      <c r="F102" s="180">
        <v>729395</v>
      </c>
      <c r="G102" s="180">
        <v>0</v>
      </c>
      <c r="H102" s="180">
        <v>0</v>
      </c>
      <c r="I102" s="180">
        <v>0</v>
      </c>
      <c r="J102" s="180">
        <v>18259</v>
      </c>
      <c r="K102" s="180">
        <v>0</v>
      </c>
      <c r="L102" s="180">
        <v>0</v>
      </c>
      <c r="M102" s="180">
        <v>0</v>
      </c>
      <c r="N102" s="180">
        <v>0</v>
      </c>
      <c r="O102" s="180">
        <v>1754560</v>
      </c>
      <c r="P102" s="180">
        <v>0</v>
      </c>
      <c r="Q102" s="180">
        <v>184399390</v>
      </c>
      <c r="R102" s="180">
        <v>880436</v>
      </c>
      <c r="S102" s="180">
        <v>0</v>
      </c>
      <c r="T102" s="180">
        <v>22060045</v>
      </c>
      <c r="U102" s="180">
        <v>9021216</v>
      </c>
      <c r="V102" s="180">
        <v>39710688</v>
      </c>
      <c r="W102" s="180">
        <v>2036958</v>
      </c>
      <c r="X102" s="180"/>
      <c r="Y102" s="180">
        <v>5917843</v>
      </c>
      <c r="Z102" s="180">
        <v>1488329</v>
      </c>
      <c r="AA102" s="180">
        <v>14947278</v>
      </c>
      <c r="AB102" s="180">
        <v>1873828</v>
      </c>
      <c r="AC102" s="180">
        <v>1371965</v>
      </c>
      <c r="AD102" s="180">
        <v>1059027</v>
      </c>
      <c r="AE102" s="180">
        <v>2591059</v>
      </c>
      <c r="AF102" s="180">
        <v>3933212</v>
      </c>
      <c r="AG102" s="180">
        <v>2018170</v>
      </c>
      <c r="AH102" s="180">
        <v>0</v>
      </c>
      <c r="AI102" s="180">
        <v>38997068</v>
      </c>
      <c r="AJ102" s="180">
        <v>378161</v>
      </c>
      <c r="AK102" s="180"/>
      <c r="AL102" s="180"/>
      <c r="AM102" s="180">
        <v>13005009</v>
      </c>
      <c r="AN102" s="180">
        <v>-25119</v>
      </c>
      <c r="AO102" s="180">
        <v>47818</v>
      </c>
      <c r="AP102" s="180">
        <v>0</v>
      </c>
      <c r="AQ102" s="180">
        <v>0</v>
      </c>
      <c r="AR102" s="180">
        <v>5128263</v>
      </c>
      <c r="AS102" s="180"/>
      <c r="AT102" s="180">
        <v>1270850</v>
      </c>
      <c r="AU102" s="180">
        <v>695714</v>
      </c>
      <c r="AV102" s="180">
        <v>32284057</v>
      </c>
      <c r="AW102" s="180">
        <v>0</v>
      </c>
      <c r="AX102" s="180">
        <v>2752670</v>
      </c>
      <c r="AY102" s="180">
        <v>17354515</v>
      </c>
      <c r="AZ102" s="180">
        <v>935562</v>
      </c>
      <c r="BA102" s="180">
        <v>194504</v>
      </c>
      <c r="BB102" s="180">
        <v>0</v>
      </c>
      <c r="BC102" s="180">
        <v>65290</v>
      </c>
      <c r="BD102" s="180">
        <v>10065092</v>
      </c>
      <c r="BE102" s="180">
        <v>0</v>
      </c>
      <c r="BF102" s="180">
        <v>258798</v>
      </c>
      <c r="BG102" s="180">
        <v>112468</v>
      </c>
      <c r="BH102" s="180">
        <v>0</v>
      </c>
      <c r="BI102" s="180">
        <v>336687</v>
      </c>
      <c r="BJ102" s="180">
        <v>0</v>
      </c>
      <c r="BK102" s="180">
        <v>1720826</v>
      </c>
      <c r="BL102" s="180"/>
      <c r="BM102" s="180">
        <v>416697</v>
      </c>
      <c r="BN102" s="180">
        <v>883272</v>
      </c>
      <c r="BO102" s="180">
        <v>822154</v>
      </c>
      <c r="BP102" s="180">
        <v>1201953</v>
      </c>
      <c r="BQ102" s="180">
        <v>0</v>
      </c>
      <c r="BR102" s="180">
        <v>2508462</v>
      </c>
      <c r="BS102" s="180">
        <v>5752631</v>
      </c>
      <c r="BT102" s="180">
        <v>541542</v>
      </c>
      <c r="BU102" s="180">
        <v>6171313</v>
      </c>
      <c r="BV102" s="180">
        <v>0</v>
      </c>
      <c r="BW102" s="180">
        <v>575744</v>
      </c>
      <c r="BX102" s="180">
        <v>1369118</v>
      </c>
      <c r="BY102" s="180">
        <v>3129</v>
      </c>
      <c r="BZ102" s="180">
        <v>367066</v>
      </c>
      <c r="CA102" s="180">
        <v>50849</v>
      </c>
      <c r="CB102" s="180">
        <v>1354338</v>
      </c>
      <c r="CC102" s="180"/>
      <c r="CD102" s="180">
        <v>1499</v>
      </c>
      <c r="CE102" s="180"/>
      <c r="CF102" s="180"/>
      <c r="CG102" s="180"/>
      <c r="CH102" s="180"/>
      <c r="CI102" s="180"/>
      <c r="CJ102" s="180"/>
      <c r="CK102" s="180"/>
      <c r="CL102" s="180"/>
      <c r="CM102" s="180"/>
      <c r="CN102" s="180"/>
      <c r="CO102" s="180"/>
      <c r="CP102" s="180"/>
      <c r="CQ102" s="180"/>
      <c r="CR102" s="180"/>
      <c r="CS102" s="180"/>
      <c r="CT102" s="180"/>
      <c r="CU102" s="180"/>
    </row>
    <row r="103" spans="1:99" x14ac:dyDescent="0.3">
      <c r="A103" s="155">
        <v>503</v>
      </c>
      <c r="B103" s="180" t="s">
        <v>178</v>
      </c>
      <c r="C103" s="180"/>
      <c r="D103" s="180"/>
      <c r="E103" s="180">
        <v>0</v>
      </c>
      <c r="F103" s="180">
        <v>71277</v>
      </c>
      <c r="G103" s="180">
        <v>0</v>
      </c>
      <c r="H103" s="180">
        <v>0</v>
      </c>
      <c r="I103" s="180">
        <v>0</v>
      </c>
      <c r="J103" s="180">
        <v>10518</v>
      </c>
      <c r="K103" s="180">
        <v>0</v>
      </c>
      <c r="L103" s="180">
        <v>0</v>
      </c>
      <c r="M103" s="180">
        <v>0</v>
      </c>
      <c r="N103" s="180">
        <v>0</v>
      </c>
      <c r="O103" s="180">
        <v>124155</v>
      </c>
      <c r="P103" s="180">
        <v>0</v>
      </c>
      <c r="Q103" s="180">
        <v>198919</v>
      </c>
      <c r="R103" s="180">
        <v>7386</v>
      </c>
      <c r="S103" s="180">
        <v>0</v>
      </c>
      <c r="T103" s="180">
        <v>41049171</v>
      </c>
      <c r="U103" s="180">
        <v>213760</v>
      </c>
      <c r="V103" s="180">
        <v>912372</v>
      </c>
      <c r="W103" s="180">
        <v>0</v>
      </c>
      <c r="X103" s="180"/>
      <c r="Y103" s="180">
        <v>64459</v>
      </c>
      <c r="Z103" s="180">
        <v>160000</v>
      </c>
      <c r="AA103" s="180">
        <v>5184364</v>
      </c>
      <c r="AB103" s="180">
        <v>194915</v>
      </c>
      <c r="AC103" s="180">
        <v>205766</v>
      </c>
      <c r="AD103" s="180">
        <v>143655</v>
      </c>
      <c r="AE103" s="180">
        <v>161597</v>
      </c>
      <c r="AF103" s="180">
        <v>465321</v>
      </c>
      <c r="AG103" s="180">
        <v>164908</v>
      </c>
      <c r="AH103" s="180">
        <v>0</v>
      </c>
      <c r="AI103" s="180">
        <v>2634889</v>
      </c>
      <c r="AJ103" s="180">
        <v>13360</v>
      </c>
      <c r="AK103" s="180"/>
      <c r="AL103" s="180"/>
      <c r="AM103" s="180">
        <v>1752640</v>
      </c>
      <c r="AN103" s="180">
        <v>25340</v>
      </c>
      <c r="AO103" s="180">
        <v>89154</v>
      </c>
      <c r="AP103" s="180">
        <v>0</v>
      </c>
      <c r="AQ103" s="180">
        <v>0</v>
      </c>
      <c r="AR103" s="180">
        <v>73126</v>
      </c>
      <c r="AS103" s="180"/>
      <c r="AT103" s="180">
        <v>42369</v>
      </c>
      <c r="AU103" s="180">
        <v>33338</v>
      </c>
      <c r="AV103" s="180">
        <v>6428765</v>
      </c>
      <c r="AW103" s="180">
        <v>0</v>
      </c>
      <c r="AX103" s="180">
        <v>27357</v>
      </c>
      <c r="AY103" s="180">
        <v>227029</v>
      </c>
      <c r="AZ103" s="180">
        <v>36495</v>
      </c>
      <c r="BA103" s="180">
        <v>52099</v>
      </c>
      <c r="BB103" s="180">
        <v>0</v>
      </c>
      <c r="BC103" s="180">
        <v>9535</v>
      </c>
      <c r="BD103" s="180">
        <v>143287</v>
      </c>
      <c r="BE103" s="180">
        <v>0</v>
      </c>
      <c r="BF103" s="180">
        <v>2217</v>
      </c>
      <c r="BG103" s="180">
        <v>5856</v>
      </c>
      <c r="BH103" s="180">
        <v>0</v>
      </c>
      <c r="BI103" s="180">
        <v>21180</v>
      </c>
      <c r="BJ103" s="180">
        <v>0</v>
      </c>
      <c r="BK103" s="180">
        <v>470238</v>
      </c>
      <c r="BL103" s="180"/>
      <c r="BM103" s="180">
        <v>10088</v>
      </c>
      <c r="BN103" s="180">
        <v>4856</v>
      </c>
      <c r="BO103" s="180">
        <v>67704</v>
      </c>
      <c r="BP103" s="180">
        <v>91722</v>
      </c>
      <c r="BQ103" s="180">
        <v>0</v>
      </c>
      <c r="BR103" s="180">
        <v>127677</v>
      </c>
      <c r="BS103" s="180">
        <v>268836</v>
      </c>
      <c r="BT103" s="180">
        <v>65242</v>
      </c>
      <c r="BU103" s="180">
        <v>123247</v>
      </c>
      <c r="BV103" s="180">
        <v>0</v>
      </c>
      <c r="BW103" s="180">
        <v>196619</v>
      </c>
      <c r="BX103" s="180">
        <v>39071</v>
      </c>
      <c r="BY103" s="180">
        <v>0</v>
      </c>
      <c r="BZ103" s="180">
        <v>47362</v>
      </c>
      <c r="CA103" s="180">
        <v>12375</v>
      </c>
      <c r="CB103" s="180">
        <v>106818</v>
      </c>
      <c r="CC103" s="180"/>
      <c r="CD103" s="180">
        <v>0</v>
      </c>
      <c r="CE103" s="180"/>
      <c r="CF103" s="180"/>
      <c r="CG103" s="180"/>
      <c r="CH103" s="180"/>
      <c r="CI103" s="180"/>
      <c r="CJ103" s="180"/>
      <c r="CK103" s="180"/>
      <c r="CL103" s="180"/>
      <c r="CM103" s="180"/>
      <c r="CN103" s="180"/>
      <c r="CO103" s="180"/>
      <c r="CP103" s="180"/>
      <c r="CQ103" s="180"/>
      <c r="CR103" s="180"/>
      <c r="CS103" s="180"/>
      <c r="CT103" s="180"/>
      <c r="CU103" s="180"/>
    </row>
    <row r="104" spans="1:99" x14ac:dyDescent="0.3">
      <c r="A104" s="155">
        <v>504</v>
      </c>
      <c r="B104" s="180" t="s">
        <v>182</v>
      </c>
      <c r="C104" s="180"/>
      <c r="D104" s="180"/>
      <c r="E104" s="180">
        <v>6302</v>
      </c>
      <c r="F104" s="180">
        <v>61704</v>
      </c>
      <c r="G104" s="180">
        <v>1329796</v>
      </c>
      <c r="H104" s="180">
        <v>0</v>
      </c>
      <c r="I104" s="180">
        <v>932150</v>
      </c>
      <c r="J104" s="180">
        <v>0</v>
      </c>
      <c r="K104" s="180">
        <v>0</v>
      </c>
      <c r="L104" s="180">
        <v>55648</v>
      </c>
      <c r="M104" s="180">
        <v>2755294</v>
      </c>
      <c r="N104" s="180">
        <v>120468</v>
      </c>
      <c r="O104" s="180">
        <v>672700</v>
      </c>
      <c r="P104" s="180">
        <v>0</v>
      </c>
      <c r="Q104" s="180">
        <v>8673881</v>
      </c>
      <c r="R104" s="180">
        <v>195269</v>
      </c>
      <c r="S104" s="180">
        <v>5125</v>
      </c>
      <c r="T104" s="180">
        <v>18568892</v>
      </c>
      <c r="U104" s="180">
        <v>1995860</v>
      </c>
      <c r="V104" s="180">
        <v>1144037</v>
      </c>
      <c r="W104" s="180">
        <v>2141609</v>
      </c>
      <c r="X104" s="180"/>
      <c r="Y104" s="180">
        <v>1472250</v>
      </c>
      <c r="Z104" s="180">
        <v>86376</v>
      </c>
      <c r="AA104" s="180">
        <v>872601</v>
      </c>
      <c r="AB104" s="180">
        <v>869980</v>
      </c>
      <c r="AC104" s="180">
        <v>1439144</v>
      </c>
      <c r="AD104" s="180">
        <v>809103</v>
      </c>
      <c r="AE104" s="180">
        <v>226338</v>
      </c>
      <c r="AF104" s="180">
        <v>959030</v>
      </c>
      <c r="AG104" s="180">
        <v>701507</v>
      </c>
      <c r="AH104" s="180">
        <v>93619</v>
      </c>
      <c r="AI104" s="180">
        <v>9029257</v>
      </c>
      <c r="AJ104" s="180">
        <v>136581</v>
      </c>
      <c r="AK104" s="180"/>
      <c r="AL104" s="180"/>
      <c r="AM104" s="180">
        <v>1025505</v>
      </c>
      <c r="AN104" s="180">
        <v>103932</v>
      </c>
      <c r="AO104" s="180">
        <v>0</v>
      </c>
      <c r="AP104" s="180">
        <v>30270</v>
      </c>
      <c r="AQ104" s="180">
        <v>5335723</v>
      </c>
      <c r="AR104" s="180">
        <v>228422</v>
      </c>
      <c r="AS104" s="180"/>
      <c r="AT104" s="180">
        <v>101156</v>
      </c>
      <c r="AU104" s="180">
        <v>16842</v>
      </c>
      <c r="AV104" s="180">
        <v>4210987</v>
      </c>
      <c r="AW104" s="180">
        <v>67563</v>
      </c>
      <c r="AX104" s="180">
        <v>92284</v>
      </c>
      <c r="AY104" s="180">
        <v>624572</v>
      </c>
      <c r="AZ104" s="180">
        <v>213339</v>
      </c>
      <c r="BA104" s="180">
        <v>66648</v>
      </c>
      <c r="BB104" s="180">
        <v>7214</v>
      </c>
      <c r="BC104" s="180">
        <v>16194</v>
      </c>
      <c r="BD104" s="180">
        <v>608439</v>
      </c>
      <c r="BE104" s="180">
        <v>6775</v>
      </c>
      <c r="BF104" s="180">
        <v>43822</v>
      </c>
      <c r="BG104" s="180">
        <v>9369</v>
      </c>
      <c r="BH104" s="180">
        <v>8069</v>
      </c>
      <c r="BI104" s="180">
        <v>23576</v>
      </c>
      <c r="BJ104" s="180">
        <v>75664</v>
      </c>
      <c r="BK104" s="180">
        <v>1224921</v>
      </c>
      <c r="BL104" s="180"/>
      <c r="BM104" s="180">
        <v>1048218</v>
      </c>
      <c r="BN104" s="180">
        <v>307005</v>
      </c>
      <c r="BO104" s="180">
        <v>137150</v>
      </c>
      <c r="BP104" s="180">
        <v>218620</v>
      </c>
      <c r="BQ104" s="180">
        <v>608559</v>
      </c>
      <c r="BR104" s="180">
        <v>161527</v>
      </c>
      <c r="BS104" s="180">
        <v>2123619</v>
      </c>
      <c r="BT104" s="180">
        <v>179925</v>
      </c>
      <c r="BU104" s="180">
        <v>257208</v>
      </c>
      <c r="BV104" s="180">
        <v>0</v>
      </c>
      <c r="BW104" s="180">
        <v>110501</v>
      </c>
      <c r="BX104" s="180">
        <v>71737</v>
      </c>
      <c r="BY104" s="180">
        <v>40714</v>
      </c>
      <c r="BZ104" s="180">
        <v>348364</v>
      </c>
      <c r="CA104" s="180">
        <v>6444</v>
      </c>
      <c r="CB104" s="180">
        <v>124721</v>
      </c>
      <c r="CC104" s="180"/>
      <c r="CD104" s="180">
        <v>4610</v>
      </c>
      <c r="CE104" s="180"/>
      <c r="CF104" s="180"/>
      <c r="CG104" s="180"/>
      <c r="CH104" s="180"/>
      <c r="CI104" s="180"/>
      <c r="CJ104" s="180"/>
      <c r="CK104" s="180"/>
      <c r="CL104" s="180"/>
      <c r="CM104" s="180"/>
      <c r="CN104" s="180"/>
      <c r="CO104" s="180"/>
      <c r="CP104" s="180"/>
      <c r="CQ104" s="180"/>
      <c r="CR104" s="180"/>
      <c r="CS104" s="180"/>
      <c r="CT104" s="180"/>
      <c r="CU104" s="180"/>
    </row>
    <row r="105" spans="1:99" x14ac:dyDescent="0.3">
      <c r="A105" s="155">
        <v>505</v>
      </c>
      <c r="B105" s="180" t="s">
        <v>183</v>
      </c>
      <c r="C105" s="180"/>
      <c r="D105" s="180"/>
      <c r="E105" s="180">
        <v>0</v>
      </c>
      <c r="F105" s="180">
        <v>74461</v>
      </c>
      <c r="G105" s="180">
        <v>0</v>
      </c>
      <c r="H105" s="180">
        <v>350000</v>
      </c>
      <c r="I105" s="180">
        <v>75000</v>
      </c>
      <c r="J105" s="180">
        <v>0</v>
      </c>
      <c r="K105" s="180">
        <v>0</v>
      </c>
      <c r="L105" s="180">
        <v>0</v>
      </c>
      <c r="M105" s="180">
        <v>4732000</v>
      </c>
      <c r="N105" s="180">
        <v>14531</v>
      </c>
      <c r="O105" s="180">
        <v>25625</v>
      </c>
      <c r="P105" s="180">
        <v>9955</v>
      </c>
      <c r="Q105" s="180">
        <v>779234</v>
      </c>
      <c r="R105" s="180">
        <v>19</v>
      </c>
      <c r="S105" s="180">
        <v>0</v>
      </c>
      <c r="T105" s="180">
        <v>0</v>
      </c>
      <c r="U105" s="180">
        <v>3013836</v>
      </c>
      <c r="V105" s="180">
        <v>4202885</v>
      </c>
      <c r="W105" s="180">
        <v>9235319</v>
      </c>
      <c r="X105" s="180"/>
      <c r="Y105" s="180">
        <v>0</v>
      </c>
      <c r="Z105" s="180">
        <v>74352</v>
      </c>
      <c r="AA105" s="180">
        <v>506588</v>
      </c>
      <c r="AB105" s="180">
        <v>1026251</v>
      </c>
      <c r="AC105" s="180">
        <v>43923</v>
      </c>
      <c r="AD105" s="180">
        <v>0</v>
      </c>
      <c r="AE105" s="180">
        <v>0</v>
      </c>
      <c r="AF105" s="180">
        <v>786266</v>
      </c>
      <c r="AG105" s="180">
        <v>0</v>
      </c>
      <c r="AH105" s="180">
        <v>0</v>
      </c>
      <c r="AI105" s="180">
        <v>475000</v>
      </c>
      <c r="AJ105" s="180">
        <v>0</v>
      </c>
      <c r="AK105" s="180"/>
      <c r="AL105" s="180"/>
      <c r="AM105" s="180">
        <v>1000</v>
      </c>
      <c r="AN105" s="180">
        <v>0</v>
      </c>
      <c r="AO105" s="180">
        <v>36594</v>
      </c>
      <c r="AP105" s="180">
        <v>0</v>
      </c>
      <c r="AQ105" s="180">
        <v>0</v>
      </c>
      <c r="AR105" s="180">
        <v>312521</v>
      </c>
      <c r="AS105" s="180"/>
      <c r="AT105" s="180">
        <v>123550</v>
      </c>
      <c r="AU105" s="180">
        <v>0</v>
      </c>
      <c r="AV105" s="180">
        <v>0</v>
      </c>
      <c r="AW105" s="180">
        <v>50000</v>
      </c>
      <c r="AX105" s="180">
        <v>0</v>
      </c>
      <c r="AY105" s="180">
        <v>1562400</v>
      </c>
      <c r="AZ105" s="180">
        <v>260000</v>
      </c>
      <c r="BA105" s="180">
        <v>0</v>
      </c>
      <c r="BB105" s="180">
        <v>0</v>
      </c>
      <c r="BC105" s="180">
        <v>0</v>
      </c>
      <c r="BD105" s="180">
        <v>0</v>
      </c>
      <c r="BE105" s="180">
        <v>0</v>
      </c>
      <c r="BF105" s="180">
        <v>0</v>
      </c>
      <c r="BG105" s="180">
        <v>0</v>
      </c>
      <c r="BH105" s="180">
        <v>0</v>
      </c>
      <c r="BI105" s="180">
        <v>0</v>
      </c>
      <c r="BJ105" s="180">
        <v>0</v>
      </c>
      <c r="BK105" s="180">
        <v>0</v>
      </c>
      <c r="BL105" s="180"/>
      <c r="BM105" s="180">
        <v>225762</v>
      </c>
      <c r="BN105" s="180">
        <v>109518</v>
      </c>
      <c r="BO105" s="180">
        <v>0</v>
      </c>
      <c r="BP105" s="180">
        <v>0</v>
      </c>
      <c r="BQ105" s="180">
        <v>940150</v>
      </c>
      <c r="BR105" s="180">
        <v>0</v>
      </c>
      <c r="BS105" s="180">
        <v>73104</v>
      </c>
      <c r="BT105" s="180">
        <v>0</v>
      </c>
      <c r="BU105" s="180">
        <v>0</v>
      </c>
      <c r="BV105" s="180">
        <v>50000</v>
      </c>
      <c r="BW105" s="180">
        <v>26552</v>
      </c>
      <c r="BX105" s="180">
        <v>1321</v>
      </c>
      <c r="BY105" s="180">
        <v>0</v>
      </c>
      <c r="BZ105" s="180">
        <v>140247</v>
      </c>
      <c r="CA105" s="180">
        <v>0</v>
      </c>
      <c r="CB105" s="180">
        <v>1843350</v>
      </c>
      <c r="CC105" s="180"/>
      <c r="CD105" s="180">
        <v>0</v>
      </c>
      <c r="CE105" s="180"/>
      <c r="CF105" s="180"/>
      <c r="CG105" s="180"/>
      <c r="CH105" s="180"/>
      <c r="CI105" s="180"/>
      <c r="CJ105" s="180"/>
      <c r="CK105" s="180"/>
      <c r="CL105" s="180"/>
      <c r="CM105" s="180"/>
      <c r="CN105" s="180"/>
      <c r="CO105" s="180"/>
      <c r="CP105" s="180"/>
      <c r="CQ105" s="180"/>
      <c r="CR105" s="180"/>
      <c r="CS105" s="180"/>
      <c r="CT105" s="180"/>
      <c r="CU105" s="180"/>
    </row>
    <row r="106" spans="1:99" x14ac:dyDescent="0.3">
      <c r="A106" s="155">
        <v>506</v>
      </c>
      <c r="B106" s="180" t="s">
        <v>189</v>
      </c>
      <c r="C106" s="180"/>
      <c r="D106" s="180"/>
      <c r="E106" s="180">
        <v>154776</v>
      </c>
      <c r="F106" s="180">
        <v>911313</v>
      </c>
      <c r="G106" s="180">
        <v>4901219</v>
      </c>
      <c r="H106" s="180">
        <v>6608909</v>
      </c>
      <c r="I106" s="180">
        <v>5982878</v>
      </c>
      <c r="J106" s="180">
        <v>137929</v>
      </c>
      <c r="K106" s="180">
        <v>1061969</v>
      </c>
      <c r="L106" s="180">
        <v>961622</v>
      </c>
      <c r="M106" s="180">
        <v>8890216</v>
      </c>
      <c r="N106" s="180">
        <v>733937</v>
      </c>
      <c r="O106" s="180">
        <v>5951880</v>
      </c>
      <c r="P106" s="180">
        <v>332391</v>
      </c>
      <c r="Q106" s="180">
        <v>31180522</v>
      </c>
      <c r="R106" s="180">
        <v>943913</v>
      </c>
      <c r="S106" s="180">
        <v>162249</v>
      </c>
      <c r="T106" s="180">
        <v>68398173</v>
      </c>
      <c r="U106" s="180">
        <v>9119002</v>
      </c>
      <c r="V106" s="180">
        <v>26880331</v>
      </c>
      <c r="W106" s="180">
        <v>26895751</v>
      </c>
      <c r="X106" s="180"/>
      <c r="Y106" s="180">
        <v>14912067</v>
      </c>
      <c r="Z106" s="180">
        <v>1137159</v>
      </c>
      <c r="AA106" s="180">
        <v>16581226</v>
      </c>
      <c r="AB106" s="180">
        <v>1166684</v>
      </c>
      <c r="AC106" s="180">
        <v>2106939</v>
      </c>
      <c r="AD106" s="180">
        <v>1621093</v>
      </c>
      <c r="AE106" s="180">
        <v>3626050</v>
      </c>
      <c r="AF106" s="180">
        <v>11657725</v>
      </c>
      <c r="AG106" s="180">
        <v>5344755</v>
      </c>
      <c r="AH106" s="180">
        <v>1512121</v>
      </c>
      <c r="AI106" s="180">
        <v>17890893</v>
      </c>
      <c r="AJ106" s="180">
        <v>3606819</v>
      </c>
      <c r="AK106" s="180"/>
      <c r="AL106" s="180"/>
      <c r="AM106" s="180">
        <v>11655637</v>
      </c>
      <c r="AN106" s="180">
        <v>614706</v>
      </c>
      <c r="AO106" s="180">
        <v>754169</v>
      </c>
      <c r="AP106" s="180">
        <v>102234</v>
      </c>
      <c r="AQ106" s="180">
        <v>4433141</v>
      </c>
      <c r="AR106" s="180">
        <v>18284252</v>
      </c>
      <c r="AS106" s="180"/>
      <c r="AT106" s="180">
        <v>1398101</v>
      </c>
      <c r="AU106" s="180">
        <v>244917</v>
      </c>
      <c r="AV106" s="180">
        <v>17637740</v>
      </c>
      <c r="AW106" s="180">
        <v>3676525</v>
      </c>
      <c r="AX106" s="180">
        <v>945700</v>
      </c>
      <c r="AY106" s="180">
        <v>9542421</v>
      </c>
      <c r="AZ106" s="180">
        <v>2348298</v>
      </c>
      <c r="BA106" s="180">
        <v>773403</v>
      </c>
      <c r="BB106" s="180">
        <v>127262</v>
      </c>
      <c r="BC106" s="180">
        <v>490191</v>
      </c>
      <c r="BD106" s="180">
        <v>8206891</v>
      </c>
      <c r="BE106" s="180">
        <v>660566</v>
      </c>
      <c r="BF106" s="180">
        <v>855966</v>
      </c>
      <c r="BG106" s="180">
        <v>233365</v>
      </c>
      <c r="BH106" s="180">
        <v>298802</v>
      </c>
      <c r="BI106" s="180">
        <v>448296</v>
      </c>
      <c r="BJ106" s="180">
        <v>336897</v>
      </c>
      <c r="BK106" s="180">
        <v>2139160</v>
      </c>
      <c r="BL106" s="180"/>
      <c r="BM106" s="180">
        <v>318291</v>
      </c>
      <c r="BN106" s="180">
        <v>2910599</v>
      </c>
      <c r="BO106" s="180">
        <v>1430389</v>
      </c>
      <c r="BP106" s="180">
        <v>2023695</v>
      </c>
      <c r="BQ106" s="180">
        <v>14802605</v>
      </c>
      <c r="BR106" s="180">
        <v>611179</v>
      </c>
      <c r="BS106" s="180">
        <v>22143384</v>
      </c>
      <c r="BT106" s="180">
        <v>579903</v>
      </c>
      <c r="BU106" s="180">
        <v>6372946</v>
      </c>
      <c r="BV106" s="180">
        <v>2472095</v>
      </c>
      <c r="BW106" s="180">
        <v>1337738</v>
      </c>
      <c r="BX106" s="180">
        <v>1994675</v>
      </c>
      <c r="BY106" s="180">
        <v>218798</v>
      </c>
      <c r="BZ106" s="180">
        <v>492023</v>
      </c>
      <c r="CA106" s="180">
        <v>173799</v>
      </c>
      <c r="CB106" s="180">
        <v>157754</v>
      </c>
      <c r="CC106" s="180"/>
      <c r="CD106" s="180">
        <v>416328</v>
      </c>
      <c r="CE106" s="180"/>
      <c r="CF106" s="180"/>
      <c r="CG106" s="180"/>
      <c r="CH106" s="180"/>
      <c r="CI106" s="180"/>
      <c r="CJ106" s="180"/>
      <c r="CK106" s="180"/>
      <c r="CL106" s="180"/>
      <c r="CM106" s="180"/>
      <c r="CN106" s="180"/>
      <c r="CO106" s="180"/>
      <c r="CP106" s="180"/>
      <c r="CQ106" s="180"/>
      <c r="CR106" s="180"/>
      <c r="CS106" s="180"/>
      <c r="CT106" s="180"/>
      <c r="CU106" s="180"/>
    </row>
    <row r="107" spans="1:99" x14ac:dyDescent="0.3">
      <c r="A107" s="155">
        <v>507</v>
      </c>
      <c r="B107" s="180" t="s">
        <v>925</v>
      </c>
      <c r="C107" s="180"/>
      <c r="D107" s="180"/>
      <c r="E107" s="180">
        <v>0</v>
      </c>
      <c r="F107" s="180">
        <v>0</v>
      </c>
      <c r="G107" s="180">
        <v>0</v>
      </c>
      <c r="H107" s="180">
        <v>0</v>
      </c>
      <c r="I107" s="180">
        <v>0</v>
      </c>
      <c r="J107" s="180">
        <v>1</v>
      </c>
      <c r="K107" s="180">
        <v>0</v>
      </c>
      <c r="L107" s="180">
        <v>0</v>
      </c>
      <c r="M107" s="180">
        <v>0</v>
      </c>
      <c r="N107" s="180">
        <v>0</v>
      </c>
      <c r="O107" s="180">
        <v>-1</v>
      </c>
      <c r="P107" s="180">
        <v>0</v>
      </c>
      <c r="Q107" s="180">
        <v>0</v>
      </c>
      <c r="R107" s="180">
        <v>0</v>
      </c>
      <c r="S107" s="180">
        <v>0</v>
      </c>
      <c r="T107" s="180">
        <v>0</v>
      </c>
      <c r="U107" s="180">
        <v>0</v>
      </c>
      <c r="V107" s="180">
        <v>925370</v>
      </c>
      <c r="W107" s="180">
        <v>0</v>
      </c>
      <c r="X107" s="180"/>
      <c r="Y107" s="180">
        <v>0</v>
      </c>
      <c r="Z107" s="180">
        <v>0</v>
      </c>
      <c r="AA107" s="180">
        <v>0</v>
      </c>
      <c r="AB107" s="180">
        <v>0</v>
      </c>
      <c r="AC107" s="180">
        <v>0</v>
      </c>
      <c r="AD107" s="180">
        <v>-11319</v>
      </c>
      <c r="AE107" s="180">
        <v>7415</v>
      </c>
      <c r="AF107" s="180">
        <v>0</v>
      </c>
      <c r="AG107" s="180">
        <v>0</v>
      </c>
      <c r="AH107" s="180">
        <v>57584</v>
      </c>
      <c r="AI107" s="180">
        <v>0</v>
      </c>
      <c r="AJ107" s="180">
        <v>-112916</v>
      </c>
      <c r="AK107" s="180"/>
      <c r="AL107" s="180"/>
      <c r="AM107" s="180">
        <v>0</v>
      </c>
      <c r="AN107" s="180">
        <v>0</v>
      </c>
      <c r="AO107" s="180">
        <v>0</v>
      </c>
      <c r="AP107" s="180">
        <v>0</v>
      </c>
      <c r="AQ107" s="180">
        <v>0</v>
      </c>
      <c r="AR107" s="180">
        <v>0</v>
      </c>
      <c r="AS107" s="180"/>
      <c r="AT107" s="180">
        <v>0</v>
      </c>
      <c r="AU107" s="180">
        <v>0</v>
      </c>
      <c r="AV107" s="180">
        <v>0</v>
      </c>
      <c r="AW107" s="180">
        <v>0</v>
      </c>
      <c r="AX107" s="180">
        <v>1</v>
      </c>
      <c r="AY107" s="180">
        <v>0</v>
      </c>
      <c r="AZ107" s="180">
        <v>0</v>
      </c>
      <c r="BA107" s="180">
        <v>0</v>
      </c>
      <c r="BB107" s="180">
        <v>0</v>
      </c>
      <c r="BC107" s="180">
        <v>0</v>
      </c>
      <c r="BD107" s="180">
        <v>0</v>
      </c>
      <c r="BE107" s="180">
        <v>0</v>
      </c>
      <c r="BF107" s="180">
        <v>0</v>
      </c>
      <c r="BG107" s="180">
        <v>0</v>
      </c>
      <c r="BH107" s="180">
        <v>0</v>
      </c>
      <c r="BI107" s="180">
        <v>0</v>
      </c>
      <c r="BJ107" s="180">
        <v>0</v>
      </c>
      <c r="BK107" s="180">
        <v>0</v>
      </c>
      <c r="BL107" s="180"/>
      <c r="BM107" s="180">
        <v>0</v>
      </c>
      <c r="BN107" s="180">
        <v>0</v>
      </c>
      <c r="BO107" s="180">
        <v>0</v>
      </c>
      <c r="BP107" s="180">
        <v>0</v>
      </c>
      <c r="BQ107" s="180">
        <v>0</v>
      </c>
      <c r="BR107" s="180">
        <v>0</v>
      </c>
      <c r="BS107" s="180">
        <v>0</v>
      </c>
      <c r="BT107" s="180">
        <v>0</v>
      </c>
      <c r="BU107" s="180">
        <v>0</v>
      </c>
      <c r="BV107" s="180">
        <v>0</v>
      </c>
      <c r="BW107" s="180">
        <v>0</v>
      </c>
      <c r="BX107" s="180">
        <v>0</v>
      </c>
      <c r="BY107" s="180">
        <v>0</v>
      </c>
      <c r="BZ107" s="180">
        <v>0</v>
      </c>
      <c r="CA107" s="180">
        <v>0</v>
      </c>
      <c r="CB107" s="180">
        <v>0</v>
      </c>
      <c r="CC107" s="180"/>
      <c r="CD107" s="180">
        <v>0</v>
      </c>
      <c r="CE107" s="180"/>
      <c r="CF107" s="180"/>
      <c r="CG107" s="180"/>
      <c r="CH107" s="180"/>
      <c r="CI107" s="180"/>
      <c r="CJ107" s="180"/>
      <c r="CK107" s="180"/>
      <c r="CL107" s="180"/>
      <c r="CM107" s="180"/>
      <c r="CN107" s="180"/>
      <c r="CO107" s="180"/>
      <c r="CP107" s="180"/>
      <c r="CQ107" s="180"/>
      <c r="CR107" s="180"/>
      <c r="CS107" s="180"/>
      <c r="CT107" s="180"/>
      <c r="CU107" s="180"/>
    </row>
    <row r="108" spans="1:99" x14ac:dyDescent="0.3">
      <c r="A108" s="155">
        <v>508</v>
      </c>
      <c r="B108" s="180" t="s">
        <v>204</v>
      </c>
      <c r="C108" s="180"/>
      <c r="D108" s="180"/>
      <c r="E108" s="180">
        <v>0</v>
      </c>
      <c r="F108" s="180">
        <v>0</v>
      </c>
      <c r="G108" s="180">
        <v>0</v>
      </c>
      <c r="H108" s="180">
        <v>0</v>
      </c>
      <c r="I108" s="180">
        <v>0</v>
      </c>
      <c r="J108" s="180">
        <v>0</v>
      </c>
      <c r="K108" s="180">
        <v>0</v>
      </c>
      <c r="L108" s="180">
        <v>0</v>
      </c>
      <c r="M108" s="180">
        <v>0</v>
      </c>
      <c r="N108" s="180">
        <v>0</v>
      </c>
      <c r="O108" s="180">
        <v>0</v>
      </c>
      <c r="P108" s="180">
        <v>0</v>
      </c>
      <c r="Q108" s="180">
        <v>0</v>
      </c>
      <c r="R108" s="180">
        <v>0</v>
      </c>
      <c r="S108" s="180">
        <v>0</v>
      </c>
      <c r="T108" s="180">
        <v>0</v>
      </c>
      <c r="U108" s="180">
        <v>0</v>
      </c>
      <c r="V108" s="180">
        <v>0</v>
      </c>
      <c r="W108" s="180">
        <v>0</v>
      </c>
      <c r="X108" s="180"/>
      <c r="Y108" s="180">
        <v>0</v>
      </c>
      <c r="Z108" s="180">
        <v>0</v>
      </c>
      <c r="AA108" s="180">
        <v>0</v>
      </c>
      <c r="AB108" s="180">
        <v>0</v>
      </c>
      <c r="AC108" s="180">
        <v>0</v>
      </c>
      <c r="AD108" s="180">
        <v>0</v>
      </c>
      <c r="AE108" s="180">
        <v>0</v>
      </c>
      <c r="AF108" s="180">
        <v>0</v>
      </c>
      <c r="AG108" s="180">
        <v>0</v>
      </c>
      <c r="AH108" s="180">
        <v>0</v>
      </c>
      <c r="AI108" s="180">
        <v>0</v>
      </c>
      <c r="AJ108" s="180">
        <v>0</v>
      </c>
      <c r="AK108" s="180"/>
      <c r="AL108" s="180"/>
      <c r="AM108" s="180">
        <v>0</v>
      </c>
      <c r="AN108" s="180">
        <v>0</v>
      </c>
      <c r="AO108" s="180">
        <v>0</v>
      </c>
      <c r="AP108" s="180">
        <v>0</v>
      </c>
      <c r="AQ108" s="180">
        <v>0</v>
      </c>
      <c r="AR108" s="180">
        <v>0</v>
      </c>
      <c r="AS108" s="180"/>
      <c r="AT108" s="180">
        <v>0</v>
      </c>
      <c r="AU108" s="180">
        <v>0</v>
      </c>
      <c r="AV108" s="180">
        <v>0</v>
      </c>
      <c r="AW108" s="180">
        <v>0</v>
      </c>
      <c r="AX108" s="180">
        <v>0</v>
      </c>
      <c r="AY108" s="180">
        <v>0</v>
      </c>
      <c r="AZ108" s="180">
        <v>0</v>
      </c>
      <c r="BA108" s="180">
        <v>0</v>
      </c>
      <c r="BB108" s="180">
        <v>0</v>
      </c>
      <c r="BC108" s="180">
        <v>0</v>
      </c>
      <c r="BD108" s="180">
        <v>0</v>
      </c>
      <c r="BE108" s="180">
        <v>0</v>
      </c>
      <c r="BF108" s="180">
        <v>0</v>
      </c>
      <c r="BG108" s="180">
        <v>0</v>
      </c>
      <c r="BH108" s="180">
        <v>0</v>
      </c>
      <c r="BI108" s="180">
        <v>0</v>
      </c>
      <c r="BJ108" s="180">
        <v>0</v>
      </c>
      <c r="BK108" s="180">
        <v>0</v>
      </c>
      <c r="BL108" s="180"/>
      <c r="BM108" s="180">
        <v>0</v>
      </c>
      <c r="BN108" s="180">
        <v>0</v>
      </c>
      <c r="BO108" s="180">
        <v>0</v>
      </c>
      <c r="BP108" s="180">
        <v>0</v>
      </c>
      <c r="BQ108" s="180">
        <v>0</v>
      </c>
      <c r="BR108" s="180">
        <v>0</v>
      </c>
      <c r="BS108" s="180">
        <v>0</v>
      </c>
      <c r="BT108" s="180">
        <v>0</v>
      </c>
      <c r="BU108" s="180">
        <v>0</v>
      </c>
      <c r="BV108" s="180">
        <v>0</v>
      </c>
      <c r="BW108" s="180">
        <v>0</v>
      </c>
      <c r="BX108" s="180">
        <v>0</v>
      </c>
      <c r="BY108" s="180">
        <v>0</v>
      </c>
      <c r="BZ108" s="180">
        <v>0</v>
      </c>
      <c r="CA108" s="180">
        <v>0</v>
      </c>
      <c r="CB108" s="180">
        <v>0</v>
      </c>
      <c r="CC108" s="180"/>
      <c r="CD108" s="180">
        <v>0</v>
      </c>
      <c r="CE108" s="180"/>
      <c r="CF108" s="180"/>
      <c r="CG108" s="180"/>
      <c r="CH108" s="180"/>
      <c r="CI108" s="180"/>
      <c r="CJ108" s="180"/>
      <c r="CK108" s="180"/>
      <c r="CL108" s="180"/>
      <c r="CM108" s="180"/>
      <c r="CN108" s="180"/>
      <c r="CO108" s="180"/>
      <c r="CP108" s="180"/>
      <c r="CQ108" s="180"/>
      <c r="CR108" s="180"/>
      <c r="CS108" s="180"/>
      <c r="CT108" s="180"/>
      <c r="CU108" s="180"/>
    </row>
    <row r="109" spans="1:99" x14ac:dyDescent="0.3">
      <c r="A109" s="155">
        <v>509</v>
      </c>
      <c r="B109" s="180" t="s">
        <v>205</v>
      </c>
      <c r="C109" s="180"/>
      <c r="D109" s="180"/>
      <c r="E109" s="180">
        <v>0</v>
      </c>
      <c r="F109" s="180">
        <v>0</v>
      </c>
      <c r="G109" s="180">
        <v>0</v>
      </c>
      <c r="H109" s="180">
        <v>0</v>
      </c>
      <c r="I109" s="180">
        <v>0</v>
      </c>
      <c r="J109" s="180">
        <v>0</v>
      </c>
      <c r="K109" s="180">
        <v>0</v>
      </c>
      <c r="L109" s="180">
        <v>0</v>
      </c>
      <c r="M109" s="180">
        <v>0</v>
      </c>
      <c r="N109" s="180">
        <v>0</v>
      </c>
      <c r="O109" s="180">
        <v>0</v>
      </c>
      <c r="P109" s="180">
        <v>0</v>
      </c>
      <c r="Q109" s="180">
        <v>0</v>
      </c>
      <c r="R109" s="180">
        <v>0</v>
      </c>
      <c r="S109" s="180">
        <v>0</v>
      </c>
      <c r="T109" s="180">
        <v>0</v>
      </c>
      <c r="U109" s="180">
        <v>0</v>
      </c>
      <c r="V109" s="180">
        <v>0</v>
      </c>
      <c r="W109" s="180">
        <v>0</v>
      </c>
      <c r="X109" s="180"/>
      <c r="Y109" s="180">
        <v>0</v>
      </c>
      <c r="Z109" s="180">
        <v>0</v>
      </c>
      <c r="AA109" s="180">
        <v>0</v>
      </c>
      <c r="AB109" s="180">
        <v>0</v>
      </c>
      <c r="AC109" s="180">
        <v>0</v>
      </c>
      <c r="AD109" s="180">
        <v>0</v>
      </c>
      <c r="AE109" s="180">
        <v>0</v>
      </c>
      <c r="AF109" s="180">
        <v>0</v>
      </c>
      <c r="AG109" s="180">
        <v>0</v>
      </c>
      <c r="AH109" s="180">
        <v>0</v>
      </c>
      <c r="AI109" s="180">
        <v>0</v>
      </c>
      <c r="AJ109" s="180">
        <v>0</v>
      </c>
      <c r="AK109" s="180"/>
      <c r="AL109" s="180"/>
      <c r="AM109" s="180">
        <v>0</v>
      </c>
      <c r="AN109" s="180">
        <v>0</v>
      </c>
      <c r="AO109" s="180">
        <v>0</v>
      </c>
      <c r="AP109" s="180">
        <v>0</v>
      </c>
      <c r="AQ109" s="180">
        <v>0</v>
      </c>
      <c r="AR109" s="180">
        <v>0</v>
      </c>
      <c r="AS109" s="180"/>
      <c r="AT109" s="180">
        <v>0</v>
      </c>
      <c r="AU109" s="180">
        <v>0</v>
      </c>
      <c r="AV109" s="180">
        <v>0</v>
      </c>
      <c r="AW109" s="180">
        <v>0</v>
      </c>
      <c r="AX109" s="180">
        <v>0</v>
      </c>
      <c r="AY109" s="180">
        <v>0</v>
      </c>
      <c r="AZ109" s="180">
        <v>0</v>
      </c>
      <c r="BA109" s="180">
        <v>0</v>
      </c>
      <c r="BB109" s="180">
        <v>0</v>
      </c>
      <c r="BC109" s="180">
        <v>0</v>
      </c>
      <c r="BD109" s="180">
        <v>0</v>
      </c>
      <c r="BE109" s="180">
        <v>0</v>
      </c>
      <c r="BF109" s="180">
        <v>0</v>
      </c>
      <c r="BG109" s="180">
        <v>0</v>
      </c>
      <c r="BH109" s="180">
        <v>0</v>
      </c>
      <c r="BI109" s="180">
        <v>0</v>
      </c>
      <c r="BJ109" s="180">
        <v>0</v>
      </c>
      <c r="BK109" s="180">
        <v>0</v>
      </c>
      <c r="BL109" s="180"/>
      <c r="BM109" s="180">
        <v>0</v>
      </c>
      <c r="BN109" s="180">
        <v>0</v>
      </c>
      <c r="BO109" s="180">
        <v>0</v>
      </c>
      <c r="BP109" s="180">
        <v>0</v>
      </c>
      <c r="BQ109" s="180">
        <v>0</v>
      </c>
      <c r="BR109" s="180">
        <v>0</v>
      </c>
      <c r="BS109" s="180">
        <v>0</v>
      </c>
      <c r="BT109" s="180">
        <v>0</v>
      </c>
      <c r="BU109" s="180">
        <v>0</v>
      </c>
      <c r="BV109" s="180">
        <v>0</v>
      </c>
      <c r="BW109" s="180">
        <v>0</v>
      </c>
      <c r="BX109" s="180">
        <v>0</v>
      </c>
      <c r="BY109" s="180">
        <v>0</v>
      </c>
      <c r="BZ109" s="180">
        <v>0</v>
      </c>
      <c r="CA109" s="180">
        <v>0</v>
      </c>
      <c r="CB109" s="180">
        <v>0</v>
      </c>
      <c r="CC109" s="180"/>
      <c r="CD109" s="180">
        <v>0</v>
      </c>
      <c r="CE109" s="180"/>
      <c r="CF109" s="180"/>
      <c r="CG109" s="180"/>
      <c r="CH109" s="180"/>
      <c r="CI109" s="180"/>
      <c r="CJ109" s="180"/>
      <c r="CK109" s="180"/>
      <c r="CL109" s="180"/>
      <c r="CM109" s="180"/>
      <c r="CN109" s="180"/>
      <c r="CO109" s="180"/>
      <c r="CP109" s="180"/>
      <c r="CQ109" s="180"/>
      <c r="CR109" s="180"/>
      <c r="CS109" s="180"/>
      <c r="CT109" s="180"/>
      <c r="CU109" s="180"/>
    </row>
    <row r="110" spans="1:99" x14ac:dyDescent="0.3">
      <c r="A110" s="155">
        <v>510</v>
      </c>
      <c r="B110" s="180" t="s">
        <v>211</v>
      </c>
      <c r="C110" s="180"/>
      <c r="D110" s="180"/>
      <c r="E110" s="180">
        <v>0</v>
      </c>
      <c r="F110" s="180">
        <v>0</v>
      </c>
      <c r="G110" s="180">
        <v>0</v>
      </c>
      <c r="H110" s="180">
        <v>0</v>
      </c>
      <c r="I110" s="180">
        <v>0</v>
      </c>
      <c r="J110" s="180">
        <v>23927</v>
      </c>
      <c r="K110" s="180">
        <v>0</v>
      </c>
      <c r="L110" s="180">
        <v>0</v>
      </c>
      <c r="M110" s="180">
        <v>0</v>
      </c>
      <c r="N110" s="180">
        <v>0</v>
      </c>
      <c r="O110" s="180">
        <v>68157</v>
      </c>
      <c r="P110" s="180">
        <v>0</v>
      </c>
      <c r="Q110" s="180">
        <v>441379</v>
      </c>
      <c r="R110" s="180">
        <v>16540</v>
      </c>
      <c r="S110" s="180">
        <v>0</v>
      </c>
      <c r="T110" s="180">
        <v>389778</v>
      </c>
      <c r="U110" s="180">
        <v>234532</v>
      </c>
      <c r="V110" s="180">
        <v>45284</v>
      </c>
      <c r="W110" s="180">
        <v>0</v>
      </c>
      <c r="X110" s="180"/>
      <c r="Y110" s="180">
        <v>235107</v>
      </c>
      <c r="Z110" s="180">
        <v>26411</v>
      </c>
      <c r="AA110" s="180">
        <v>92139</v>
      </c>
      <c r="AB110" s="180">
        <v>0</v>
      </c>
      <c r="AC110" s="180">
        <v>0</v>
      </c>
      <c r="AD110" s="180">
        <v>0</v>
      </c>
      <c r="AE110" s="180">
        <v>1341</v>
      </c>
      <c r="AF110" s="180">
        <v>81701</v>
      </c>
      <c r="AG110" s="180">
        <v>208793</v>
      </c>
      <c r="AH110" s="180">
        <v>0</v>
      </c>
      <c r="AI110" s="180">
        <v>107605</v>
      </c>
      <c r="AJ110" s="180">
        <v>0</v>
      </c>
      <c r="AK110" s="180"/>
      <c r="AL110" s="180"/>
      <c r="AM110" s="180">
        <v>193450</v>
      </c>
      <c r="AN110" s="180">
        <v>994</v>
      </c>
      <c r="AO110" s="180">
        <v>0</v>
      </c>
      <c r="AP110" s="180">
        <v>0</v>
      </c>
      <c r="AQ110" s="180">
        <v>0</v>
      </c>
      <c r="AR110" s="180">
        <v>29679</v>
      </c>
      <c r="AS110" s="180"/>
      <c r="AT110" s="180">
        <v>220148</v>
      </c>
      <c r="AU110" s="180">
        <v>0</v>
      </c>
      <c r="AV110" s="180">
        <v>878761</v>
      </c>
      <c r="AW110" s="180">
        <v>0</v>
      </c>
      <c r="AX110" s="180">
        <v>44333</v>
      </c>
      <c r="AY110" s="180">
        <v>33944</v>
      </c>
      <c r="AZ110" s="180">
        <v>9857</v>
      </c>
      <c r="BA110" s="180">
        <v>42544</v>
      </c>
      <c r="BB110" s="180">
        <v>0</v>
      </c>
      <c r="BC110" s="180">
        <v>606</v>
      </c>
      <c r="BD110" s="180">
        <v>143072</v>
      </c>
      <c r="BE110" s="180">
        <v>0</v>
      </c>
      <c r="BF110" s="180">
        <v>0</v>
      </c>
      <c r="BG110" s="180">
        <v>2992</v>
      </c>
      <c r="BH110" s="180">
        <v>0</v>
      </c>
      <c r="BI110" s="180">
        <v>0</v>
      </c>
      <c r="BJ110" s="180">
        <v>0</v>
      </c>
      <c r="BK110" s="180">
        <v>52669</v>
      </c>
      <c r="BL110" s="180"/>
      <c r="BM110" s="180">
        <v>0</v>
      </c>
      <c r="BN110" s="180">
        <v>0</v>
      </c>
      <c r="BO110" s="180">
        <v>3641</v>
      </c>
      <c r="BP110" s="180">
        <v>0</v>
      </c>
      <c r="BQ110" s="180">
        <v>0</v>
      </c>
      <c r="BR110" s="180">
        <v>73792</v>
      </c>
      <c r="BS110" s="180">
        <v>0</v>
      </c>
      <c r="BT110" s="180">
        <v>6540</v>
      </c>
      <c r="BU110" s="180">
        <v>0</v>
      </c>
      <c r="BV110" s="180">
        <v>0</v>
      </c>
      <c r="BW110" s="180">
        <v>9062</v>
      </c>
      <c r="BX110" s="180">
        <v>34278</v>
      </c>
      <c r="BY110" s="180">
        <v>12353</v>
      </c>
      <c r="BZ110" s="180">
        <v>0</v>
      </c>
      <c r="CA110" s="180">
        <v>0</v>
      </c>
      <c r="CB110" s="180">
        <v>20308</v>
      </c>
      <c r="CC110" s="180"/>
      <c r="CD110" s="180">
        <v>0</v>
      </c>
      <c r="CE110" s="180"/>
      <c r="CF110" s="180"/>
      <c r="CG110" s="180"/>
      <c r="CH110" s="180"/>
      <c r="CI110" s="180"/>
      <c r="CJ110" s="180"/>
      <c r="CK110" s="180"/>
      <c r="CL110" s="180"/>
      <c r="CM110" s="180"/>
      <c r="CN110" s="180"/>
      <c r="CO110" s="180"/>
      <c r="CP110" s="180"/>
      <c r="CQ110" s="180"/>
      <c r="CR110" s="180"/>
      <c r="CS110" s="180"/>
      <c r="CT110" s="180"/>
      <c r="CU110" s="180"/>
    </row>
    <row r="111" spans="1:99" x14ac:dyDescent="0.3">
      <c r="A111" s="155">
        <v>511</v>
      </c>
      <c r="B111" s="180" t="s">
        <v>216</v>
      </c>
      <c r="C111" s="180"/>
      <c r="D111" s="180"/>
      <c r="E111" s="180">
        <v>0</v>
      </c>
      <c r="F111" s="180">
        <v>0</v>
      </c>
      <c r="G111" s="180">
        <v>0</v>
      </c>
      <c r="H111" s="180">
        <v>0</v>
      </c>
      <c r="I111" s="180">
        <v>0</v>
      </c>
      <c r="J111" s="180">
        <v>0</v>
      </c>
      <c r="K111" s="180">
        <v>0</v>
      </c>
      <c r="L111" s="180">
        <v>0</v>
      </c>
      <c r="M111" s="180">
        <v>0</v>
      </c>
      <c r="N111" s="180">
        <v>0</v>
      </c>
      <c r="O111" s="180">
        <v>0</v>
      </c>
      <c r="P111" s="180">
        <v>0</v>
      </c>
      <c r="Q111" s="180">
        <v>6071093</v>
      </c>
      <c r="R111" s="180">
        <v>0</v>
      </c>
      <c r="S111" s="180">
        <v>0</v>
      </c>
      <c r="T111" s="180">
        <v>0</v>
      </c>
      <c r="U111" s="180">
        <v>0</v>
      </c>
      <c r="V111" s="180">
        <v>28444</v>
      </c>
      <c r="W111" s="180">
        <v>0</v>
      </c>
      <c r="X111" s="180"/>
      <c r="Y111" s="180">
        <v>0</v>
      </c>
      <c r="Z111" s="180">
        <v>0</v>
      </c>
      <c r="AA111" s="180">
        <v>0</v>
      </c>
      <c r="AB111" s="180">
        <v>0</v>
      </c>
      <c r="AC111" s="180">
        <v>0</v>
      </c>
      <c r="AD111" s="180">
        <v>0</v>
      </c>
      <c r="AE111" s="180">
        <v>0</v>
      </c>
      <c r="AF111" s="180">
        <v>0</v>
      </c>
      <c r="AG111" s="180">
        <v>0</v>
      </c>
      <c r="AH111" s="180">
        <v>0</v>
      </c>
      <c r="AI111" s="180">
        <v>2925422</v>
      </c>
      <c r="AJ111" s="180">
        <v>0</v>
      </c>
      <c r="AK111" s="180"/>
      <c r="AL111" s="180"/>
      <c r="AM111" s="180">
        <v>906993</v>
      </c>
      <c r="AN111" s="180">
        <v>0</v>
      </c>
      <c r="AO111" s="180">
        <v>0</v>
      </c>
      <c r="AP111" s="180">
        <v>0</v>
      </c>
      <c r="AQ111" s="180">
        <v>0</v>
      </c>
      <c r="AR111" s="180">
        <v>0</v>
      </c>
      <c r="AS111" s="180"/>
      <c r="AT111" s="180">
        <v>0</v>
      </c>
      <c r="AU111" s="180">
        <v>0</v>
      </c>
      <c r="AV111" s="180">
        <v>0</v>
      </c>
      <c r="AW111" s="180">
        <v>0</v>
      </c>
      <c r="AX111" s="180">
        <v>0</v>
      </c>
      <c r="AY111" s="180">
        <v>0</v>
      </c>
      <c r="AZ111" s="180">
        <v>0</v>
      </c>
      <c r="BA111" s="180">
        <v>0</v>
      </c>
      <c r="BB111" s="180">
        <v>0</v>
      </c>
      <c r="BC111" s="180">
        <v>0</v>
      </c>
      <c r="BD111" s="180">
        <v>0</v>
      </c>
      <c r="BE111" s="180">
        <v>0</v>
      </c>
      <c r="BF111" s="180">
        <v>0</v>
      </c>
      <c r="BG111" s="180">
        <v>0</v>
      </c>
      <c r="BH111" s="180">
        <v>0</v>
      </c>
      <c r="BI111" s="180">
        <v>0</v>
      </c>
      <c r="BJ111" s="180">
        <v>0</v>
      </c>
      <c r="BK111" s="180">
        <v>0</v>
      </c>
      <c r="BL111" s="180"/>
      <c r="BM111" s="180">
        <v>0</v>
      </c>
      <c r="BN111" s="180">
        <v>0</v>
      </c>
      <c r="BO111" s="180">
        <v>0</v>
      </c>
      <c r="BP111" s="180">
        <v>0</v>
      </c>
      <c r="BQ111" s="180">
        <v>0</v>
      </c>
      <c r="BR111" s="180">
        <v>29136</v>
      </c>
      <c r="BS111" s="180">
        <v>474703</v>
      </c>
      <c r="BT111" s="180">
        <v>0</v>
      </c>
      <c r="BU111" s="180">
        <v>0</v>
      </c>
      <c r="BV111" s="180">
        <v>0</v>
      </c>
      <c r="BW111" s="180">
        <v>0</v>
      </c>
      <c r="BX111" s="180">
        <v>0</v>
      </c>
      <c r="BY111" s="180">
        <v>0</v>
      </c>
      <c r="BZ111" s="180">
        <v>0</v>
      </c>
      <c r="CA111" s="180">
        <v>0</v>
      </c>
      <c r="CB111" s="180">
        <v>0</v>
      </c>
      <c r="CC111" s="180"/>
      <c r="CD111" s="180">
        <v>0</v>
      </c>
      <c r="CE111" s="180"/>
      <c r="CF111" s="180"/>
      <c r="CG111" s="180"/>
      <c r="CH111" s="180"/>
      <c r="CI111" s="180"/>
      <c r="CJ111" s="180"/>
      <c r="CK111" s="180"/>
      <c r="CL111" s="180"/>
      <c r="CM111" s="180"/>
      <c r="CN111" s="180"/>
      <c r="CO111" s="180"/>
      <c r="CP111" s="180"/>
      <c r="CQ111" s="180"/>
      <c r="CR111" s="180"/>
      <c r="CS111" s="180"/>
      <c r="CT111" s="180"/>
      <c r="CU111" s="180"/>
    </row>
    <row r="112" spans="1:99" x14ac:dyDescent="0.3">
      <c r="A112" s="155">
        <v>512</v>
      </c>
      <c r="B112" s="180" t="s">
        <v>243</v>
      </c>
      <c r="C112" s="180"/>
      <c r="D112" s="180"/>
      <c r="E112" s="180">
        <v>0</v>
      </c>
      <c r="F112" s="180">
        <v>0</v>
      </c>
      <c r="G112" s="180">
        <v>0</v>
      </c>
      <c r="H112" s="180">
        <v>0</v>
      </c>
      <c r="I112" s="180">
        <v>0</v>
      </c>
      <c r="J112" s="180">
        <v>0</v>
      </c>
      <c r="K112" s="180">
        <v>0</v>
      </c>
      <c r="L112" s="180">
        <v>0</v>
      </c>
      <c r="M112" s="180">
        <v>38571</v>
      </c>
      <c r="N112" s="180">
        <v>0</v>
      </c>
      <c r="O112" s="180">
        <v>0</v>
      </c>
      <c r="P112" s="180">
        <v>0</v>
      </c>
      <c r="Q112" s="180">
        <v>0</v>
      </c>
      <c r="R112" s="180">
        <v>0</v>
      </c>
      <c r="S112" s="180">
        <v>0</v>
      </c>
      <c r="T112" s="180">
        <v>219354</v>
      </c>
      <c r="U112" s="180">
        <v>0</v>
      </c>
      <c r="V112" s="180">
        <v>229342</v>
      </c>
      <c r="W112" s="180">
        <v>0</v>
      </c>
      <c r="X112" s="180"/>
      <c r="Y112" s="180">
        <v>10283</v>
      </c>
      <c r="Z112" s="180">
        <v>0</v>
      </c>
      <c r="AA112" s="180">
        <v>0</v>
      </c>
      <c r="AB112" s="180">
        <v>0</v>
      </c>
      <c r="AC112" s="180">
        <v>0</v>
      </c>
      <c r="AD112" s="180">
        <v>0</v>
      </c>
      <c r="AE112" s="180">
        <v>0</v>
      </c>
      <c r="AF112" s="180">
        <v>0</v>
      </c>
      <c r="AG112" s="180">
        <v>0</v>
      </c>
      <c r="AH112" s="180">
        <v>0</v>
      </c>
      <c r="AI112" s="180">
        <v>0</v>
      </c>
      <c r="AJ112" s="180">
        <v>0</v>
      </c>
      <c r="AK112" s="180"/>
      <c r="AL112" s="180"/>
      <c r="AM112" s="180">
        <v>0</v>
      </c>
      <c r="AN112" s="180">
        <v>0</v>
      </c>
      <c r="AO112" s="180">
        <v>0</v>
      </c>
      <c r="AP112" s="180">
        <v>0</v>
      </c>
      <c r="AQ112" s="180">
        <v>0</v>
      </c>
      <c r="AR112" s="180">
        <v>0</v>
      </c>
      <c r="AS112" s="180"/>
      <c r="AT112" s="180">
        <v>0</v>
      </c>
      <c r="AU112" s="180">
        <v>0</v>
      </c>
      <c r="AV112" s="180">
        <v>0</v>
      </c>
      <c r="AW112" s="180">
        <v>0</v>
      </c>
      <c r="AX112" s="180">
        <v>0</v>
      </c>
      <c r="AY112" s="180">
        <v>0</v>
      </c>
      <c r="AZ112" s="180">
        <v>0</v>
      </c>
      <c r="BA112" s="180">
        <v>0</v>
      </c>
      <c r="BB112" s="180">
        <v>0</v>
      </c>
      <c r="BC112" s="180">
        <v>0</v>
      </c>
      <c r="BD112" s="180">
        <v>0</v>
      </c>
      <c r="BE112" s="180">
        <v>0</v>
      </c>
      <c r="BF112" s="180">
        <v>0</v>
      </c>
      <c r="BG112" s="180">
        <v>0</v>
      </c>
      <c r="BH112" s="180">
        <v>0</v>
      </c>
      <c r="BI112" s="180">
        <v>0</v>
      </c>
      <c r="BJ112" s="180">
        <v>0</v>
      </c>
      <c r="BK112" s="180">
        <v>0</v>
      </c>
      <c r="BL112" s="180"/>
      <c r="BM112" s="180">
        <v>0</v>
      </c>
      <c r="BN112" s="180">
        <v>2480</v>
      </c>
      <c r="BO112" s="180">
        <v>0</v>
      </c>
      <c r="BP112" s="180">
        <v>0</v>
      </c>
      <c r="BQ112" s="180">
        <v>0</v>
      </c>
      <c r="BR112" s="180">
        <v>0</v>
      </c>
      <c r="BS112" s="180">
        <v>173018</v>
      </c>
      <c r="BT112" s="180">
        <v>0</v>
      </c>
      <c r="BU112" s="180">
        <v>0</v>
      </c>
      <c r="BV112" s="180">
        <v>0</v>
      </c>
      <c r="BW112" s="180">
        <v>0</v>
      </c>
      <c r="BX112" s="180">
        <v>0</v>
      </c>
      <c r="BY112" s="180">
        <v>0</v>
      </c>
      <c r="BZ112" s="180">
        <v>0</v>
      </c>
      <c r="CA112" s="180">
        <v>0</v>
      </c>
      <c r="CB112" s="180">
        <v>0</v>
      </c>
      <c r="CC112" s="180"/>
      <c r="CD112" s="180">
        <v>0</v>
      </c>
      <c r="CE112" s="180"/>
      <c r="CF112" s="180"/>
      <c r="CG112" s="180"/>
      <c r="CH112" s="180"/>
      <c r="CI112" s="180"/>
      <c r="CJ112" s="180"/>
      <c r="CK112" s="180"/>
      <c r="CL112" s="180"/>
      <c r="CM112" s="180"/>
      <c r="CN112" s="180"/>
      <c r="CO112" s="180"/>
      <c r="CP112" s="180"/>
      <c r="CQ112" s="180"/>
      <c r="CR112" s="180"/>
      <c r="CS112" s="180"/>
      <c r="CT112" s="180"/>
      <c r="CU112" s="180"/>
    </row>
    <row r="113" spans="1:99" x14ac:dyDescent="0.3">
      <c r="A113" s="155">
        <v>513</v>
      </c>
      <c r="B113" s="180" t="s">
        <v>249</v>
      </c>
      <c r="C113" s="180"/>
      <c r="D113" s="180"/>
      <c r="E113" s="180">
        <v>0</v>
      </c>
      <c r="F113" s="180">
        <v>0</v>
      </c>
      <c r="G113" s="180">
        <v>0</v>
      </c>
      <c r="H113" s="180">
        <v>0</v>
      </c>
      <c r="I113" s="180">
        <v>0</v>
      </c>
      <c r="J113" s="180">
        <v>0</v>
      </c>
      <c r="K113" s="180">
        <v>0</v>
      </c>
      <c r="L113" s="180">
        <v>0</v>
      </c>
      <c r="M113" s="180">
        <v>0</v>
      </c>
      <c r="N113" s="180">
        <v>0</v>
      </c>
      <c r="O113" s="180">
        <v>0</v>
      </c>
      <c r="P113" s="180">
        <v>0</v>
      </c>
      <c r="Q113" s="180">
        <v>0</v>
      </c>
      <c r="R113" s="180">
        <v>0</v>
      </c>
      <c r="S113" s="180">
        <v>0</v>
      </c>
      <c r="T113" s="180">
        <v>0</v>
      </c>
      <c r="U113" s="180">
        <v>0</v>
      </c>
      <c r="V113" s="180">
        <v>0</v>
      </c>
      <c r="W113" s="180">
        <v>0</v>
      </c>
      <c r="X113" s="180"/>
      <c r="Y113" s="180">
        <v>0</v>
      </c>
      <c r="Z113" s="180">
        <v>0</v>
      </c>
      <c r="AA113" s="180">
        <v>0</v>
      </c>
      <c r="AB113" s="180">
        <v>0</v>
      </c>
      <c r="AC113" s="180">
        <v>0</v>
      </c>
      <c r="AD113" s="180">
        <v>0</v>
      </c>
      <c r="AE113" s="180">
        <v>0</v>
      </c>
      <c r="AF113" s="180">
        <v>0</v>
      </c>
      <c r="AG113" s="180">
        <v>0</v>
      </c>
      <c r="AH113" s="180">
        <v>0</v>
      </c>
      <c r="AI113" s="180">
        <v>0</v>
      </c>
      <c r="AJ113" s="180">
        <v>0</v>
      </c>
      <c r="AK113" s="180"/>
      <c r="AL113" s="180"/>
      <c r="AM113" s="180">
        <v>0</v>
      </c>
      <c r="AN113" s="180">
        <v>0</v>
      </c>
      <c r="AO113" s="180">
        <v>0</v>
      </c>
      <c r="AP113" s="180">
        <v>0</v>
      </c>
      <c r="AQ113" s="180">
        <v>0</v>
      </c>
      <c r="AR113" s="180">
        <v>0</v>
      </c>
      <c r="AS113" s="180"/>
      <c r="AT113" s="180">
        <v>0</v>
      </c>
      <c r="AU113" s="180">
        <v>0</v>
      </c>
      <c r="AV113" s="180">
        <v>0</v>
      </c>
      <c r="AW113" s="180">
        <v>0</v>
      </c>
      <c r="AX113" s="180">
        <v>0</v>
      </c>
      <c r="AY113" s="180">
        <v>0</v>
      </c>
      <c r="AZ113" s="180">
        <v>0</v>
      </c>
      <c r="BA113" s="180">
        <v>0</v>
      </c>
      <c r="BB113" s="180">
        <v>0</v>
      </c>
      <c r="BC113" s="180">
        <v>0</v>
      </c>
      <c r="BD113" s="180">
        <v>0</v>
      </c>
      <c r="BE113" s="180">
        <v>0</v>
      </c>
      <c r="BF113" s="180">
        <v>0</v>
      </c>
      <c r="BG113" s="180">
        <v>0</v>
      </c>
      <c r="BH113" s="180">
        <v>0</v>
      </c>
      <c r="BI113" s="180">
        <v>0</v>
      </c>
      <c r="BJ113" s="180">
        <v>0</v>
      </c>
      <c r="BK113" s="180">
        <v>0</v>
      </c>
      <c r="BL113" s="180"/>
      <c r="BM113" s="180">
        <v>0</v>
      </c>
      <c r="BN113" s="180">
        <v>0</v>
      </c>
      <c r="BO113" s="180">
        <v>0</v>
      </c>
      <c r="BP113" s="180">
        <v>0</v>
      </c>
      <c r="BQ113" s="180">
        <v>0</v>
      </c>
      <c r="BR113" s="180">
        <v>0</v>
      </c>
      <c r="BS113" s="180">
        <v>0</v>
      </c>
      <c r="BT113" s="180">
        <v>0</v>
      </c>
      <c r="BU113" s="180">
        <v>0</v>
      </c>
      <c r="BV113" s="180">
        <v>0</v>
      </c>
      <c r="BW113" s="180">
        <v>0</v>
      </c>
      <c r="BX113" s="180">
        <v>0</v>
      </c>
      <c r="BY113" s="180">
        <v>0</v>
      </c>
      <c r="BZ113" s="180">
        <v>0</v>
      </c>
      <c r="CA113" s="180">
        <v>0</v>
      </c>
      <c r="CB113" s="180">
        <v>0</v>
      </c>
      <c r="CC113" s="180"/>
      <c r="CD113" s="180">
        <v>0</v>
      </c>
      <c r="CE113" s="180"/>
      <c r="CF113" s="180"/>
      <c r="CG113" s="180"/>
      <c r="CH113" s="180"/>
      <c r="CI113" s="180"/>
      <c r="CJ113" s="180"/>
      <c r="CK113" s="180"/>
      <c r="CL113" s="180"/>
      <c r="CM113" s="180"/>
      <c r="CN113" s="180"/>
      <c r="CO113" s="180"/>
      <c r="CP113" s="180"/>
      <c r="CQ113" s="180"/>
      <c r="CR113" s="180"/>
      <c r="CS113" s="180"/>
      <c r="CT113" s="180"/>
      <c r="CU113" s="180"/>
    </row>
    <row r="114" spans="1:99" x14ac:dyDescent="0.3">
      <c r="A114" s="155">
        <v>514</v>
      </c>
      <c r="B114" s="180" t="s">
        <v>250</v>
      </c>
      <c r="C114" s="180"/>
      <c r="D114" s="180"/>
      <c r="E114" s="180">
        <v>0</v>
      </c>
      <c r="F114" s="180">
        <v>0</v>
      </c>
      <c r="G114" s="180">
        <v>0</v>
      </c>
      <c r="H114" s="180">
        <v>0</v>
      </c>
      <c r="I114" s="180">
        <v>0</v>
      </c>
      <c r="J114" s="180">
        <v>0</v>
      </c>
      <c r="K114" s="180">
        <v>0</v>
      </c>
      <c r="L114" s="180">
        <v>0</v>
      </c>
      <c r="M114" s="180">
        <v>0</v>
      </c>
      <c r="N114" s="180">
        <v>0</v>
      </c>
      <c r="O114" s="180">
        <v>0</v>
      </c>
      <c r="P114" s="180">
        <v>0</v>
      </c>
      <c r="Q114" s="180">
        <v>444696</v>
      </c>
      <c r="R114" s="180">
        <v>0</v>
      </c>
      <c r="S114" s="180">
        <v>0</v>
      </c>
      <c r="T114" s="180">
        <v>0</v>
      </c>
      <c r="U114" s="180">
        <v>0</v>
      </c>
      <c r="V114" s="180">
        <v>945405</v>
      </c>
      <c r="W114" s="180">
        <v>0</v>
      </c>
      <c r="X114" s="180"/>
      <c r="Y114" s="180">
        <v>0</v>
      </c>
      <c r="Z114" s="180">
        <v>0</v>
      </c>
      <c r="AA114" s="180">
        <v>0</v>
      </c>
      <c r="AB114" s="180">
        <v>0</v>
      </c>
      <c r="AC114" s="180">
        <v>0</v>
      </c>
      <c r="AD114" s="180">
        <v>0</v>
      </c>
      <c r="AE114" s="180">
        <v>0</v>
      </c>
      <c r="AF114" s="180">
        <v>0</v>
      </c>
      <c r="AG114" s="180">
        <v>0</v>
      </c>
      <c r="AH114" s="180">
        <v>0</v>
      </c>
      <c r="AI114" s="180">
        <v>2572550</v>
      </c>
      <c r="AJ114" s="180">
        <v>0</v>
      </c>
      <c r="AK114" s="180"/>
      <c r="AL114" s="180"/>
      <c r="AM114" s="180">
        <v>0</v>
      </c>
      <c r="AN114" s="180">
        <v>0</v>
      </c>
      <c r="AO114" s="180">
        <v>0</v>
      </c>
      <c r="AP114" s="180">
        <v>0</v>
      </c>
      <c r="AQ114" s="180">
        <v>0</v>
      </c>
      <c r="AR114" s="180">
        <v>0</v>
      </c>
      <c r="AS114" s="180"/>
      <c r="AT114" s="180">
        <v>0</v>
      </c>
      <c r="AU114" s="180">
        <v>0</v>
      </c>
      <c r="AV114" s="180">
        <v>0</v>
      </c>
      <c r="AW114" s="180">
        <v>0</v>
      </c>
      <c r="AX114" s="180">
        <v>0</v>
      </c>
      <c r="AY114" s="180">
        <v>0</v>
      </c>
      <c r="AZ114" s="180">
        <v>0</v>
      </c>
      <c r="BA114" s="180">
        <v>0</v>
      </c>
      <c r="BB114" s="180">
        <v>0</v>
      </c>
      <c r="BC114" s="180">
        <v>0</v>
      </c>
      <c r="BD114" s="180">
        <v>0</v>
      </c>
      <c r="BE114" s="180">
        <v>0</v>
      </c>
      <c r="BF114" s="180">
        <v>0</v>
      </c>
      <c r="BG114" s="180">
        <v>0</v>
      </c>
      <c r="BH114" s="180">
        <v>0</v>
      </c>
      <c r="BI114" s="180">
        <v>0</v>
      </c>
      <c r="BJ114" s="180">
        <v>0</v>
      </c>
      <c r="BK114" s="180">
        <v>0</v>
      </c>
      <c r="BL114" s="180"/>
      <c r="BM114" s="180">
        <v>0</v>
      </c>
      <c r="BN114" s="180">
        <v>0</v>
      </c>
      <c r="BO114" s="180">
        <v>0</v>
      </c>
      <c r="BP114" s="180">
        <v>0</v>
      </c>
      <c r="BQ114" s="180">
        <v>0</v>
      </c>
      <c r="BR114" s="180">
        <v>344778</v>
      </c>
      <c r="BS114" s="180">
        <v>28929</v>
      </c>
      <c r="BT114" s="180">
        <v>0</v>
      </c>
      <c r="BU114" s="180">
        <v>0</v>
      </c>
      <c r="BV114" s="180">
        <v>0</v>
      </c>
      <c r="BW114" s="180">
        <v>0</v>
      </c>
      <c r="BX114" s="180">
        <v>0</v>
      </c>
      <c r="BY114" s="180">
        <v>0</v>
      </c>
      <c r="BZ114" s="180">
        <v>0</v>
      </c>
      <c r="CA114" s="180">
        <v>0</v>
      </c>
      <c r="CB114" s="180">
        <v>0</v>
      </c>
      <c r="CC114" s="180"/>
      <c r="CD114" s="180">
        <v>0</v>
      </c>
      <c r="CE114" s="180"/>
      <c r="CF114" s="180"/>
      <c r="CG114" s="180"/>
      <c r="CH114" s="180"/>
      <c r="CI114" s="180"/>
      <c r="CJ114" s="180"/>
      <c r="CK114" s="180"/>
      <c r="CL114" s="180"/>
      <c r="CM114" s="180"/>
      <c r="CN114" s="180"/>
      <c r="CO114" s="180"/>
      <c r="CP114" s="180"/>
      <c r="CQ114" s="180"/>
      <c r="CR114" s="180"/>
      <c r="CS114" s="180"/>
      <c r="CT114" s="180"/>
      <c r="CU114" s="180"/>
    </row>
    <row r="115" spans="1:99" x14ac:dyDescent="0.3">
      <c r="A115" s="155">
        <v>515</v>
      </c>
      <c r="B115" s="180" t="s">
        <v>262</v>
      </c>
      <c r="C115" s="180"/>
      <c r="D115" s="180"/>
      <c r="E115" s="180">
        <v>0</v>
      </c>
      <c r="F115" s="180">
        <v>0</v>
      </c>
      <c r="G115" s="180">
        <v>0</v>
      </c>
      <c r="H115" s="180">
        <v>0</v>
      </c>
      <c r="I115" s="180">
        <v>0</v>
      </c>
      <c r="J115" s="180">
        <v>0</v>
      </c>
      <c r="K115" s="180">
        <v>0</v>
      </c>
      <c r="L115" s="180">
        <v>0</v>
      </c>
      <c r="M115" s="180">
        <v>0</v>
      </c>
      <c r="N115" s="180">
        <v>0</v>
      </c>
      <c r="O115" s="180">
        <v>0</v>
      </c>
      <c r="P115" s="180">
        <v>0</v>
      </c>
      <c r="Q115" s="180">
        <v>40468848</v>
      </c>
      <c r="R115" s="180">
        <v>142110</v>
      </c>
      <c r="S115" s="180">
        <v>0</v>
      </c>
      <c r="T115" s="180">
        <v>0</v>
      </c>
      <c r="U115" s="180">
        <v>6813928</v>
      </c>
      <c r="V115" s="180">
        <v>14430367</v>
      </c>
      <c r="W115" s="180">
        <v>0</v>
      </c>
      <c r="X115" s="180"/>
      <c r="Y115" s="180">
        <v>0</v>
      </c>
      <c r="Z115" s="180">
        <v>0</v>
      </c>
      <c r="AA115" s="180">
        <v>18725158</v>
      </c>
      <c r="AB115" s="180">
        <v>5119437</v>
      </c>
      <c r="AC115" s="180">
        <v>613604</v>
      </c>
      <c r="AD115" s="180">
        <v>0</v>
      </c>
      <c r="AE115" s="180">
        <v>0</v>
      </c>
      <c r="AF115" s="180">
        <v>3283693</v>
      </c>
      <c r="AG115" s="180">
        <v>0</v>
      </c>
      <c r="AH115" s="180">
        <v>0</v>
      </c>
      <c r="AI115" s="180">
        <v>76578759</v>
      </c>
      <c r="AJ115" s="180">
        <v>0</v>
      </c>
      <c r="AK115" s="180"/>
      <c r="AL115" s="180"/>
      <c r="AM115" s="180">
        <v>24455676</v>
      </c>
      <c r="AN115" s="180">
        <v>0</v>
      </c>
      <c r="AO115" s="180">
        <v>0</v>
      </c>
      <c r="AP115" s="180">
        <v>0</v>
      </c>
      <c r="AQ115" s="180">
        <v>0</v>
      </c>
      <c r="AR115" s="180">
        <v>0</v>
      </c>
      <c r="AS115" s="180"/>
      <c r="AT115" s="180">
        <v>0</v>
      </c>
      <c r="AU115" s="180">
        <v>0</v>
      </c>
      <c r="AV115" s="180">
        <v>13430340</v>
      </c>
      <c r="AW115" s="180">
        <v>0</v>
      </c>
      <c r="AX115" s="180">
        <v>0</v>
      </c>
      <c r="AY115" s="180">
        <v>181893</v>
      </c>
      <c r="AZ115" s="180">
        <v>340690</v>
      </c>
      <c r="BA115" s="180">
        <v>0</v>
      </c>
      <c r="BB115" s="180">
        <v>0</v>
      </c>
      <c r="BC115" s="180">
        <v>22408</v>
      </c>
      <c r="BD115" s="180">
        <v>0</v>
      </c>
      <c r="BE115" s="180">
        <v>0</v>
      </c>
      <c r="BF115" s="180">
        <v>0</v>
      </c>
      <c r="BG115" s="180">
        <v>0</v>
      </c>
      <c r="BH115" s="180">
        <v>0</v>
      </c>
      <c r="BI115" s="180">
        <v>0</v>
      </c>
      <c r="BJ115" s="180">
        <v>0</v>
      </c>
      <c r="BK115" s="180">
        <v>0</v>
      </c>
      <c r="BL115" s="180"/>
      <c r="BM115" s="180">
        <v>0</v>
      </c>
      <c r="BN115" s="180">
        <v>0</v>
      </c>
      <c r="BO115" s="180">
        <v>0</v>
      </c>
      <c r="BP115" s="180">
        <v>92954</v>
      </c>
      <c r="BQ115" s="180">
        <v>0</v>
      </c>
      <c r="BR115" s="180">
        <v>0</v>
      </c>
      <c r="BS115" s="180">
        <v>0</v>
      </c>
      <c r="BT115" s="180">
        <v>21428</v>
      </c>
      <c r="BU115" s="180">
        <v>163682</v>
      </c>
      <c r="BV115" s="180">
        <v>0</v>
      </c>
      <c r="BW115" s="180">
        <v>0</v>
      </c>
      <c r="BX115" s="180">
        <v>121104</v>
      </c>
      <c r="BY115" s="180">
        <v>0</v>
      </c>
      <c r="BZ115" s="180">
        <v>0</v>
      </c>
      <c r="CA115" s="180">
        <v>0</v>
      </c>
      <c r="CB115" s="180">
        <v>0</v>
      </c>
      <c r="CC115" s="180"/>
      <c r="CD115" s="180">
        <v>0</v>
      </c>
      <c r="CE115" s="180"/>
      <c r="CF115" s="180"/>
      <c r="CG115" s="180"/>
      <c r="CH115" s="180"/>
      <c r="CI115" s="180"/>
      <c r="CJ115" s="180"/>
      <c r="CK115" s="180"/>
      <c r="CL115" s="180"/>
      <c r="CM115" s="180"/>
      <c r="CN115" s="180"/>
      <c r="CO115" s="180"/>
      <c r="CP115" s="180"/>
      <c r="CQ115" s="180"/>
      <c r="CR115" s="180"/>
      <c r="CS115" s="180"/>
      <c r="CT115" s="180"/>
      <c r="CU115" s="180"/>
    </row>
    <row r="116" spans="1:99" x14ac:dyDescent="0.3">
      <c r="A116" s="155">
        <v>516</v>
      </c>
      <c r="B116" s="180" t="s">
        <v>263</v>
      </c>
      <c r="C116" s="180"/>
      <c r="D116" s="180"/>
      <c r="E116" s="180">
        <v>0</v>
      </c>
      <c r="F116" s="180">
        <v>9247655</v>
      </c>
      <c r="G116" s="180">
        <v>0</v>
      </c>
      <c r="H116" s="180">
        <v>0</v>
      </c>
      <c r="I116" s="180">
        <v>0</v>
      </c>
      <c r="J116" s="180">
        <v>3251767</v>
      </c>
      <c r="K116" s="180">
        <v>0</v>
      </c>
      <c r="L116" s="180">
        <v>0</v>
      </c>
      <c r="M116" s="180">
        <v>0</v>
      </c>
      <c r="N116" s="180">
        <v>0</v>
      </c>
      <c r="O116" s="180">
        <v>27590587</v>
      </c>
      <c r="P116" s="180">
        <v>0</v>
      </c>
      <c r="Q116" s="180">
        <v>0</v>
      </c>
      <c r="R116" s="180">
        <v>2064611</v>
      </c>
      <c r="S116" s="180">
        <v>0</v>
      </c>
      <c r="T116" s="180">
        <v>203526969</v>
      </c>
      <c r="U116" s="180">
        <v>68322805</v>
      </c>
      <c r="V116" s="180">
        <v>59754954</v>
      </c>
      <c r="W116" s="180">
        <v>0</v>
      </c>
      <c r="X116" s="180"/>
      <c r="Y116" s="180">
        <v>83677242</v>
      </c>
      <c r="Z116" s="180">
        <v>20085895</v>
      </c>
      <c r="AA116" s="180">
        <v>26863028</v>
      </c>
      <c r="AB116" s="180">
        <v>29048439</v>
      </c>
      <c r="AC116" s="180">
        <v>4637476</v>
      </c>
      <c r="AD116" s="180">
        <v>9134292</v>
      </c>
      <c r="AE116" s="180">
        <v>22747250</v>
      </c>
      <c r="AF116" s="180">
        <v>0</v>
      </c>
      <c r="AG116" s="180">
        <v>12688904</v>
      </c>
      <c r="AH116" s="180">
        <v>0</v>
      </c>
      <c r="AI116" s="180">
        <v>69648436</v>
      </c>
      <c r="AJ116" s="180">
        <v>2706632</v>
      </c>
      <c r="AK116" s="180"/>
      <c r="AL116" s="180"/>
      <c r="AM116" s="180">
        <v>45499728</v>
      </c>
      <c r="AN116" s="180">
        <v>3427731</v>
      </c>
      <c r="AO116" s="180">
        <v>3850744</v>
      </c>
      <c r="AP116" s="180">
        <v>0</v>
      </c>
      <c r="AQ116" s="180">
        <v>0</v>
      </c>
      <c r="AR116" s="180">
        <v>32672818</v>
      </c>
      <c r="AS116" s="180"/>
      <c r="AT116" s="180">
        <v>17045235</v>
      </c>
      <c r="AU116" s="180">
        <v>0</v>
      </c>
      <c r="AV116" s="180">
        <v>91938905</v>
      </c>
      <c r="AW116" s="180">
        <v>0</v>
      </c>
      <c r="AX116" s="180">
        <v>6457488</v>
      </c>
      <c r="AY116" s="180">
        <v>5953681</v>
      </c>
      <c r="AZ116" s="180">
        <v>9985824</v>
      </c>
      <c r="BA116" s="180">
        <v>2403227</v>
      </c>
      <c r="BB116" s="180">
        <v>0</v>
      </c>
      <c r="BC116" s="180">
        <v>1121052</v>
      </c>
      <c r="BD116" s="180">
        <v>37967806</v>
      </c>
      <c r="BE116" s="180">
        <v>0</v>
      </c>
      <c r="BF116" s="180">
        <v>4679155</v>
      </c>
      <c r="BG116" s="180">
        <v>3562489</v>
      </c>
      <c r="BH116" s="180">
        <v>0</v>
      </c>
      <c r="BI116" s="180">
        <v>4513697</v>
      </c>
      <c r="BJ116" s="180">
        <v>0</v>
      </c>
      <c r="BK116" s="180">
        <v>22470075</v>
      </c>
      <c r="BL116" s="180"/>
      <c r="BM116" s="180">
        <v>15405944</v>
      </c>
      <c r="BN116" s="180">
        <v>4962659</v>
      </c>
      <c r="BO116" s="180">
        <v>4636862</v>
      </c>
      <c r="BP116" s="180">
        <v>1224602</v>
      </c>
      <c r="BQ116" s="180">
        <v>0</v>
      </c>
      <c r="BR116" s="180">
        <v>10097389</v>
      </c>
      <c r="BS116" s="180">
        <v>0</v>
      </c>
      <c r="BT116" s="180">
        <v>10167726</v>
      </c>
      <c r="BU116" s="180">
        <v>20163428</v>
      </c>
      <c r="BV116" s="180">
        <v>0</v>
      </c>
      <c r="BW116" s="180">
        <v>19120946</v>
      </c>
      <c r="BX116" s="180">
        <v>3126018</v>
      </c>
      <c r="BY116" s="180">
        <v>833000</v>
      </c>
      <c r="BZ116" s="180">
        <v>7958135</v>
      </c>
      <c r="CA116" s="180">
        <v>6282078</v>
      </c>
      <c r="CB116" s="180">
        <v>6876057</v>
      </c>
      <c r="CC116" s="180"/>
      <c r="CD116" s="180">
        <v>1200807</v>
      </c>
      <c r="CE116" s="180"/>
      <c r="CF116" s="180"/>
      <c r="CG116" s="180"/>
      <c r="CH116" s="180"/>
      <c r="CI116" s="180"/>
      <c r="CJ116" s="180"/>
      <c r="CK116" s="180"/>
      <c r="CL116" s="180"/>
      <c r="CM116" s="180"/>
      <c r="CN116" s="180"/>
      <c r="CO116" s="180"/>
      <c r="CP116" s="180"/>
      <c r="CQ116" s="180"/>
      <c r="CR116" s="180"/>
      <c r="CS116" s="180"/>
      <c r="CT116" s="180"/>
      <c r="CU116" s="180"/>
    </row>
    <row r="117" spans="1:99" x14ac:dyDescent="0.3">
      <c r="A117" s="155">
        <v>517</v>
      </c>
      <c r="B117" s="180" t="s">
        <v>264</v>
      </c>
      <c r="C117" s="180"/>
      <c r="D117" s="180"/>
      <c r="E117" s="180">
        <v>0</v>
      </c>
      <c r="F117" s="180">
        <v>0</v>
      </c>
      <c r="G117" s="180">
        <v>0</v>
      </c>
      <c r="H117" s="180">
        <v>0</v>
      </c>
      <c r="I117" s="180">
        <v>0</v>
      </c>
      <c r="J117" s="180">
        <v>0</v>
      </c>
      <c r="K117" s="180">
        <v>0</v>
      </c>
      <c r="L117" s="180">
        <v>0</v>
      </c>
      <c r="M117" s="180">
        <v>0</v>
      </c>
      <c r="N117" s="180">
        <v>0</v>
      </c>
      <c r="O117" s="180">
        <v>0</v>
      </c>
      <c r="P117" s="180">
        <v>0</v>
      </c>
      <c r="Q117" s="180">
        <v>101214685</v>
      </c>
      <c r="R117" s="180">
        <v>0</v>
      </c>
      <c r="S117" s="180">
        <v>0</v>
      </c>
      <c r="T117" s="180">
        <v>0</v>
      </c>
      <c r="U117" s="180">
        <v>0</v>
      </c>
      <c r="V117" s="180">
        <v>0</v>
      </c>
      <c r="W117" s="180">
        <v>0</v>
      </c>
      <c r="X117" s="180"/>
      <c r="Y117" s="180">
        <v>0</v>
      </c>
      <c r="Z117" s="180">
        <v>0</v>
      </c>
      <c r="AA117" s="180">
        <v>0</v>
      </c>
      <c r="AB117" s="180">
        <v>0</v>
      </c>
      <c r="AC117" s="180">
        <v>0</v>
      </c>
      <c r="AD117" s="180">
        <v>0</v>
      </c>
      <c r="AE117" s="180">
        <v>0</v>
      </c>
      <c r="AF117" s="180">
        <v>3581404</v>
      </c>
      <c r="AG117" s="180">
        <v>0</v>
      </c>
      <c r="AH117" s="180">
        <v>0</v>
      </c>
      <c r="AI117" s="180">
        <v>0</v>
      </c>
      <c r="AJ117" s="180">
        <v>0</v>
      </c>
      <c r="AK117" s="180"/>
      <c r="AL117" s="180"/>
      <c r="AM117" s="180">
        <v>0</v>
      </c>
      <c r="AN117" s="180">
        <v>0</v>
      </c>
      <c r="AO117" s="180">
        <v>0</v>
      </c>
      <c r="AP117" s="180">
        <v>0</v>
      </c>
      <c r="AQ117" s="180">
        <v>0</v>
      </c>
      <c r="AR117" s="180">
        <v>0</v>
      </c>
      <c r="AS117" s="180"/>
      <c r="AT117" s="180">
        <v>0</v>
      </c>
      <c r="AU117" s="180">
        <v>0</v>
      </c>
      <c r="AV117" s="180">
        <v>0</v>
      </c>
      <c r="AW117" s="180">
        <v>0</v>
      </c>
      <c r="AX117" s="180">
        <v>0</v>
      </c>
      <c r="AY117" s="180">
        <v>0</v>
      </c>
      <c r="AZ117" s="180">
        <v>0</v>
      </c>
      <c r="BA117" s="180">
        <v>0</v>
      </c>
      <c r="BB117" s="180">
        <v>0</v>
      </c>
      <c r="BC117" s="180">
        <v>0</v>
      </c>
      <c r="BD117" s="180">
        <v>984426</v>
      </c>
      <c r="BE117" s="180">
        <v>0</v>
      </c>
      <c r="BF117" s="180">
        <v>0</v>
      </c>
      <c r="BG117" s="180">
        <v>0</v>
      </c>
      <c r="BH117" s="180">
        <v>0</v>
      </c>
      <c r="BI117" s="180">
        <v>0</v>
      </c>
      <c r="BJ117" s="180">
        <v>0</v>
      </c>
      <c r="BK117" s="180">
        <v>0</v>
      </c>
      <c r="BL117" s="180"/>
      <c r="BM117" s="180">
        <v>0</v>
      </c>
      <c r="BN117" s="180">
        <v>0</v>
      </c>
      <c r="BO117" s="180">
        <v>0</v>
      </c>
      <c r="BP117" s="180">
        <v>0</v>
      </c>
      <c r="BQ117" s="180">
        <v>0</v>
      </c>
      <c r="BR117" s="180">
        <v>0</v>
      </c>
      <c r="BS117" s="180">
        <v>0</v>
      </c>
      <c r="BT117" s="180">
        <v>0</v>
      </c>
      <c r="BU117" s="180">
        <v>0</v>
      </c>
      <c r="BV117" s="180">
        <v>0</v>
      </c>
      <c r="BW117" s="180">
        <v>0</v>
      </c>
      <c r="BX117" s="180">
        <v>0</v>
      </c>
      <c r="BY117" s="180">
        <v>0</v>
      </c>
      <c r="BZ117" s="180">
        <v>0</v>
      </c>
      <c r="CA117" s="180">
        <v>0</v>
      </c>
      <c r="CB117" s="180">
        <v>0</v>
      </c>
      <c r="CC117" s="180"/>
      <c r="CD117" s="180">
        <v>0</v>
      </c>
      <c r="CE117" s="180"/>
      <c r="CF117" s="180"/>
      <c r="CG117" s="180"/>
      <c r="CH117" s="180"/>
      <c r="CI117" s="180"/>
      <c r="CJ117" s="180"/>
      <c r="CK117" s="180"/>
      <c r="CL117" s="180"/>
      <c r="CM117" s="180"/>
      <c r="CN117" s="180"/>
      <c r="CO117" s="180"/>
      <c r="CP117" s="180"/>
      <c r="CQ117" s="180"/>
      <c r="CR117" s="180"/>
      <c r="CS117" s="180"/>
      <c r="CT117" s="180"/>
      <c r="CU117" s="180"/>
    </row>
    <row r="118" spans="1:99" s="180" customFormat="1" x14ac:dyDescent="0.3">
      <c r="A118" s="155">
        <v>518</v>
      </c>
      <c r="B118" s="180" t="s">
        <v>265</v>
      </c>
      <c r="E118" s="180">
        <v>0</v>
      </c>
      <c r="F118" s="180">
        <v>421926</v>
      </c>
      <c r="G118" s="180">
        <v>0</v>
      </c>
      <c r="H118" s="180">
        <v>0</v>
      </c>
      <c r="I118" s="180">
        <v>0</v>
      </c>
      <c r="J118" s="180">
        <v>10116</v>
      </c>
      <c r="K118" s="180">
        <v>0</v>
      </c>
      <c r="L118" s="180">
        <v>0</v>
      </c>
      <c r="M118" s="180">
        <v>0</v>
      </c>
      <c r="N118" s="180">
        <v>0</v>
      </c>
      <c r="O118" s="180">
        <v>2438550</v>
      </c>
      <c r="P118" s="180">
        <v>0</v>
      </c>
      <c r="Q118" s="180">
        <v>15052617</v>
      </c>
      <c r="R118" s="180">
        <v>773757</v>
      </c>
      <c r="S118" s="180">
        <v>0</v>
      </c>
      <c r="T118" s="180">
        <v>7553913</v>
      </c>
      <c r="U118" s="180">
        <v>4882698</v>
      </c>
      <c r="V118" s="180">
        <v>22383277</v>
      </c>
      <c r="W118" s="180">
        <v>0</v>
      </c>
      <c r="Y118" s="180">
        <v>3629398</v>
      </c>
      <c r="Z118" s="180">
        <v>0</v>
      </c>
      <c r="AA118" s="180">
        <v>8844256</v>
      </c>
      <c r="AB118" s="180">
        <v>1304628</v>
      </c>
      <c r="AC118" s="180">
        <v>277027</v>
      </c>
      <c r="AD118" s="180">
        <v>899863</v>
      </c>
      <c r="AE118" s="180">
        <v>1244330</v>
      </c>
      <c r="AF118" s="180">
        <v>6597382</v>
      </c>
      <c r="AG118" s="180">
        <v>1562866</v>
      </c>
      <c r="AH118" s="180">
        <v>0</v>
      </c>
      <c r="AI118" s="180">
        <v>14226145</v>
      </c>
      <c r="AJ118" s="180">
        <v>0</v>
      </c>
      <c r="AM118" s="180">
        <v>3748195</v>
      </c>
      <c r="AN118" s="180">
        <v>120492</v>
      </c>
      <c r="AO118" s="180">
        <v>144751</v>
      </c>
      <c r="AP118" s="180">
        <v>0</v>
      </c>
      <c r="AQ118" s="180">
        <v>0</v>
      </c>
      <c r="AR118" s="180">
        <v>1766077</v>
      </c>
      <c r="AT118" s="180">
        <v>1013331</v>
      </c>
      <c r="AU118" s="180">
        <v>0</v>
      </c>
      <c r="AV118" s="180">
        <v>25898879</v>
      </c>
      <c r="AW118" s="180">
        <v>0</v>
      </c>
      <c r="AX118" s="180">
        <v>1582807</v>
      </c>
      <c r="AY118" s="180">
        <v>1535058</v>
      </c>
      <c r="AZ118" s="180">
        <v>540114</v>
      </c>
      <c r="BA118" s="180">
        <v>97644</v>
      </c>
      <c r="BB118" s="180">
        <v>0</v>
      </c>
      <c r="BC118" s="180">
        <v>0</v>
      </c>
      <c r="BD118" s="180">
        <v>3343552</v>
      </c>
      <c r="BE118" s="180">
        <v>0</v>
      </c>
      <c r="BF118" s="180">
        <v>107941</v>
      </c>
      <c r="BG118" s="180">
        <v>41477</v>
      </c>
      <c r="BH118" s="180">
        <v>0</v>
      </c>
      <c r="BI118" s="180">
        <v>11126</v>
      </c>
      <c r="BJ118" s="180">
        <v>0</v>
      </c>
      <c r="BK118" s="180">
        <v>3921024</v>
      </c>
      <c r="BM118" s="180">
        <v>304329</v>
      </c>
      <c r="BN118" s="180">
        <v>264687</v>
      </c>
      <c r="BO118" s="180">
        <v>277075</v>
      </c>
      <c r="BP118" s="180">
        <v>358736</v>
      </c>
      <c r="BQ118" s="180">
        <v>0</v>
      </c>
      <c r="BR118" s="180">
        <v>123583</v>
      </c>
      <c r="BS118" s="180">
        <v>0</v>
      </c>
      <c r="BT118" s="180">
        <v>717592</v>
      </c>
      <c r="BU118" s="180">
        <v>618039</v>
      </c>
      <c r="BV118" s="180">
        <v>0</v>
      </c>
      <c r="BW118" s="180">
        <v>1467427</v>
      </c>
      <c r="BX118" s="180">
        <v>83229</v>
      </c>
      <c r="BY118" s="180">
        <v>0</v>
      </c>
      <c r="BZ118" s="180">
        <v>134463</v>
      </c>
      <c r="CA118" s="180">
        <v>8823</v>
      </c>
      <c r="CB118" s="180">
        <v>272755</v>
      </c>
      <c r="CD118" s="180">
        <v>0</v>
      </c>
    </row>
    <row r="119" spans="1:99" x14ac:dyDescent="0.3">
      <c r="A119" s="155">
        <v>519</v>
      </c>
      <c r="B119" s="180" t="s">
        <v>266</v>
      </c>
      <c r="C119" s="180"/>
      <c r="D119" s="180"/>
      <c r="E119" s="180">
        <v>0</v>
      </c>
      <c r="F119" s="180">
        <v>0</v>
      </c>
      <c r="G119" s="180">
        <v>0</v>
      </c>
      <c r="H119" s="180">
        <v>0</v>
      </c>
      <c r="I119" s="180">
        <v>0</v>
      </c>
      <c r="J119" s="180">
        <v>0</v>
      </c>
      <c r="K119" s="180">
        <v>0</v>
      </c>
      <c r="L119" s="180">
        <v>0</v>
      </c>
      <c r="M119" s="180">
        <v>0</v>
      </c>
      <c r="N119" s="180">
        <v>0</v>
      </c>
      <c r="O119" s="180">
        <v>0</v>
      </c>
      <c r="P119" s="180">
        <v>0</v>
      </c>
      <c r="Q119" s="180">
        <v>832573</v>
      </c>
      <c r="R119" s="180">
        <v>3553</v>
      </c>
      <c r="S119" s="180">
        <v>0</v>
      </c>
      <c r="T119" s="180">
        <v>2305747</v>
      </c>
      <c r="U119" s="180">
        <v>173407</v>
      </c>
      <c r="V119" s="180">
        <v>232413</v>
      </c>
      <c r="W119" s="180">
        <v>0</v>
      </c>
      <c r="X119" s="180"/>
      <c r="Y119" s="180">
        <v>0</v>
      </c>
      <c r="Z119" s="180">
        <v>0</v>
      </c>
      <c r="AA119" s="180">
        <v>374015</v>
      </c>
      <c r="AB119" s="180">
        <v>127986</v>
      </c>
      <c r="AC119" s="180">
        <v>14545</v>
      </c>
      <c r="AD119" s="180">
        <v>0</v>
      </c>
      <c r="AE119" s="180">
        <v>0</v>
      </c>
      <c r="AF119" s="180">
        <v>41983</v>
      </c>
      <c r="AG119" s="180">
        <v>0</v>
      </c>
      <c r="AH119" s="180">
        <v>0</v>
      </c>
      <c r="AI119" s="180">
        <v>2080787</v>
      </c>
      <c r="AJ119" s="180">
        <v>0</v>
      </c>
      <c r="AK119" s="180"/>
      <c r="AL119" s="180"/>
      <c r="AM119" s="180">
        <v>463021</v>
      </c>
      <c r="AN119" s="180">
        <v>0</v>
      </c>
      <c r="AO119" s="180">
        <v>0</v>
      </c>
      <c r="AP119" s="180">
        <v>0</v>
      </c>
      <c r="AQ119" s="180">
        <v>0</v>
      </c>
      <c r="AR119" s="180">
        <v>0</v>
      </c>
      <c r="AS119" s="180"/>
      <c r="AT119" s="180">
        <v>0</v>
      </c>
      <c r="AU119" s="180">
        <v>0</v>
      </c>
      <c r="AV119" s="180">
        <v>355325</v>
      </c>
      <c r="AW119" s="180">
        <v>0</v>
      </c>
      <c r="AX119" s="180">
        <v>0</v>
      </c>
      <c r="AY119" s="180">
        <v>89550</v>
      </c>
      <c r="AZ119" s="180">
        <v>390</v>
      </c>
      <c r="BA119" s="180">
        <v>0</v>
      </c>
      <c r="BB119" s="180">
        <v>0</v>
      </c>
      <c r="BC119" s="180">
        <v>0</v>
      </c>
      <c r="BD119" s="180">
        <v>0</v>
      </c>
      <c r="BE119" s="180">
        <v>0</v>
      </c>
      <c r="BF119" s="180">
        <v>0</v>
      </c>
      <c r="BG119" s="180">
        <v>0</v>
      </c>
      <c r="BH119" s="180">
        <v>0</v>
      </c>
      <c r="BI119" s="180">
        <v>0</v>
      </c>
      <c r="BJ119" s="180">
        <v>0</v>
      </c>
      <c r="BK119" s="180">
        <v>0</v>
      </c>
      <c r="BL119" s="180"/>
      <c r="BM119" s="180">
        <v>0</v>
      </c>
      <c r="BN119" s="180">
        <v>0</v>
      </c>
      <c r="BO119" s="180">
        <v>0</v>
      </c>
      <c r="BP119" s="180">
        <v>2324</v>
      </c>
      <c r="BQ119" s="180">
        <v>0</v>
      </c>
      <c r="BR119" s="180">
        <v>0</v>
      </c>
      <c r="BS119" s="180">
        <v>0</v>
      </c>
      <c r="BT119" s="180">
        <v>0</v>
      </c>
      <c r="BU119" s="180">
        <v>3399</v>
      </c>
      <c r="BV119" s="180">
        <v>0</v>
      </c>
      <c r="BW119" s="180">
        <v>0</v>
      </c>
      <c r="BX119" s="180">
        <v>4037</v>
      </c>
      <c r="BY119" s="180">
        <v>0</v>
      </c>
      <c r="BZ119" s="180">
        <v>0</v>
      </c>
      <c r="CA119" s="180">
        <v>0</v>
      </c>
      <c r="CB119" s="180">
        <v>0</v>
      </c>
      <c r="CC119" s="180"/>
      <c r="CD119" s="180">
        <v>0</v>
      </c>
      <c r="CE119" s="180"/>
      <c r="CF119" s="180"/>
      <c r="CG119" s="180"/>
      <c r="CH119" s="180"/>
      <c r="CI119" s="180"/>
      <c r="CJ119" s="180"/>
      <c r="CK119" s="180"/>
      <c r="CL119" s="180"/>
      <c r="CM119" s="180"/>
      <c r="CN119" s="180"/>
      <c r="CO119" s="180"/>
      <c r="CP119" s="180"/>
      <c r="CQ119" s="180"/>
      <c r="CR119" s="180"/>
      <c r="CS119" s="180"/>
      <c r="CT119" s="180"/>
      <c r="CU119" s="180"/>
    </row>
    <row r="120" spans="1:99" x14ac:dyDescent="0.3">
      <c r="A120" s="155">
        <v>520</v>
      </c>
      <c r="B120" s="180" t="s">
        <v>267</v>
      </c>
      <c r="C120" s="180"/>
      <c r="D120" s="180"/>
      <c r="E120" s="180">
        <v>0</v>
      </c>
      <c r="F120" s="180">
        <v>224860</v>
      </c>
      <c r="G120" s="180">
        <v>0</v>
      </c>
      <c r="H120" s="180">
        <v>0</v>
      </c>
      <c r="I120" s="180">
        <v>0</v>
      </c>
      <c r="J120" s="180">
        <v>64319</v>
      </c>
      <c r="K120" s="180">
        <v>0</v>
      </c>
      <c r="L120" s="180">
        <v>0</v>
      </c>
      <c r="M120" s="180">
        <v>0</v>
      </c>
      <c r="N120" s="180">
        <v>0</v>
      </c>
      <c r="O120" s="180">
        <v>605689</v>
      </c>
      <c r="P120" s="180">
        <v>0</v>
      </c>
      <c r="Q120" s="180">
        <v>0</v>
      </c>
      <c r="R120" s="180">
        <v>55146</v>
      </c>
      <c r="S120" s="180">
        <v>0</v>
      </c>
      <c r="T120" s="180">
        <v>2006954</v>
      </c>
      <c r="U120" s="180">
        <v>1474471</v>
      </c>
      <c r="V120" s="180">
        <v>1559732</v>
      </c>
      <c r="W120" s="180">
        <v>0</v>
      </c>
      <c r="X120" s="180"/>
      <c r="Y120" s="180">
        <v>1843624</v>
      </c>
      <c r="Z120" s="180">
        <v>499363</v>
      </c>
      <c r="AA120" s="180">
        <v>586869</v>
      </c>
      <c r="AB120" s="180">
        <v>481575</v>
      </c>
      <c r="AC120" s="180">
        <v>92082</v>
      </c>
      <c r="AD120" s="180">
        <v>165311</v>
      </c>
      <c r="AE120" s="180">
        <v>731666</v>
      </c>
      <c r="AF120" s="180">
        <v>0</v>
      </c>
      <c r="AG120" s="180">
        <v>240186</v>
      </c>
      <c r="AH120" s="180">
        <v>0</v>
      </c>
      <c r="AI120" s="180">
        <v>1426260</v>
      </c>
      <c r="AJ120" s="180">
        <v>130028</v>
      </c>
      <c r="AK120" s="180"/>
      <c r="AL120" s="180"/>
      <c r="AM120" s="180">
        <v>1392267</v>
      </c>
      <c r="AN120" s="180">
        <v>72035</v>
      </c>
      <c r="AO120" s="180">
        <v>82088</v>
      </c>
      <c r="AP120" s="180">
        <v>0</v>
      </c>
      <c r="AQ120" s="180">
        <v>0</v>
      </c>
      <c r="AR120" s="180">
        <v>712457</v>
      </c>
      <c r="AS120" s="180"/>
      <c r="AT120" s="180">
        <v>322536</v>
      </c>
      <c r="AU120" s="180">
        <v>0</v>
      </c>
      <c r="AV120" s="180">
        <v>2335383</v>
      </c>
      <c r="AW120" s="180">
        <v>0</v>
      </c>
      <c r="AX120" s="180">
        <v>172958</v>
      </c>
      <c r="AY120" s="180">
        <v>2416</v>
      </c>
      <c r="AZ120" s="180">
        <v>198881</v>
      </c>
      <c r="BA120" s="180">
        <v>38496</v>
      </c>
      <c r="BB120" s="180">
        <v>0</v>
      </c>
      <c r="BC120" s="180">
        <v>26499</v>
      </c>
      <c r="BD120" s="180">
        <v>833912</v>
      </c>
      <c r="BE120" s="180">
        <v>0</v>
      </c>
      <c r="BF120" s="180">
        <v>59920</v>
      </c>
      <c r="BG120" s="180">
        <v>71250</v>
      </c>
      <c r="BH120" s="180">
        <v>0</v>
      </c>
      <c r="BI120" s="180">
        <v>89654</v>
      </c>
      <c r="BJ120" s="180">
        <v>0</v>
      </c>
      <c r="BK120" s="180">
        <v>501268</v>
      </c>
      <c r="BL120" s="180"/>
      <c r="BM120" s="180">
        <v>335847</v>
      </c>
      <c r="BN120" s="180">
        <v>156750</v>
      </c>
      <c r="BO120" s="180">
        <v>93759</v>
      </c>
      <c r="BP120" s="180">
        <v>24829</v>
      </c>
      <c r="BQ120" s="180">
        <v>0</v>
      </c>
      <c r="BR120" s="180">
        <v>179343</v>
      </c>
      <c r="BS120" s="180">
        <v>0</v>
      </c>
      <c r="BT120" s="180">
        <v>228387</v>
      </c>
      <c r="BU120" s="180">
        <v>516289</v>
      </c>
      <c r="BV120" s="180">
        <v>0</v>
      </c>
      <c r="BW120" s="180">
        <v>483490</v>
      </c>
      <c r="BX120" s="180">
        <v>62406</v>
      </c>
      <c r="BY120" s="180">
        <v>18215</v>
      </c>
      <c r="BZ120" s="180">
        <v>187834</v>
      </c>
      <c r="CA120" s="180">
        <v>155043</v>
      </c>
      <c r="CB120" s="180">
        <v>151397</v>
      </c>
      <c r="CC120" s="180"/>
      <c r="CD120" s="180">
        <v>30020</v>
      </c>
      <c r="CE120" s="180"/>
      <c r="CF120" s="180"/>
      <c r="CG120" s="180"/>
      <c r="CH120" s="180"/>
      <c r="CI120" s="180"/>
      <c r="CJ120" s="180"/>
      <c r="CK120" s="180"/>
      <c r="CL120" s="180"/>
      <c r="CM120" s="180"/>
      <c r="CN120" s="180"/>
      <c r="CO120" s="180"/>
      <c r="CP120" s="180"/>
      <c r="CQ120" s="180"/>
      <c r="CR120" s="180"/>
      <c r="CS120" s="180"/>
      <c r="CT120" s="180"/>
      <c r="CU120" s="180"/>
    </row>
    <row r="121" spans="1:99" x14ac:dyDescent="0.3">
      <c r="A121" s="155">
        <v>521</v>
      </c>
      <c r="B121" s="180" t="s">
        <v>268</v>
      </c>
      <c r="C121" s="180"/>
      <c r="D121" s="180"/>
      <c r="E121" s="180">
        <v>0</v>
      </c>
      <c r="F121" s="180">
        <v>0</v>
      </c>
      <c r="G121" s="180">
        <v>0</v>
      </c>
      <c r="H121" s="180">
        <v>0</v>
      </c>
      <c r="I121" s="180">
        <v>0</v>
      </c>
      <c r="J121" s="180">
        <v>0</v>
      </c>
      <c r="K121" s="180">
        <v>0</v>
      </c>
      <c r="L121" s="180">
        <v>0</v>
      </c>
      <c r="M121" s="180">
        <v>0</v>
      </c>
      <c r="N121" s="180">
        <v>0</v>
      </c>
      <c r="O121" s="180">
        <v>0</v>
      </c>
      <c r="P121" s="180">
        <v>0</v>
      </c>
      <c r="Q121" s="180">
        <v>2016544</v>
      </c>
      <c r="R121" s="180">
        <v>0</v>
      </c>
      <c r="S121" s="180">
        <v>0</v>
      </c>
      <c r="T121" s="180">
        <v>0</v>
      </c>
      <c r="U121" s="180">
        <v>0</v>
      </c>
      <c r="V121" s="180">
        <v>0</v>
      </c>
      <c r="W121" s="180">
        <v>0</v>
      </c>
      <c r="X121" s="180"/>
      <c r="Y121" s="180">
        <v>0</v>
      </c>
      <c r="Z121" s="180">
        <v>0</v>
      </c>
      <c r="AA121" s="180">
        <v>0</v>
      </c>
      <c r="AB121" s="180">
        <v>0</v>
      </c>
      <c r="AC121" s="180">
        <v>0</v>
      </c>
      <c r="AD121" s="180">
        <v>0</v>
      </c>
      <c r="AE121" s="180">
        <v>0</v>
      </c>
      <c r="AF121" s="180">
        <v>128866</v>
      </c>
      <c r="AG121" s="180">
        <v>0</v>
      </c>
      <c r="AH121" s="180">
        <v>0</v>
      </c>
      <c r="AI121" s="180">
        <v>0</v>
      </c>
      <c r="AJ121" s="180">
        <v>0</v>
      </c>
      <c r="AK121" s="180"/>
      <c r="AL121" s="180"/>
      <c r="AM121" s="180">
        <v>0</v>
      </c>
      <c r="AN121" s="180">
        <v>0</v>
      </c>
      <c r="AO121" s="180">
        <v>0</v>
      </c>
      <c r="AP121" s="180">
        <v>0</v>
      </c>
      <c r="AQ121" s="180">
        <v>0</v>
      </c>
      <c r="AR121" s="180">
        <v>0</v>
      </c>
      <c r="AS121" s="180"/>
      <c r="AT121" s="180">
        <v>0</v>
      </c>
      <c r="AU121" s="180">
        <v>0</v>
      </c>
      <c r="AV121" s="180">
        <v>0</v>
      </c>
      <c r="AW121" s="180">
        <v>0</v>
      </c>
      <c r="AX121" s="180">
        <v>0</v>
      </c>
      <c r="AY121" s="180">
        <v>0</v>
      </c>
      <c r="AZ121" s="180">
        <v>0</v>
      </c>
      <c r="BA121" s="180">
        <v>0</v>
      </c>
      <c r="BB121" s="180">
        <v>0</v>
      </c>
      <c r="BC121" s="180">
        <v>0</v>
      </c>
      <c r="BD121" s="180">
        <v>72526</v>
      </c>
      <c r="BE121" s="180">
        <v>0</v>
      </c>
      <c r="BF121" s="180">
        <v>0</v>
      </c>
      <c r="BG121" s="180">
        <v>0</v>
      </c>
      <c r="BH121" s="180">
        <v>0</v>
      </c>
      <c r="BI121" s="180">
        <v>0</v>
      </c>
      <c r="BJ121" s="180">
        <v>0</v>
      </c>
      <c r="BK121" s="180">
        <v>0</v>
      </c>
      <c r="BL121" s="180"/>
      <c r="BM121" s="180">
        <v>0</v>
      </c>
      <c r="BN121" s="180">
        <v>0</v>
      </c>
      <c r="BO121" s="180">
        <v>0</v>
      </c>
      <c r="BP121" s="180">
        <v>0</v>
      </c>
      <c r="BQ121" s="180">
        <v>0</v>
      </c>
      <c r="BR121" s="180">
        <v>0</v>
      </c>
      <c r="BS121" s="180">
        <v>0</v>
      </c>
      <c r="BT121" s="180">
        <v>0</v>
      </c>
      <c r="BU121" s="180">
        <v>0</v>
      </c>
      <c r="BV121" s="180">
        <v>0</v>
      </c>
      <c r="BW121" s="180">
        <v>0</v>
      </c>
      <c r="BX121" s="180">
        <v>0</v>
      </c>
      <c r="BY121" s="180">
        <v>0</v>
      </c>
      <c r="BZ121" s="180">
        <v>0</v>
      </c>
      <c r="CA121" s="180">
        <v>0</v>
      </c>
      <c r="CB121" s="180">
        <v>0</v>
      </c>
      <c r="CC121" s="180"/>
      <c r="CD121" s="180">
        <v>0</v>
      </c>
      <c r="CE121" s="180"/>
      <c r="CF121" s="180"/>
      <c r="CG121" s="180"/>
      <c r="CH121" s="180"/>
      <c r="CI121" s="180"/>
      <c r="CJ121" s="180"/>
      <c r="CK121" s="180"/>
      <c r="CL121" s="180"/>
      <c r="CM121" s="180"/>
      <c r="CN121" s="180"/>
      <c r="CO121" s="180"/>
      <c r="CP121" s="180"/>
      <c r="CQ121" s="180"/>
      <c r="CR121" s="180"/>
      <c r="CS121" s="180"/>
      <c r="CT121" s="180"/>
      <c r="CU121" s="180"/>
    </row>
    <row r="122" spans="1:99" x14ac:dyDescent="0.3">
      <c r="A122" s="155">
        <v>522</v>
      </c>
      <c r="B122" s="180" t="s">
        <v>269</v>
      </c>
      <c r="C122" s="180"/>
      <c r="D122" s="180"/>
      <c r="E122" s="180">
        <v>0</v>
      </c>
      <c r="F122" s="180">
        <v>29524</v>
      </c>
      <c r="G122" s="180">
        <v>0</v>
      </c>
      <c r="H122" s="180">
        <v>0</v>
      </c>
      <c r="I122" s="180">
        <v>0</v>
      </c>
      <c r="J122" s="180">
        <v>674</v>
      </c>
      <c r="K122" s="180">
        <v>0</v>
      </c>
      <c r="L122" s="180">
        <v>0</v>
      </c>
      <c r="M122" s="180">
        <v>0</v>
      </c>
      <c r="N122" s="180">
        <v>0</v>
      </c>
      <c r="O122" s="180">
        <v>113544</v>
      </c>
      <c r="P122" s="180">
        <v>0</v>
      </c>
      <c r="Q122" s="180">
        <v>1128892</v>
      </c>
      <c r="R122" s="180">
        <v>23298</v>
      </c>
      <c r="S122" s="180">
        <v>0</v>
      </c>
      <c r="T122" s="180">
        <v>649368</v>
      </c>
      <c r="U122" s="180">
        <v>220879</v>
      </c>
      <c r="V122" s="180">
        <v>2763401</v>
      </c>
      <c r="W122" s="180">
        <v>0</v>
      </c>
      <c r="X122" s="180"/>
      <c r="Y122" s="180">
        <v>202970</v>
      </c>
      <c r="Z122" s="180">
        <v>0</v>
      </c>
      <c r="AA122" s="180">
        <v>207524</v>
      </c>
      <c r="AB122" s="180">
        <v>18705</v>
      </c>
      <c r="AC122" s="180">
        <v>17975</v>
      </c>
      <c r="AD122" s="180">
        <v>57672</v>
      </c>
      <c r="AE122" s="180">
        <v>131557</v>
      </c>
      <c r="AF122" s="180">
        <v>194690</v>
      </c>
      <c r="AG122" s="180">
        <v>77146</v>
      </c>
      <c r="AH122" s="180">
        <v>0</v>
      </c>
      <c r="AI122" s="180">
        <v>529280</v>
      </c>
      <c r="AJ122" s="180">
        <v>0</v>
      </c>
      <c r="AK122" s="180"/>
      <c r="AL122" s="180"/>
      <c r="AM122" s="180">
        <v>289841</v>
      </c>
      <c r="AN122" s="180">
        <v>4749</v>
      </c>
      <c r="AO122" s="180">
        <v>0</v>
      </c>
      <c r="AP122" s="180">
        <v>0</v>
      </c>
      <c r="AQ122" s="180">
        <v>0</v>
      </c>
      <c r="AR122" s="180">
        <v>78196</v>
      </c>
      <c r="AS122" s="180"/>
      <c r="AT122" s="180">
        <v>76459</v>
      </c>
      <c r="AU122" s="180">
        <v>0</v>
      </c>
      <c r="AV122" s="180">
        <v>869375</v>
      </c>
      <c r="AW122" s="180">
        <v>0</v>
      </c>
      <c r="AX122" s="180">
        <v>83045</v>
      </c>
      <c r="AY122" s="180">
        <v>89100</v>
      </c>
      <c r="AZ122" s="180">
        <v>13596</v>
      </c>
      <c r="BA122" s="180">
        <v>5079</v>
      </c>
      <c r="BB122" s="180">
        <v>0</v>
      </c>
      <c r="BC122" s="180">
        <v>0</v>
      </c>
      <c r="BD122" s="180">
        <v>164166</v>
      </c>
      <c r="BE122" s="180">
        <v>0</v>
      </c>
      <c r="BF122" s="180">
        <v>6464</v>
      </c>
      <c r="BG122" s="180">
        <v>3516</v>
      </c>
      <c r="BH122" s="180">
        <v>0</v>
      </c>
      <c r="BI122" s="180">
        <v>1668</v>
      </c>
      <c r="BJ122" s="180">
        <v>0</v>
      </c>
      <c r="BK122" s="180">
        <v>88731</v>
      </c>
      <c r="BL122" s="180"/>
      <c r="BM122" s="180">
        <v>25875</v>
      </c>
      <c r="BN122" s="180">
        <v>15081</v>
      </c>
      <c r="BO122" s="180">
        <v>14251</v>
      </c>
      <c r="BP122" s="180">
        <v>14358</v>
      </c>
      <c r="BQ122" s="180">
        <v>0</v>
      </c>
      <c r="BR122" s="180">
        <v>601</v>
      </c>
      <c r="BS122" s="180">
        <v>0</v>
      </c>
      <c r="BT122" s="180">
        <v>45615</v>
      </c>
      <c r="BU122" s="180">
        <v>57888</v>
      </c>
      <c r="BV122" s="180">
        <v>0</v>
      </c>
      <c r="BW122" s="180">
        <v>49381</v>
      </c>
      <c r="BX122" s="180">
        <v>13033</v>
      </c>
      <c r="BY122" s="180">
        <v>0</v>
      </c>
      <c r="BZ122" s="180">
        <v>1595</v>
      </c>
      <c r="CA122" s="180">
        <v>0</v>
      </c>
      <c r="CB122" s="180">
        <v>7965</v>
      </c>
      <c r="CC122" s="180"/>
      <c r="CD122" s="180">
        <v>0</v>
      </c>
      <c r="CE122" s="180"/>
      <c r="CF122" s="180"/>
      <c r="CG122" s="180"/>
      <c r="CH122" s="180"/>
      <c r="CI122" s="180"/>
      <c r="CJ122" s="180"/>
      <c r="CK122" s="180"/>
      <c r="CL122" s="180"/>
      <c r="CM122" s="180"/>
      <c r="CN122" s="180"/>
      <c r="CO122" s="180"/>
      <c r="CP122" s="180"/>
      <c r="CQ122" s="180"/>
      <c r="CR122" s="180"/>
      <c r="CS122" s="180"/>
      <c r="CT122" s="180"/>
      <c r="CU122" s="180"/>
    </row>
    <row r="123" spans="1:99" x14ac:dyDescent="0.3">
      <c r="A123" s="155">
        <v>523</v>
      </c>
      <c r="B123" s="180" t="s">
        <v>270</v>
      </c>
      <c r="C123" s="180"/>
      <c r="D123" s="180"/>
      <c r="E123" s="180">
        <v>0</v>
      </c>
      <c r="F123" s="180">
        <v>0</v>
      </c>
      <c r="G123" s="180">
        <v>0</v>
      </c>
      <c r="H123" s="180">
        <v>0</v>
      </c>
      <c r="I123" s="180">
        <v>0</v>
      </c>
      <c r="J123" s="180">
        <v>0</v>
      </c>
      <c r="K123" s="180">
        <v>0</v>
      </c>
      <c r="L123" s="180">
        <v>0</v>
      </c>
      <c r="M123" s="180">
        <v>0</v>
      </c>
      <c r="N123" s="180">
        <v>0</v>
      </c>
      <c r="O123" s="180">
        <v>0</v>
      </c>
      <c r="P123" s="180">
        <v>0</v>
      </c>
      <c r="Q123" s="180">
        <v>17909527</v>
      </c>
      <c r="R123" s="180">
        <v>81695</v>
      </c>
      <c r="S123" s="180">
        <v>0</v>
      </c>
      <c r="T123" s="180">
        <v>37695173</v>
      </c>
      <c r="U123" s="180">
        <v>1382817</v>
      </c>
      <c r="V123" s="180">
        <v>11138610</v>
      </c>
      <c r="W123" s="180">
        <v>0</v>
      </c>
      <c r="X123" s="180"/>
      <c r="Y123" s="180">
        <v>0</v>
      </c>
      <c r="Z123" s="180">
        <v>0</v>
      </c>
      <c r="AA123" s="180">
        <v>12551312</v>
      </c>
      <c r="AB123" s="180">
        <v>5041574</v>
      </c>
      <c r="AC123" s="180">
        <v>154732</v>
      </c>
      <c r="AD123" s="180">
        <v>0</v>
      </c>
      <c r="AE123" s="180">
        <v>0</v>
      </c>
      <c r="AF123" s="180">
        <v>2450800</v>
      </c>
      <c r="AG123" s="180">
        <v>0</v>
      </c>
      <c r="AH123" s="180">
        <v>0</v>
      </c>
      <c r="AI123" s="180">
        <v>32761797</v>
      </c>
      <c r="AJ123" s="180">
        <v>0</v>
      </c>
      <c r="AK123" s="180"/>
      <c r="AL123" s="180"/>
      <c r="AM123" s="180">
        <v>20140333</v>
      </c>
      <c r="AN123" s="180">
        <v>0</v>
      </c>
      <c r="AO123" s="180">
        <v>0</v>
      </c>
      <c r="AP123" s="180">
        <v>0</v>
      </c>
      <c r="AQ123" s="180">
        <v>0</v>
      </c>
      <c r="AR123" s="180">
        <v>0</v>
      </c>
      <c r="AS123" s="180"/>
      <c r="AT123" s="180">
        <v>0</v>
      </c>
      <c r="AU123" s="180">
        <v>0</v>
      </c>
      <c r="AV123" s="180">
        <v>4003487</v>
      </c>
      <c r="AW123" s="180">
        <v>0</v>
      </c>
      <c r="AX123" s="180">
        <v>0</v>
      </c>
      <c r="AY123" s="180">
        <v>155306</v>
      </c>
      <c r="AZ123" s="180">
        <v>321612</v>
      </c>
      <c r="BA123" s="180">
        <v>0</v>
      </c>
      <c r="BB123" s="180">
        <v>0</v>
      </c>
      <c r="BC123" s="180">
        <v>22408</v>
      </c>
      <c r="BD123" s="180">
        <v>0</v>
      </c>
      <c r="BE123" s="180">
        <v>0</v>
      </c>
      <c r="BF123" s="180">
        <v>0</v>
      </c>
      <c r="BG123" s="180">
        <v>0</v>
      </c>
      <c r="BH123" s="180">
        <v>0</v>
      </c>
      <c r="BI123" s="180">
        <v>0</v>
      </c>
      <c r="BJ123" s="180">
        <v>0</v>
      </c>
      <c r="BK123" s="180">
        <v>0</v>
      </c>
      <c r="BL123" s="180"/>
      <c r="BM123" s="180">
        <v>0</v>
      </c>
      <c r="BN123" s="180">
        <v>0</v>
      </c>
      <c r="BO123" s="180">
        <v>0</v>
      </c>
      <c r="BP123" s="180">
        <v>82273</v>
      </c>
      <c r="BQ123" s="180">
        <v>0</v>
      </c>
      <c r="BR123" s="180">
        <v>0</v>
      </c>
      <c r="BS123" s="180">
        <v>0</v>
      </c>
      <c r="BT123" s="180">
        <v>8494</v>
      </c>
      <c r="BU123" s="180">
        <v>144138</v>
      </c>
      <c r="BV123" s="180">
        <v>0</v>
      </c>
      <c r="BW123" s="180">
        <v>0</v>
      </c>
      <c r="BX123" s="180">
        <v>78886</v>
      </c>
      <c r="BY123" s="180">
        <v>0</v>
      </c>
      <c r="BZ123" s="180">
        <v>0</v>
      </c>
      <c r="CA123" s="180">
        <v>0</v>
      </c>
      <c r="CB123" s="180">
        <v>0</v>
      </c>
      <c r="CC123" s="180"/>
      <c r="CD123" s="180">
        <v>0</v>
      </c>
      <c r="CE123" s="180"/>
      <c r="CF123" s="180"/>
      <c r="CG123" s="180"/>
      <c r="CH123" s="180"/>
      <c r="CI123" s="180"/>
      <c r="CJ123" s="180"/>
      <c r="CK123" s="180"/>
      <c r="CL123" s="180"/>
      <c r="CM123" s="180"/>
      <c r="CN123" s="180"/>
      <c r="CO123" s="180"/>
      <c r="CP123" s="180"/>
      <c r="CQ123" s="180"/>
      <c r="CR123" s="180"/>
      <c r="CS123" s="180"/>
      <c r="CT123" s="180"/>
      <c r="CU123" s="180"/>
    </row>
    <row r="124" spans="1:99" x14ac:dyDescent="0.3">
      <c r="A124" s="155">
        <v>524</v>
      </c>
      <c r="B124" s="180" t="s">
        <v>271</v>
      </c>
      <c r="C124" s="180"/>
      <c r="D124" s="180"/>
      <c r="E124" s="180">
        <v>0</v>
      </c>
      <c r="F124" s="180">
        <v>4095907</v>
      </c>
      <c r="G124" s="180">
        <v>0</v>
      </c>
      <c r="H124" s="180">
        <v>0</v>
      </c>
      <c r="I124" s="180">
        <v>0</v>
      </c>
      <c r="J124" s="180">
        <v>1051649</v>
      </c>
      <c r="K124" s="180">
        <v>0</v>
      </c>
      <c r="L124" s="180">
        <v>0</v>
      </c>
      <c r="M124" s="180">
        <v>0</v>
      </c>
      <c r="N124" s="180">
        <v>0</v>
      </c>
      <c r="O124" s="180">
        <v>14915346</v>
      </c>
      <c r="P124" s="180">
        <v>0</v>
      </c>
      <c r="Q124" s="180">
        <v>0</v>
      </c>
      <c r="R124" s="180">
        <v>1570405</v>
      </c>
      <c r="S124" s="180">
        <v>0</v>
      </c>
      <c r="T124" s="180">
        <v>52876154</v>
      </c>
      <c r="U124" s="180">
        <v>27013181</v>
      </c>
      <c r="V124" s="180">
        <v>29659550</v>
      </c>
      <c r="W124" s="180">
        <v>0</v>
      </c>
      <c r="X124" s="180"/>
      <c r="Y124" s="180">
        <v>45063263</v>
      </c>
      <c r="Z124" s="180">
        <v>11645766</v>
      </c>
      <c r="AA124" s="180">
        <v>14791371</v>
      </c>
      <c r="AB124" s="180">
        <v>5979725</v>
      </c>
      <c r="AC124" s="180">
        <v>2094705</v>
      </c>
      <c r="AD124" s="180">
        <v>4089239</v>
      </c>
      <c r="AE124" s="180">
        <v>11461580</v>
      </c>
      <c r="AF124" s="180">
        <v>0</v>
      </c>
      <c r="AG124" s="180">
        <v>5836455</v>
      </c>
      <c r="AH124" s="180">
        <v>0</v>
      </c>
      <c r="AI124" s="180">
        <v>25886653</v>
      </c>
      <c r="AJ124" s="180">
        <v>1286170</v>
      </c>
      <c r="AK124" s="180"/>
      <c r="AL124" s="180"/>
      <c r="AM124" s="180">
        <v>24700658</v>
      </c>
      <c r="AN124" s="180">
        <v>2596444</v>
      </c>
      <c r="AO124" s="180">
        <v>1592858</v>
      </c>
      <c r="AP124" s="180">
        <v>0</v>
      </c>
      <c r="AQ124" s="180">
        <v>0</v>
      </c>
      <c r="AR124" s="180">
        <v>18405892</v>
      </c>
      <c r="AS124" s="180"/>
      <c r="AT124" s="180">
        <v>7725536</v>
      </c>
      <c r="AU124" s="180">
        <v>0</v>
      </c>
      <c r="AV124" s="180">
        <v>28293342</v>
      </c>
      <c r="AW124" s="180">
        <v>0</v>
      </c>
      <c r="AX124" s="180">
        <v>6230029</v>
      </c>
      <c r="AY124" s="180">
        <v>1956036</v>
      </c>
      <c r="AZ124" s="180">
        <v>4648434</v>
      </c>
      <c r="BA124" s="180">
        <v>1415927</v>
      </c>
      <c r="BB124" s="180">
        <v>0</v>
      </c>
      <c r="BC124" s="180">
        <v>535066</v>
      </c>
      <c r="BD124" s="180">
        <v>17396845</v>
      </c>
      <c r="BE124" s="180">
        <v>0</v>
      </c>
      <c r="BF124" s="180">
        <v>1733848</v>
      </c>
      <c r="BG124" s="180">
        <v>1470480</v>
      </c>
      <c r="BH124" s="180">
        <v>0</v>
      </c>
      <c r="BI124" s="180">
        <v>1814270</v>
      </c>
      <c r="BJ124" s="180">
        <v>0</v>
      </c>
      <c r="BK124" s="180">
        <v>8271369</v>
      </c>
      <c r="BL124" s="180"/>
      <c r="BM124" s="180">
        <v>10136506</v>
      </c>
      <c r="BN124" s="180">
        <v>1935412</v>
      </c>
      <c r="BO124" s="180">
        <v>2823363</v>
      </c>
      <c r="BP124" s="180">
        <v>788422</v>
      </c>
      <c r="BQ124" s="180">
        <v>0</v>
      </c>
      <c r="BR124" s="180">
        <v>6003339</v>
      </c>
      <c r="BS124" s="180">
        <v>0</v>
      </c>
      <c r="BT124" s="180">
        <v>4799449</v>
      </c>
      <c r="BU124" s="180">
        <v>10976534</v>
      </c>
      <c r="BV124" s="180">
        <v>0</v>
      </c>
      <c r="BW124" s="180">
        <v>6993952</v>
      </c>
      <c r="BX124" s="180">
        <v>1338408</v>
      </c>
      <c r="BY124" s="180">
        <v>238127</v>
      </c>
      <c r="BZ124" s="180">
        <v>3265068</v>
      </c>
      <c r="CA124" s="180">
        <v>1954688</v>
      </c>
      <c r="CB124" s="180">
        <v>3637956</v>
      </c>
      <c r="CC124" s="180"/>
      <c r="CD124" s="180">
        <v>468502</v>
      </c>
      <c r="CE124" s="180"/>
      <c r="CF124" s="180"/>
      <c r="CG124" s="180"/>
      <c r="CH124" s="180"/>
      <c r="CI124" s="180"/>
      <c r="CJ124" s="180"/>
      <c r="CK124" s="180"/>
      <c r="CL124" s="180"/>
      <c r="CM124" s="180"/>
      <c r="CN124" s="180"/>
      <c r="CO124" s="180"/>
      <c r="CP124" s="180"/>
      <c r="CQ124" s="180"/>
      <c r="CR124" s="180"/>
      <c r="CS124" s="180"/>
      <c r="CT124" s="180"/>
      <c r="CU124" s="180"/>
    </row>
    <row r="125" spans="1:99" x14ac:dyDescent="0.3">
      <c r="A125" s="155">
        <v>525</v>
      </c>
      <c r="B125" s="180" t="s">
        <v>272</v>
      </c>
      <c r="C125" s="180"/>
      <c r="D125" s="180"/>
      <c r="E125" s="180">
        <v>0</v>
      </c>
      <c r="F125" s="180">
        <v>0</v>
      </c>
      <c r="G125" s="180">
        <v>0</v>
      </c>
      <c r="H125" s="180">
        <v>0</v>
      </c>
      <c r="I125" s="180">
        <v>0</v>
      </c>
      <c r="J125" s="180">
        <v>0</v>
      </c>
      <c r="K125" s="180">
        <v>0</v>
      </c>
      <c r="L125" s="180">
        <v>0</v>
      </c>
      <c r="M125" s="180">
        <v>0</v>
      </c>
      <c r="N125" s="180">
        <v>0</v>
      </c>
      <c r="O125" s="180">
        <v>0</v>
      </c>
      <c r="P125" s="180">
        <v>0</v>
      </c>
      <c r="Q125" s="180">
        <v>26995479</v>
      </c>
      <c r="R125" s="180">
        <v>0</v>
      </c>
      <c r="S125" s="180">
        <v>0</v>
      </c>
      <c r="T125" s="180">
        <v>0</v>
      </c>
      <c r="U125" s="180">
        <v>0</v>
      </c>
      <c r="V125" s="180">
        <v>0</v>
      </c>
      <c r="W125" s="180">
        <v>0</v>
      </c>
      <c r="X125" s="180"/>
      <c r="Y125" s="180">
        <v>0</v>
      </c>
      <c r="Z125" s="180">
        <v>0</v>
      </c>
      <c r="AA125" s="180">
        <v>0</v>
      </c>
      <c r="AB125" s="180">
        <v>0</v>
      </c>
      <c r="AC125" s="180">
        <v>0</v>
      </c>
      <c r="AD125" s="180">
        <v>0</v>
      </c>
      <c r="AE125" s="180">
        <v>0</v>
      </c>
      <c r="AF125" s="180">
        <v>1212936</v>
      </c>
      <c r="AG125" s="180">
        <v>0</v>
      </c>
      <c r="AH125" s="180">
        <v>0</v>
      </c>
      <c r="AI125" s="180">
        <v>0</v>
      </c>
      <c r="AJ125" s="180">
        <v>0</v>
      </c>
      <c r="AK125" s="180"/>
      <c r="AL125" s="180"/>
      <c r="AM125" s="180">
        <v>0</v>
      </c>
      <c r="AN125" s="180">
        <v>0</v>
      </c>
      <c r="AO125" s="180">
        <v>0</v>
      </c>
      <c r="AP125" s="180">
        <v>0</v>
      </c>
      <c r="AQ125" s="180">
        <v>0</v>
      </c>
      <c r="AR125" s="180">
        <v>0</v>
      </c>
      <c r="AS125" s="180"/>
      <c r="AT125" s="180">
        <v>0</v>
      </c>
      <c r="AU125" s="180">
        <v>0</v>
      </c>
      <c r="AV125" s="180">
        <v>0</v>
      </c>
      <c r="AW125" s="180">
        <v>0</v>
      </c>
      <c r="AX125" s="180">
        <v>0</v>
      </c>
      <c r="AY125" s="180">
        <v>0</v>
      </c>
      <c r="AZ125" s="180">
        <v>0</v>
      </c>
      <c r="BA125" s="180">
        <v>0</v>
      </c>
      <c r="BB125" s="180">
        <v>0</v>
      </c>
      <c r="BC125" s="180">
        <v>0</v>
      </c>
      <c r="BD125" s="180">
        <v>255822</v>
      </c>
      <c r="BE125" s="180">
        <v>0</v>
      </c>
      <c r="BF125" s="180">
        <v>0</v>
      </c>
      <c r="BG125" s="180">
        <v>0</v>
      </c>
      <c r="BH125" s="180">
        <v>0</v>
      </c>
      <c r="BI125" s="180">
        <v>0</v>
      </c>
      <c r="BJ125" s="180">
        <v>0</v>
      </c>
      <c r="BK125" s="180">
        <v>0</v>
      </c>
      <c r="BL125" s="180"/>
      <c r="BM125" s="180">
        <v>0</v>
      </c>
      <c r="BN125" s="180">
        <v>0</v>
      </c>
      <c r="BO125" s="180">
        <v>0</v>
      </c>
      <c r="BP125" s="180">
        <v>0</v>
      </c>
      <c r="BQ125" s="180">
        <v>0</v>
      </c>
      <c r="BR125" s="180">
        <v>0</v>
      </c>
      <c r="BS125" s="180">
        <v>0</v>
      </c>
      <c r="BT125" s="180">
        <v>0</v>
      </c>
      <c r="BU125" s="180">
        <v>0</v>
      </c>
      <c r="BV125" s="180">
        <v>0</v>
      </c>
      <c r="BW125" s="180">
        <v>0</v>
      </c>
      <c r="BX125" s="180">
        <v>0</v>
      </c>
      <c r="BY125" s="180">
        <v>0</v>
      </c>
      <c r="BZ125" s="180">
        <v>0</v>
      </c>
      <c r="CA125" s="180">
        <v>0</v>
      </c>
      <c r="CB125" s="180">
        <v>0</v>
      </c>
      <c r="CC125" s="180"/>
      <c r="CD125" s="180">
        <v>0</v>
      </c>
      <c r="CE125" s="180"/>
      <c r="CF125" s="180"/>
      <c r="CG125" s="180"/>
      <c r="CH125" s="180"/>
      <c r="CI125" s="180"/>
      <c r="CJ125" s="180"/>
      <c r="CK125" s="180"/>
      <c r="CL125" s="180"/>
      <c r="CM125" s="180"/>
      <c r="CN125" s="180"/>
      <c r="CO125" s="180"/>
      <c r="CP125" s="180"/>
      <c r="CQ125" s="180"/>
      <c r="CR125" s="180"/>
      <c r="CS125" s="180"/>
      <c r="CT125" s="180"/>
      <c r="CU125" s="180"/>
    </row>
    <row r="126" spans="1:99" x14ac:dyDescent="0.3">
      <c r="A126" s="155">
        <v>526</v>
      </c>
      <c r="B126" s="180" t="s">
        <v>273</v>
      </c>
      <c r="C126" s="180"/>
      <c r="D126" s="180"/>
      <c r="E126" s="180">
        <v>0</v>
      </c>
      <c r="F126" s="180">
        <v>218411</v>
      </c>
      <c r="G126" s="180">
        <v>0</v>
      </c>
      <c r="H126" s="180">
        <v>0</v>
      </c>
      <c r="I126" s="180">
        <v>0</v>
      </c>
      <c r="J126" s="180">
        <v>7210</v>
      </c>
      <c r="K126" s="180">
        <v>0</v>
      </c>
      <c r="L126" s="180">
        <v>0</v>
      </c>
      <c r="M126" s="180">
        <v>0</v>
      </c>
      <c r="N126" s="180">
        <v>0</v>
      </c>
      <c r="O126" s="180">
        <v>1937983</v>
      </c>
      <c r="P126" s="180">
        <v>0</v>
      </c>
      <c r="Q126" s="180">
        <v>10652869</v>
      </c>
      <c r="R126" s="180">
        <v>336114</v>
      </c>
      <c r="S126" s="180">
        <v>0</v>
      </c>
      <c r="T126" s="180">
        <v>5701942</v>
      </c>
      <c r="U126" s="180">
        <v>2256962</v>
      </c>
      <c r="V126" s="180">
        <v>11523313</v>
      </c>
      <c r="W126" s="180">
        <v>0</v>
      </c>
      <c r="X126" s="180"/>
      <c r="Y126" s="180">
        <v>2935598</v>
      </c>
      <c r="Z126" s="180">
        <v>0</v>
      </c>
      <c r="AA126" s="180">
        <v>3432739</v>
      </c>
      <c r="AB126" s="180">
        <v>1173262</v>
      </c>
      <c r="AC126" s="180">
        <v>158680</v>
      </c>
      <c r="AD126" s="180">
        <v>715367</v>
      </c>
      <c r="AE126" s="180">
        <v>673943</v>
      </c>
      <c r="AF126" s="180">
        <v>5161236</v>
      </c>
      <c r="AG126" s="180">
        <v>888892</v>
      </c>
      <c r="AH126" s="180">
        <v>0</v>
      </c>
      <c r="AI126" s="180">
        <v>8092774</v>
      </c>
      <c r="AJ126" s="180">
        <v>0</v>
      </c>
      <c r="AK126" s="180"/>
      <c r="AL126" s="180"/>
      <c r="AM126" s="180">
        <v>2469963</v>
      </c>
      <c r="AN126" s="180">
        <v>79803</v>
      </c>
      <c r="AO126" s="180">
        <v>114361</v>
      </c>
      <c r="AP126" s="180">
        <v>0</v>
      </c>
      <c r="AQ126" s="180">
        <v>0</v>
      </c>
      <c r="AR126" s="180">
        <v>1452668</v>
      </c>
      <c r="AS126" s="180"/>
      <c r="AT126" s="180">
        <v>651497</v>
      </c>
      <c r="AU126" s="180">
        <v>0</v>
      </c>
      <c r="AV126" s="180">
        <v>14774543</v>
      </c>
      <c r="AW126" s="180">
        <v>0</v>
      </c>
      <c r="AX126" s="180">
        <v>880629</v>
      </c>
      <c r="AY126" s="180">
        <v>1178662</v>
      </c>
      <c r="AZ126" s="180">
        <v>392797</v>
      </c>
      <c r="BA126" s="180">
        <v>87143</v>
      </c>
      <c r="BB126" s="180">
        <v>0</v>
      </c>
      <c r="BC126" s="180">
        <v>0</v>
      </c>
      <c r="BD126" s="180">
        <v>2789691</v>
      </c>
      <c r="BE126" s="180">
        <v>0</v>
      </c>
      <c r="BF126" s="180">
        <v>120866</v>
      </c>
      <c r="BG126" s="180">
        <v>21078</v>
      </c>
      <c r="BH126" s="180">
        <v>0</v>
      </c>
      <c r="BI126" s="180">
        <v>7900</v>
      </c>
      <c r="BJ126" s="180">
        <v>0</v>
      </c>
      <c r="BK126" s="180">
        <v>1912270</v>
      </c>
      <c r="BL126" s="180"/>
      <c r="BM126" s="180">
        <v>274700</v>
      </c>
      <c r="BN126" s="180">
        <v>196819</v>
      </c>
      <c r="BO126" s="180">
        <v>204600</v>
      </c>
      <c r="BP126" s="180">
        <v>332788</v>
      </c>
      <c r="BQ126" s="180">
        <v>0</v>
      </c>
      <c r="BR126" s="180">
        <v>123582</v>
      </c>
      <c r="BS126" s="180">
        <v>0</v>
      </c>
      <c r="BT126" s="180">
        <v>355785</v>
      </c>
      <c r="BU126" s="180">
        <v>419469</v>
      </c>
      <c r="BV126" s="180">
        <v>0</v>
      </c>
      <c r="BW126" s="180">
        <v>1363658</v>
      </c>
      <c r="BX126" s="180">
        <v>33787</v>
      </c>
      <c r="BY126" s="180">
        <v>0</v>
      </c>
      <c r="BZ126" s="180">
        <v>91661</v>
      </c>
      <c r="CA126" s="180">
        <v>8823</v>
      </c>
      <c r="CB126" s="180">
        <v>250675</v>
      </c>
      <c r="CC126" s="180"/>
      <c r="CD126" s="180">
        <v>0</v>
      </c>
      <c r="CE126" s="180"/>
      <c r="CF126" s="180"/>
      <c r="CG126" s="180"/>
      <c r="CH126" s="180"/>
      <c r="CI126" s="180"/>
      <c r="CJ126" s="180"/>
      <c r="CK126" s="180"/>
      <c r="CL126" s="180"/>
      <c r="CM126" s="180"/>
      <c r="CN126" s="180"/>
      <c r="CO126" s="180"/>
      <c r="CP126" s="180"/>
      <c r="CQ126" s="180"/>
      <c r="CR126" s="180"/>
      <c r="CS126" s="180"/>
      <c r="CT126" s="180"/>
      <c r="CU126" s="180"/>
    </row>
    <row r="127" spans="1:99" x14ac:dyDescent="0.3">
      <c r="A127" s="155">
        <v>527</v>
      </c>
      <c r="B127" s="180" t="s">
        <v>274</v>
      </c>
      <c r="C127" s="180"/>
      <c r="D127" s="180"/>
      <c r="E127" s="180">
        <v>0</v>
      </c>
      <c r="F127" s="180">
        <v>0</v>
      </c>
      <c r="G127" s="180">
        <v>0</v>
      </c>
      <c r="H127" s="180">
        <v>0</v>
      </c>
      <c r="I127" s="180">
        <v>0</v>
      </c>
      <c r="J127" s="180">
        <v>0</v>
      </c>
      <c r="K127" s="180">
        <v>0</v>
      </c>
      <c r="L127" s="180">
        <v>0</v>
      </c>
      <c r="M127" s="180">
        <v>0</v>
      </c>
      <c r="N127" s="180">
        <v>0</v>
      </c>
      <c r="O127" s="180">
        <v>0</v>
      </c>
      <c r="P127" s="180">
        <v>0</v>
      </c>
      <c r="Q127" s="180">
        <v>6731488</v>
      </c>
      <c r="R127" s="180">
        <v>0</v>
      </c>
      <c r="S127" s="180">
        <v>0</v>
      </c>
      <c r="T127" s="180">
        <v>0</v>
      </c>
      <c r="U127" s="180">
        <v>0</v>
      </c>
      <c r="V127" s="180">
        <v>567368</v>
      </c>
      <c r="W127" s="180">
        <v>0</v>
      </c>
      <c r="X127" s="180"/>
      <c r="Y127" s="180">
        <v>0</v>
      </c>
      <c r="Z127" s="180">
        <v>0</v>
      </c>
      <c r="AA127" s="180">
        <v>0</v>
      </c>
      <c r="AB127" s="180">
        <v>0</v>
      </c>
      <c r="AC127" s="180">
        <v>0</v>
      </c>
      <c r="AD127" s="180">
        <v>0</v>
      </c>
      <c r="AE127" s="180">
        <v>0</v>
      </c>
      <c r="AF127" s="180">
        <v>0</v>
      </c>
      <c r="AG127" s="180">
        <v>0</v>
      </c>
      <c r="AH127" s="180">
        <v>0</v>
      </c>
      <c r="AI127" s="180">
        <v>4413321</v>
      </c>
      <c r="AJ127" s="180">
        <v>0</v>
      </c>
      <c r="AK127" s="180"/>
      <c r="AL127" s="180"/>
      <c r="AM127" s="180">
        <v>574308</v>
      </c>
      <c r="AN127" s="180">
        <v>0</v>
      </c>
      <c r="AO127" s="180">
        <v>0</v>
      </c>
      <c r="AP127" s="180">
        <v>0</v>
      </c>
      <c r="AQ127" s="180">
        <v>0</v>
      </c>
      <c r="AR127" s="180">
        <v>0</v>
      </c>
      <c r="AS127" s="180"/>
      <c r="AT127" s="180">
        <v>0</v>
      </c>
      <c r="AU127" s="180">
        <v>7405</v>
      </c>
      <c r="AV127" s="180">
        <v>0</v>
      </c>
      <c r="AW127" s="180">
        <v>0</v>
      </c>
      <c r="AX127" s="180">
        <v>0</v>
      </c>
      <c r="AY127" s="180">
        <v>0</v>
      </c>
      <c r="AZ127" s="180">
        <v>0</v>
      </c>
      <c r="BA127" s="180">
        <v>0</v>
      </c>
      <c r="BB127" s="180">
        <v>0</v>
      </c>
      <c r="BC127" s="180">
        <v>0</v>
      </c>
      <c r="BD127" s="180">
        <v>0</v>
      </c>
      <c r="BE127" s="180">
        <v>0</v>
      </c>
      <c r="BF127" s="180">
        <v>0</v>
      </c>
      <c r="BG127" s="180">
        <v>0</v>
      </c>
      <c r="BH127" s="180">
        <v>0</v>
      </c>
      <c r="BI127" s="180">
        <v>0</v>
      </c>
      <c r="BJ127" s="180">
        <v>0</v>
      </c>
      <c r="BK127" s="180">
        <v>0</v>
      </c>
      <c r="BL127" s="180"/>
      <c r="BM127" s="180">
        <v>0</v>
      </c>
      <c r="BN127" s="180">
        <v>0</v>
      </c>
      <c r="BO127" s="180">
        <v>0</v>
      </c>
      <c r="BP127" s="180">
        <v>0</v>
      </c>
      <c r="BQ127" s="180">
        <v>0</v>
      </c>
      <c r="BR127" s="180">
        <v>11600</v>
      </c>
      <c r="BS127" s="180">
        <v>7090802</v>
      </c>
      <c r="BT127" s="180">
        <v>0</v>
      </c>
      <c r="BU127" s="180">
        <v>0</v>
      </c>
      <c r="BV127" s="180">
        <v>0</v>
      </c>
      <c r="BW127" s="180">
        <v>0</v>
      </c>
      <c r="BX127" s="180">
        <v>0</v>
      </c>
      <c r="BY127" s="180">
        <v>0</v>
      </c>
      <c r="BZ127" s="180">
        <v>0</v>
      </c>
      <c r="CA127" s="180">
        <v>0</v>
      </c>
      <c r="CB127" s="180">
        <v>0</v>
      </c>
      <c r="CC127" s="180"/>
      <c r="CD127" s="180">
        <v>0</v>
      </c>
      <c r="CE127" s="180"/>
      <c r="CF127" s="180"/>
      <c r="CG127" s="180"/>
      <c r="CH127" s="180"/>
      <c r="CI127" s="180"/>
      <c r="CJ127" s="180"/>
      <c r="CK127" s="180"/>
      <c r="CL127" s="180"/>
      <c r="CM127" s="180"/>
      <c r="CN127" s="180"/>
      <c r="CO127" s="180"/>
      <c r="CP127" s="180"/>
      <c r="CQ127" s="180"/>
      <c r="CR127" s="180"/>
      <c r="CS127" s="180"/>
      <c r="CT127" s="180"/>
      <c r="CU127" s="180"/>
    </row>
    <row r="128" spans="1:99" x14ac:dyDescent="0.3">
      <c r="A128" s="155">
        <v>528</v>
      </c>
      <c r="B128" s="180" t="s">
        <v>257</v>
      </c>
      <c r="C128" s="180"/>
      <c r="D128" s="180"/>
      <c r="E128" s="180">
        <v>22535</v>
      </c>
      <c r="F128" s="180">
        <v>329940</v>
      </c>
      <c r="G128" s="180">
        <v>1220890</v>
      </c>
      <c r="H128" s="180">
        <v>181776</v>
      </c>
      <c r="I128" s="180">
        <v>2771408</v>
      </c>
      <c r="J128" s="180">
        <v>47670</v>
      </c>
      <c r="K128" s="180">
        <v>80028</v>
      </c>
      <c r="L128" s="180">
        <v>126008</v>
      </c>
      <c r="M128" s="180">
        <v>8804158</v>
      </c>
      <c r="N128" s="180">
        <v>29923</v>
      </c>
      <c r="O128" s="180">
        <v>2976605</v>
      </c>
      <c r="P128" s="180">
        <v>14595</v>
      </c>
      <c r="Q128" s="180">
        <v>22550699</v>
      </c>
      <c r="R128" s="180">
        <v>1217555</v>
      </c>
      <c r="S128" s="180">
        <v>0</v>
      </c>
      <c r="T128" s="180">
        <v>45934158</v>
      </c>
      <c r="U128" s="180">
        <v>8409925</v>
      </c>
      <c r="V128" s="180">
        <v>10214770</v>
      </c>
      <c r="W128" s="180">
        <v>21771603</v>
      </c>
      <c r="X128" s="180"/>
      <c r="Y128" s="180">
        <v>6971011</v>
      </c>
      <c r="Z128" s="180">
        <v>520799</v>
      </c>
      <c r="AA128" s="180">
        <v>8573501</v>
      </c>
      <c r="AB128" s="180">
        <v>1679040</v>
      </c>
      <c r="AC128" s="180">
        <v>863240</v>
      </c>
      <c r="AD128" s="180">
        <v>793715</v>
      </c>
      <c r="AE128" s="180">
        <v>1034780</v>
      </c>
      <c r="AF128" s="180">
        <v>8781194</v>
      </c>
      <c r="AG128" s="180">
        <v>2281317</v>
      </c>
      <c r="AH128" s="180">
        <v>263606</v>
      </c>
      <c r="AI128" s="180">
        <v>15009417</v>
      </c>
      <c r="AJ128" s="180">
        <v>237800</v>
      </c>
      <c r="AK128" s="180"/>
      <c r="AL128" s="180"/>
      <c r="AM128" s="180">
        <v>5970344</v>
      </c>
      <c r="AN128" s="180">
        <v>248398</v>
      </c>
      <c r="AO128" s="180">
        <v>244462</v>
      </c>
      <c r="AP128" s="180">
        <v>0</v>
      </c>
      <c r="AQ128" s="180">
        <v>4484673</v>
      </c>
      <c r="AR128" s="180">
        <v>2274591</v>
      </c>
      <c r="AS128" s="180"/>
      <c r="AT128" s="180">
        <v>1296055</v>
      </c>
      <c r="AU128" s="180">
        <v>67957</v>
      </c>
      <c r="AV128" s="180">
        <v>9147486</v>
      </c>
      <c r="AW128" s="180">
        <v>804424</v>
      </c>
      <c r="AX128" s="180">
        <v>761718</v>
      </c>
      <c r="AY128" s="180">
        <v>3265696</v>
      </c>
      <c r="AZ128" s="180">
        <v>419252</v>
      </c>
      <c r="BA128" s="180">
        <v>559801</v>
      </c>
      <c r="BB128" s="180">
        <v>0</v>
      </c>
      <c r="BC128" s="180">
        <v>45962</v>
      </c>
      <c r="BD128" s="180">
        <v>3226039</v>
      </c>
      <c r="BE128" s="180">
        <v>19039</v>
      </c>
      <c r="BF128" s="180">
        <v>153919</v>
      </c>
      <c r="BG128" s="180">
        <v>74168</v>
      </c>
      <c r="BH128" s="180">
        <v>32168</v>
      </c>
      <c r="BI128" s="180">
        <v>51015</v>
      </c>
      <c r="BJ128" s="180">
        <v>56109</v>
      </c>
      <c r="BK128" s="180">
        <v>1303915</v>
      </c>
      <c r="BL128" s="180"/>
      <c r="BM128" s="180">
        <v>877644</v>
      </c>
      <c r="BN128" s="180">
        <v>2056886</v>
      </c>
      <c r="BO128" s="180">
        <v>574006</v>
      </c>
      <c r="BP128" s="180">
        <v>486591</v>
      </c>
      <c r="BQ128" s="180">
        <v>11402048</v>
      </c>
      <c r="BR128" s="180">
        <v>232902</v>
      </c>
      <c r="BS128" s="180">
        <v>8208821</v>
      </c>
      <c r="BT128" s="180">
        <v>187145</v>
      </c>
      <c r="BU128" s="180">
        <v>3205624</v>
      </c>
      <c r="BV128" s="180">
        <v>308520</v>
      </c>
      <c r="BW128" s="180">
        <v>1039505</v>
      </c>
      <c r="BX128" s="180">
        <v>126517</v>
      </c>
      <c r="BY128" s="180">
        <v>15421</v>
      </c>
      <c r="BZ128" s="180">
        <v>69908</v>
      </c>
      <c r="CA128" s="180">
        <v>23147</v>
      </c>
      <c r="CB128" s="180">
        <v>519994</v>
      </c>
      <c r="CC128" s="180"/>
      <c r="CD128" s="180">
        <v>8516</v>
      </c>
      <c r="CE128" s="180"/>
      <c r="CF128" s="180"/>
      <c r="CG128" s="180"/>
      <c r="CH128" s="180"/>
      <c r="CI128" s="180"/>
      <c r="CJ128" s="180"/>
      <c r="CK128" s="180"/>
      <c r="CL128" s="180"/>
      <c r="CM128" s="180"/>
      <c r="CN128" s="180"/>
      <c r="CO128" s="180"/>
      <c r="CP128" s="180"/>
      <c r="CQ128" s="180"/>
      <c r="CR128" s="180"/>
      <c r="CS128" s="180"/>
      <c r="CT128" s="180"/>
      <c r="CU128" s="180"/>
    </row>
    <row r="129" spans="1:99" x14ac:dyDescent="0.3">
      <c r="A129" s="155">
        <v>529</v>
      </c>
      <c r="B129" s="180" t="s">
        <v>258</v>
      </c>
      <c r="C129" s="180"/>
      <c r="D129" s="180"/>
      <c r="E129" s="180">
        <v>3208</v>
      </c>
      <c r="F129" s="180">
        <v>50186</v>
      </c>
      <c r="G129" s="180">
        <v>145650</v>
      </c>
      <c r="H129" s="180">
        <v>25100</v>
      </c>
      <c r="I129" s="180">
        <v>234537</v>
      </c>
      <c r="J129" s="180">
        <v>5396</v>
      </c>
      <c r="K129" s="180">
        <v>8211</v>
      </c>
      <c r="L129" s="180">
        <v>9696</v>
      </c>
      <c r="M129" s="180">
        <v>823713</v>
      </c>
      <c r="N129" s="180">
        <v>4991</v>
      </c>
      <c r="O129" s="180">
        <v>150045</v>
      </c>
      <c r="P129" s="180">
        <v>3787</v>
      </c>
      <c r="Q129" s="180">
        <v>1863933</v>
      </c>
      <c r="R129" s="180">
        <v>24532</v>
      </c>
      <c r="S129" s="180">
        <v>0</v>
      </c>
      <c r="T129" s="180">
        <v>3804105</v>
      </c>
      <c r="U129" s="180">
        <v>465261</v>
      </c>
      <c r="V129" s="180">
        <v>817021</v>
      </c>
      <c r="W129" s="180">
        <v>1179070</v>
      </c>
      <c r="X129" s="180"/>
      <c r="Y129" s="180">
        <v>671106</v>
      </c>
      <c r="Z129" s="180">
        <v>62268</v>
      </c>
      <c r="AA129" s="180">
        <v>912309</v>
      </c>
      <c r="AB129" s="180">
        <v>173022</v>
      </c>
      <c r="AC129" s="180">
        <v>89434</v>
      </c>
      <c r="AD129" s="180">
        <v>122286</v>
      </c>
      <c r="AE129" s="180">
        <v>42293</v>
      </c>
      <c r="AF129" s="180">
        <v>155067</v>
      </c>
      <c r="AG129" s="180">
        <v>335757</v>
      </c>
      <c r="AH129" s="180">
        <v>35082</v>
      </c>
      <c r="AI129" s="180">
        <v>1595261</v>
      </c>
      <c r="AJ129" s="180">
        <v>12151</v>
      </c>
      <c r="AK129" s="180"/>
      <c r="AL129" s="180"/>
      <c r="AM129" s="180">
        <v>607406</v>
      </c>
      <c r="AN129" s="180">
        <v>27503</v>
      </c>
      <c r="AO129" s="180">
        <v>46208</v>
      </c>
      <c r="AP129" s="180">
        <v>0</v>
      </c>
      <c r="AQ129" s="180">
        <v>81633</v>
      </c>
      <c r="AR129" s="180">
        <v>213304</v>
      </c>
      <c r="AS129" s="180"/>
      <c r="AT129" s="180">
        <v>94174</v>
      </c>
      <c r="AU129" s="180">
        <v>14916</v>
      </c>
      <c r="AV129" s="180">
        <v>434053</v>
      </c>
      <c r="AW129" s="180">
        <v>98705</v>
      </c>
      <c r="AX129" s="180">
        <v>130776</v>
      </c>
      <c r="AY129" s="180">
        <v>56769</v>
      </c>
      <c r="AZ129" s="180">
        <v>23789</v>
      </c>
      <c r="BA129" s="180">
        <v>32524</v>
      </c>
      <c r="BB129" s="180">
        <v>0</v>
      </c>
      <c r="BC129" s="180">
        <v>7623</v>
      </c>
      <c r="BD129" s="180">
        <v>559622</v>
      </c>
      <c r="BE129" s="180">
        <v>7656</v>
      </c>
      <c r="BF129" s="180">
        <v>19063</v>
      </c>
      <c r="BG129" s="180">
        <v>10158</v>
      </c>
      <c r="BH129" s="180">
        <v>3191</v>
      </c>
      <c r="BI129" s="180">
        <v>9799</v>
      </c>
      <c r="BJ129" s="180">
        <v>5440</v>
      </c>
      <c r="BK129" s="180">
        <v>94573</v>
      </c>
      <c r="BL129" s="180"/>
      <c r="BM129" s="180">
        <v>91170</v>
      </c>
      <c r="BN129" s="180">
        <v>58819</v>
      </c>
      <c r="BO129" s="180">
        <v>82999</v>
      </c>
      <c r="BP129" s="180">
        <v>63355</v>
      </c>
      <c r="BQ129" s="180">
        <v>850711</v>
      </c>
      <c r="BR129" s="180">
        <v>39624</v>
      </c>
      <c r="BS129" s="180">
        <v>362462</v>
      </c>
      <c r="BT129" s="180">
        <v>22394</v>
      </c>
      <c r="BU129" s="180">
        <v>314733</v>
      </c>
      <c r="BV129" s="180">
        <v>40537</v>
      </c>
      <c r="BW129" s="180">
        <v>97150</v>
      </c>
      <c r="BX129" s="180">
        <v>19769</v>
      </c>
      <c r="BY129" s="180">
        <v>2067</v>
      </c>
      <c r="BZ129" s="180">
        <v>9758</v>
      </c>
      <c r="CA129" s="180">
        <v>5557</v>
      </c>
      <c r="CB129" s="180">
        <v>65741</v>
      </c>
      <c r="CC129" s="180"/>
      <c r="CD129" s="180">
        <v>2161</v>
      </c>
      <c r="CE129" s="180"/>
      <c r="CF129" s="180"/>
      <c r="CG129" s="180"/>
      <c r="CH129" s="180"/>
      <c r="CI129" s="180"/>
      <c r="CJ129" s="180"/>
      <c r="CK129" s="180"/>
      <c r="CL129" s="180"/>
      <c r="CM129" s="180"/>
      <c r="CN129" s="180"/>
      <c r="CO129" s="180"/>
      <c r="CP129" s="180"/>
      <c r="CQ129" s="180"/>
      <c r="CR129" s="180"/>
      <c r="CS129" s="180"/>
      <c r="CT129" s="180"/>
      <c r="CU129" s="180"/>
    </row>
    <row r="130" spans="1:99" x14ac:dyDescent="0.3">
      <c r="A130" s="155">
        <v>530</v>
      </c>
      <c r="B130" s="180" t="s">
        <v>259</v>
      </c>
      <c r="C130" s="180"/>
      <c r="D130" s="180"/>
      <c r="E130" s="180">
        <v>679</v>
      </c>
      <c r="F130" s="180">
        <v>5055</v>
      </c>
      <c r="G130" s="180">
        <v>9658</v>
      </c>
      <c r="H130" s="180">
        <v>2812</v>
      </c>
      <c r="I130" s="180">
        <v>22478</v>
      </c>
      <c r="J130" s="180">
        <v>1364</v>
      </c>
      <c r="K130" s="180">
        <v>200</v>
      </c>
      <c r="L130" s="180">
        <v>556</v>
      </c>
      <c r="M130" s="180">
        <v>57627</v>
      </c>
      <c r="N130" s="180">
        <v>885</v>
      </c>
      <c r="O130" s="180">
        <v>22789</v>
      </c>
      <c r="P130" s="180">
        <v>289</v>
      </c>
      <c r="Q130" s="180">
        <v>148285</v>
      </c>
      <c r="R130" s="180">
        <v>296</v>
      </c>
      <c r="S130" s="180">
        <v>0</v>
      </c>
      <c r="T130" s="180">
        <v>177002</v>
      </c>
      <c r="U130" s="180">
        <v>105607</v>
      </c>
      <c r="V130" s="180">
        <v>213026</v>
      </c>
      <c r="W130" s="180">
        <v>57741</v>
      </c>
      <c r="X130" s="180"/>
      <c r="Y130" s="180">
        <v>90183</v>
      </c>
      <c r="Z130" s="180">
        <v>22850</v>
      </c>
      <c r="AA130" s="180">
        <v>43000</v>
      </c>
      <c r="AB130" s="180">
        <v>51813</v>
      </c>
      <c r="AC130" s="180">
        <v>5816</v>
      </c>
      <c r="AD130" s="180">
        <v>18842</v>
      </c>
      <c r="AE130" s="180">
        <v>65472</v>
      </c>
      <c r="AF130" s="180">
        <v>881</v>
      </c>
      <c r="AG130" s="180">
        <v>33511</v>
      </c>
      <c r="AH130" s="180">
        <v>9118</v>
      </c>
      <c r="AI130" s="180">
        <v>140368</v>
      </c>
      <c r="AJ130" s="180">
        <v>806</v>
      </c>
      <c r="AK130" s="180"/>
      <c r="AL130" s="180"/>
      <c r="AM130" s="180">
        <v>91846</v>
      </c>
      <c r="AN130" s="180">
        <v>11722</v>
      </c>
      <c r="AO130" s="180">
        <v>8540</v>
      </c>
      <c r="AP130" s="180">
        <v>0</v>
      </c>
      <c r="AQ130" s="180">
        <v>31427</v>
      </c>
      <c r="AR130" s="180">
        <v>96894</v>
      </c>
      <c r="AS130" s="180"/>
      <c r="AT130" s="180">
        <v>20331</v>
      </c>
      <c r="AU130" s="180">
        <v>7954</v>
      </c>
      <c r="AV130" s="180">
        <v>222273</v>
      </c>
      <c r="AW130" s="180">
        <v>3210</v>
      </c>
      <c r="AX130" s="180">
        <v>11060</v>
      </c>
      <c r="AY130" s="180">
        <v>1354</v>
      </c>
      <c r="AZ130" s="180">
        <v>1566</v>
      </c>
      <c r="BA130" s="180">
        <v>17673</v>
      </c>
      <c r="BB130" s="180">
        <v>0</v>
      </c>
      <c r="BC130" s="180">
        <v>283</v>
      </c>
      <c r="BD130" s="180">
        <v>41944</v>
      </c>
      <c r="BE130" s="180">
        <v>0</v>
      </c>
      <c r="BF130" s="180">
        <v>5920</v>
      </c>
      <c r="BG130" s="180">
        <v>14156</v>
      </c>
      <c r="BH130" s="180">
        <v>498</v>
      </c>
      <c r="BI130" s="180">
        <v>6066</v>
      </c>
      <c r="BJ130" s="180">
        <v>1878</v>
      </c>
      <c r="BK130" s="180">
        <v>40458</v>
      </c>
      <c r="BL130" s="180"/>
      <c r="BM130" s="180">
        <v>7751</v>
      </c>
      <c r="BN130" s="180">
        <v>5661</v>
      </c>
      <c r="BO130" s="180">
        <v>522</v>
      </c>
      <c r="BP130" s="180">
        <v>3301</v>
      </c>
      <c r="BQ130" s="180">
        <v>9030</v>
      </c>
      <c r="BR130" s="180">
        <v>14859</v>
      </c>
      <c r="BS130" s="180">
        <v>64979</v>
      </c>
      <c r="BT130" s="180">
        <v>4519</v>
      </c>
      <c r="BU130" s="180">
        <v>20727</v>
      </c>
      <c r="BV130" s="180">
        <v>3634</v>
      </c>
      <c r="BW130" s="180">
        <v>181427</v>
      </c>
      <c r="BX130" s="180">
        <v>10308</v>
      </c>
      <c r="BY130" s="180">
        <v>127</v>
      </c>
      <c r="BZ130" s="180">
        <v>4004</v>
      </c>
      <c r="CA130" s="180">
        <v>767</v>
      </c>
      <c r="CB130" s="180">
        <v>2259</v>
      </c>
      <c r="CC130" s="180"/>
      <c r="CD130" s="180">
        <v>485</v>
      </c>
      <c r="CE130" s="180"/>
      <c r="CF130" s="180"/>
      <c r="CG130" s="180"/>
      <c r="CH130" s="180"/>
      <c r="CI130" s="180"/>
      <c r="CJ130" s="180"/>
      <c r="CK130" s="180"/>
      <c r="CL130" s="180"/>
      <c r="CM130" s="180"/>
      <c r="CN130" s="180"/>
      <c r="CO130" s="180"/>
      <c r="CP130" s="180"/>
      <c r="CQ130" s="180"/>
      <c r="CR130" s="180"/>
      <c r="CS130" s="180"/>
      <c r="CT130" s="180"/>
      <c r="CU130" s="180"/>
    </row>
    <row r="131" spans="1:99" x14ac:dyDescent="0.3">
      <c r="A131" s="155">
        <v>531</v>
      </c>
      <c r="B131" s="180" t="s">
        <v>260</v>
      </c>
      <c r="C131" s="180"/>
      <c r="D131" s="180"/>
      <c r="E131" s="180">
        <v>61</v>
      </c>
      <c r="F131" s="180">
        <v>0</v>
      </c>
      <c r="G131" s="180">
        <v>237</v>
      </c>
      <c r="H131" s="180">
        <v>0</v>
      </c>
      <c r="I131" s="180">
        <v>0</v>
      </c>
      <c r="J131" s="180">
        <v>0</v>
      </c>
      <c r="K131" s="180">
        <v>0</v>
      </c>
      <c r="L131" s="180">
        <v>0</v>
      </c>
      <c r="M131" s="180">
        <v>0</v>
      </c>
      <c r="N131" s="180">
        <v>0</v>
      </c>
      <c r="O131" s="180">
        <v>0</v>
      </c>
      <c r="P131" s="180">
        <v>0</v>
      </c>
      <c r="Q131" s="180">
        <v>0</v>
      </c>
      <c r="R131" s="180">
        <v>169</v>
      </c>
      <c r="S131" s="180">
        <v>0</v>
      </c>
      <c r="T131" s="180">
        <v>21257</v>
      </c>
      <c r="U131" s="180">
        <v>0</v>
      </c>
      <c r="V131" s="180">
        <v>0</v>
      </c>
      <c r="W131" s="180">
        <v>0</v>
      </c>
      <c r="X131" s="180"/>
      <c r="Y131" s="180">
        <v>3174</v>
      </c>
      <c r="Z131" s="180">
        <v>0</v>
      </c>
      <c r="AA131" s="180">
        <v>0</v>
      </c>
      <c r="AB131" s="180">
        <v>0</v>
      </c>
      <c r="AC131" s="180">
        <v>0</v>
      </c>
      <c r="AD131" s="180">
        <v>0</v>
      </c>
      <c r="AE131" s="180">
        <v>0</v>
      </c>
      <c r="AF131" s="180">
        <v>0</v>
      </c>
      <c r="AG131" s="180">
        <v>0</v>
      </c>
      <c r="AH131" s="180">
        <v>0</v>
      </c>
      <c r="AI131" s="180">
        <v>0</v>
      </c>
      <c r="AJ131" s="180">
        <v>0</v>
      </c>
      <c r="AK131" s="180"/>
      <c r="AL131" s="180"/>
      <c r="AM131" s="180">
        <v>0</v>
      </c>
      <c r="AN131" s="180">
        <v>209</v>
      </c>
      <c r="AO131" s="180">
        <v>0</v>
      </c>
      <c r="AP131" s="180">
        <v>0</v>
      </c>
      <c r="AQ131" s="180">
        <v>0</v>
      </c>
      <c r="AR131" s="180">
        <v>0</v>
      </c>
      <c r="AS131" s="180"/>
      <c r="AT131" s="180">
        <v>0</v>
      </c>
      <c r="AU131" s="180">
        <v>0</v>
      </c>
      <c r="AV131" s="180">
        <v>0</v>
      </c>
      <c r="AW131" s="180">
        <v>0</v>
      </c>
      <c r="AX131" s="180">
        <v>0</v>
      </c>
      <c r="AY131" s="180">
        <v>0</v>
      </c>
      <c r="AZ131" s="180">
        <v>0</v>
      </c>
      <c r="BA131" s="180">
        <v>0</v>
      </c>
      <c r="BB131" s="180">
        <v>0</v>
      </c>
      <c r="BC131" s="180">
        <v>0</v>
      </c>
      <c r="BD131" s="180">
        <v>0</v>
      </c>
      <c r="BE131" s="180">
        <v>0</v>
      </c>
      <c r="BF131" s="180">
        <v>0</v>
      </c>
      <c r="BG131" s="180">
        <v>0</v>
      </c>
      <c r="BH131" s="180">
        <v>0</v>
      </c>
      <c r="BI131" s="180">
        <v>0</v>
      </c>
      <c r="BJ131" s="180">
        <v>0</v>
      </c>
      <c r="BK131" s="180">
        <v>2366</v>
      </c>
      <c r="BL131" s="180"/>
      <c r="BM131" s="180">
        <v>0</v>
      </c>
      <c r="BN131" s="180">
        <v>75</v>
      </c>
      <c r="BO131" s="180">
        <v>0</v>
      </c>
      <c r="BP131" s="180">
        <v>0</v>
      </c>
      <c r="BQ131" s="180">
        <v>0</v>
      </c>
      <c r="BR131" s="180">
        <v>32</v>
      </c>
      <c r="BS131" s="180">
        <v>0</v>
      </c>
      <c r="BT131" s="180">
        <v>0</v>
      </c>
      <c r="BU131" s="180">
        <v>0</v>
      </c>
      <c r="BV131" s="180">
        <v>0</v>
      </c>
      <c r="BW131" s="180">
        <v>0</v>
      </c>
      <c r="BX131" s="180">
        <v>0</v>
      </c>
      <c r="BY131" s="180">
        <v>0</v>
      </c>
      <c r="BZ131" s="180">
        <v>0</v>
      </c>
      <c r="CA131" s="180">
        <v>0</v>
      </c>
      <c r="CB131" s="180">
        <v>0</v>
      </c>
      <c r="CC131" s="180"/>
      <c r="CD131" s="180">
        <v>0</v>
      </c>
      <c r="CE131" s="180"/>
      <c r="CF131" s="180"/>
      <c r="CG131" s="180"/>
      <c r="CH131" s="180"/>
      <c r="CI131" s="180"/>
      <c r="CJ131" s="180"/>
      <c r="CK131" s="180"/>
      <c r="CL131" s="180"/>
      <c r="CM131" s="180"/>
      <c r="CN131" s="180"/>
      <c r="CO131" s="180"/>
      <c r="CP131" s="180"/>
      <c r="CQ131" s="180"/>
      <c r="CR131" s="180"/>
      <c r="CS131" s="180"/>
      <c r="CT131" s="180"/>
      <c r="CU131" s="180"/>
    </row>
    <row r="132" spans="1:99" x14ac:dyDescent="0.3">
      <c r="A132" s="155">
        <v>532</v>
      </c>
      <c r="B132" s="180" t="s">
        <v>926</v>
      </c>
      <c r="C132" s="180"/>
      <c r="D132" s="180"/>
      <c r="E132" s="180">
        <v>60248</v>
      </c>
      <c r="F132" s="180">
        <v>937633</v>
      </c>
      <c r="G132" s="180">
        <v>1928778</v>
      </c>
      <c r="H132" s="180">
        <v>1733358</v>
      </c>
      <c r="I132" s="180">
        <v>4115995</v>
      </c>
      <c r="J132" s="180">
        <v>87981</v>
      </c>
      <c r="K132" s="180">
        <v>322463</v>
      </c>
      <c r="L132" s="180">
        <v>401995</v>
      </c>
      <c r="M132" s="180">
        <v>16521236</v>
      </c>
      <c r="N132" s="180">
        <v>557395</v>
      </c>
      <c r="O132" s="180">
        <v>5499632</v>
      </c>
      <c r="P132" s="180">
        <v>86501</v>
      </c>
      <c r="Q132" s="180">
        <v>39306787</v>
      </c>
      <c r="R132" s="180">
        <v>1473390</v>
      </c>
      <c r="S132" s="180">
        <v>41956</v>
      </c>
      <c r="T132" s="180">
        <v>69511502</v>
      </c>
      <c r="U132" s="180">
        <v>24241832</v>
      </c>
      <c r="V132" s="180">
        <v>22959781</v>
      </c>
      <c r="W132" s="180">
        <v>37730100</v>
      </c>
      <c r="X132" s="180"/>
      <c r="Y132" s="180">
        <v>14038233</v>
      </c>
      <c r="Z132" s="180">
        <v>1759519</v>
      </c>
      <c r="AA132" s="180">
        <v>16108398</v>
      </c>
      <c r="AB132" s="180">
        <v>6257917</v>
      </c>
      <c r="AC132" s="180">
        <v>2429154</v>
      </c>
      <c r="AD132" s="180">
        <v>1985592</v>
      </c>
      <c r="AE132" s="180">
        <v>2863183</v>
      </c>
      <c r="AF132" s="180">
        <v>24060555</v>
      </c>
      <c r="AG132" s="180">
        <v>7079852</v>
      </c>
      <c r="AH132" s="180">
        <v>811685</v>
      </c>
      <c r="AI132" s="180">
        <v>33985204</v>
      </c>
      <c r="AJ132" s="180">
        <v>588086</v>
      </c>
      <c r="AK132" s="180"/>
      <c r="AL132" s="180"/>
      <c r="AM132" s="180">
        <v>15494593</v>
      </c>
      <c r="AN132" s="180">
        <v>615375</v>
      </c>
      <c r="AO132" s="180">
        <v>754688</v>
      </c>
      <c r="AP132" s="180">
        <v>37303</v>
      </c>
      <c r="AQ132" s="180">
        <v>5699029</v>
      </c>
      <c r="AR132" s="180">
        <v>7157181</v>
      </c>
      <c r="AS132" s="180"/>
      <c r="AT132" s="180">
        <v>3261949</v>
      </c>
      <c r="AU132" s="180">
        <v>178903</v>
      </c>
      <c r="AV132" s="180">
        <v>13490447</v>
      </c>
      <c r="AW132" s="180">
        <v>2155580</v>
      </c>
      <c r="AX132" s="180">
        <v>2031654</v>
      </c>
      <c r="AY132" s="180">
        <v>22750637</v>
      </c>
      <c r="AZ132" s="180">
        <v>973128</v>
      </c>
      <c r="BA132" s="180">
        <v>1151509</v>
      </c>
      <c r="BB132" s="180">
        <v>30895</v>
      </c>
      <c r="BC132" s="180">
        <v>218510</v>
      </c>
      <c r="BD132" s="180">
        <v>8920042</v>
      </c>
      <c r="BE132" s="180">
        <v>99236</v>
      </c>
      <c r="BF132" s="180">
        <v>473708</v>
      </c>
      <c r="BG132" s="180">
        <v>228155</v>
      </c>
      <c r="BH132" s="180">
        <v>120718</v>
      </c>
      <c r="BI132" s="180">
        <v>276139</v>
      </c>
      <c r="BJ132" s="180">
        <v>146282</v>
      </c>
      <c r="BK132" s="180">
        <v>3775473</v>
      </c>
      <c r="BL132" s="180"/>
      <c r="BM132" s="180">
        <v>2284621</v>
      </c>
      <c r="BN132" s="180">
        <v>4996703</v>
      </c>
      <c r="BO132" s="180">
        <v>1211809</v>
      </c>
      <c r="BP132" s="180">
        <v>1914656</v>
      </c>
      <c r="BQ132" s="180">
        <v>20743506</v>
      </c>
      <c r="BR132" s="180">
        <v>1311243</v>
      </c>
      <c r="BS132" s="180">
        <v>13400533</v>
      </c>
      <c r="BT132" s="180">
        <v>923867</v>
      </c>
      <c r="BU132" s="180">
        <v>5602177</v>
      </c>
      <c r="BV132" s="180">
        <v>616769</v>
      </c>
      <c r="BW132" s="180">
        <v>2145863</v>
      </c>
      <c r="BX132" s="180">
        <v>802239</v>
      </c>
      <c r="BY132" s="180">
        <v>66600</v>
      </c>
      <c r="BZ132" s="180">
        <v>542395</v>
      </c>
      <c r="CA132" s="180">
        <v>131238</v>
      </c>
      <c r="CB132" s="180">
        <v>1238092</v>
      </c>
      <c r="CC132" s="180"/>
      <c r="CD132" s="180">
        <v>66708</v>
      </c>
      <c r="CE132" s="180"/>
      <c r="CF132" s="180"/>
      <c r="CG132" s="180"/>
      <c r="CH132" s="180"/>
      <c r="CI132" s="180"/>
      <c r="CJ132" s="180"/>
      <c r="CK132" s="180"/>
      <c r="CL132" s="180"/>
      <c r="CM132" s="180"/>
      <c r="CN132" s="180"/>
      <c r="CO132" s="180"/>
      <c r="CP132" s="180"/>
      <c r="CQ132" s="180"/>
      <c r="CR132" s="180"/>
      <c r="CS132" s="180"/>
      <c r="CT132" s="180"/>
      <c r="CU132" s="180"/>
    </row>
    <row r="133" spans="1:99" x14ac:dyDescent="0.3">
      <c r="A133" s="155">
        <v>533</v>
      </c>
      <c r="B133" s="180" t="s">
        <v>927</v>
      </c>
      <c r="C133" s="180"/>
      <c r="D133" s="180"/>
      <c r="E133" s="180">
        <v>0</v>
      </c>
      <c r="F133" s="180">
        <v>11690</v>
      </c>
      <c r="G133" s="180">
        <v>0</v>
      </c>
      <c r="H133" s="180">
        <v>0</v>
      </c>
      <c r="I133" s="180">
        <v>0</v>
      </c>
      <c r="J133" s="180">
        <v>0</v>
      </c>
      <c r="K133" s="180">
        <v>0</v>
      </c>
      <c r="L133" s="180">
        <v>0</v>
      </c>
      <c r="M133" s="180">
        <v>969522</v>
      </c>
      <c r="N133" s="180">
        <v>0</v>
      </c>
      <c r="O133" s="180">
        <v>0</v>
      </c>
      <c r="P133" s="180">
        <v>0</v>
      </c>
      <c r="Q133" s="180">
        <v>254589</v>
      </c>
      <c r="R133" s="180">
        <v>0</v>
      </c>
      <c r="S133" s="180">
        <v>0</v>
      </c>
      <c r="T133" s="180">
        <v>0</v>
      </c>
      <c r="U133" s="180">
        <v>7045072</v>
      </c>
      <c r="V133" s="180">
        <v>2081889</v>
      </c>
      <c r="W133" s="180">
        <v>0</v>
      </c>
      <c r="X133" s="180"/>
      <c r="Y133" s="180">
        <v>27373</v>
      </c>
      <c r="Z133" s="180">
        <v>0</v>
      </c>
      <c r="AA133" s="180">
        <v>67215</v>
      </c>
      <c r="AB133" s="180">
        <v>874528</v>
      </c>
      <c r="AC133" s="180">
        <v>0</v>
      </c>
      <c r="AD133" s="180">
        <v>0</v>
      </c>
      <c r="AE133" s="180">
        <v>0</v>
      </c>
      <c r="AF133" s="180">
        <v>3028313</v>
      </c>
      <c r="AG133" s="180">
        <v>-297590</v>
      </c>
      <c r="AH133" s="180">
        <v>0</v>
      </c>
      <c r="AI133" s="180">
        <v>674926</v>
      </c>
      <c r="AJ133" s="180">
        <v>0</v>
      </c>
      <c r="AK133" s="180"/>
      <c r="AL133" s="180"/>
      <c r="AM133" s="180">
        <v>362147</v>
      </c>
      <c r="AN133" s="180">
        <v>0</v>
      </c>
      <c r="AO133" s="180">
        <v>0</v>
      </c>
      <c r="AP133" s="180">
        <v>0</v>
      </c>
      <c r="AQ133" s="180">
        <v>0</v>
      </c>
      <c r="AR133" s="180">
        <v>0</v>
      </c>
      <c r="AS133" s="180"/>
      <c r="AT133" s="180">
        <v>163405</v>
      </c>
      <c r="AU133" s="180">
        <v>0</v>
      </c>
      <c r="AV133" s="180">
        <v>0</v>
      </c>
      <c r="AW133" s="180">
        <v>0</v>
      </c>
      <c r="AX133" s="180">
        <v>0</v>
      </c>
      <c r="AY133" s="180">
        <v>0</v>
      </c>
      <c r="AZ133" s="180">
        <v>0</v>
      </c>
      <c r="BA133" s="180">
        <v>0</v>
      </c>
      <c r="BB133" s="180">
        <v>0</v>
      </c>
      <c r="BC133" s="180">
        <v>0</v>
      </c>
      <c r="BD133" s="180">
        <v>0</v>
      </c>
      <c r="BE133" s="180">
        <v>0</v>
      </c>
      <c r="BF133" s="180">
        <v>0</v>
      </c>
      <c r="BG133" s="180">
        <v>80991</v>
      </c>
      <c r="BH133" s="180">
        <v>0</v>
      </c>
      <c r="BI133" s="180">
        <v>0</v>
      </c>
      <c r="BJ133" s="180">
        <v>0</v>
      </c>
      <c r="BK133" s="180">
        <v>0</v>
      </c>
      <c r="BL133" s="180"/>
      <c r="BM133" s="180">
        <v>106000</v>
      </c>
      <c r="BN133" s="180">
        <v>287090</v>
      </c>
      <c r="BO133" s="180">
        <v>0</v>
      </c>
      <c r="BP133" s="180">
        <v>0</v>
      </c>
      <c r="BQ133" s="180">
        <v>0</v>
      </c>
      <c r="BR133" s="180">
        <v>71000</v>
      </c>
      <c r="BS133" s="180">
        <v>0</v>
      </c>
      <c r="BT133" s="180">
        <v>75000</v>
      </c>
      <c r="BU133" s="180">
        <v>0</v>
      </c>
      <c r="BV133" s="180">
        <v>0</v>
      </c>
      <c r="BW133" s="180">
        <v>67662</v>
      </c>
      <c r="BX133" s="180">
        <v>0</v>
      </c>
      <c r="BY133" s="180">
        <v>0</v>
      </c>
      <c r="BZ133" s="180">
        <v>794000</v>
      </c>
      <c r="CA133" s="180">
        <v>0</v>
      </c>
      <c r="CB133" s="180">
        <v>0</v>
      </c>
      <c r="CC133" s="180"/>
      <c r="CD133" s="180">
        <v>0</v>
      </c>
      <c r="CE133" s="180"/>
      <c r="CF133" s="180"/>
      <c r="CG133" s="180"/>
      <c r="CH133" s="180"/>
      <c r="CI133" s="180"/>
      <c r="CJ133" s="180"/>
      <c r="CK133" s="180"/>
      <c r="CL133" s="180"/>
      <c r="CM133" s="180"/>
      <c r="CN133" s="180"/>
      <c r="CO133" s="180"/>
      <c r="CP133" s="180"/>
      <c r="CQ133" s="180"/>
      <c r="CR133" s="180"/>
      <c r="CS133" s="180"/>
      <c r="CT133" s="180"/>
      <c r="CU133" s="180"/>
    </row>
    <row r="134" spans="1:99" x14ac:dyDescent="0.3">
      <c r="A134" s="155">
        <v>535</v>
      </c>
      <c r="B134" s="180" t="s">
        <v>244</v>
      </c>
      <c r="C134" s="180"/>
      <c r="D134" s="180"/>
      <c r="E134" s="180">
        <v>0</v>
      </c>
      <c r="F134" s="180">
        <v>0</v>
      </c>
      <c r="G134" s="180">
        <v>0</v>
      </c>
      <c r="H134" s="180">
        <v>0</v>
      </c>
      <c r="I134" s="180">
        <v>0</v>
      </c>
      <c r="J134" s="180">
        <v>0</v>
      </c>
      <c r="K134" s="180">
        <v>0</v>
      </c>
      <c r="L134" s="180">
        <v>0</v>
      </c>
      <c r="M134" s="180">
        <v>0</v>
      </c>
      <c r="N134" s="180">
        <v>0</v>
      </c>
      <c r="O134" s="180">
        <v>0</v>
      </c>
      <c r="P134" s="180">
        <v>0</v>
      </c>
      <c r="Q134" s="180">
        <v>10699142</v>
      </c>
      <c r="R134" s="180">
        <v>0</v>
      </c>
      <c r="S134" s="180">
        <v>0</v>
      </c>
      <c r="T134" s="180">
        <v>11634677</v>
      </c>
      <c r="U134" s="180">
        <v>0</v>
      </c>
      <c r="V134" s="180">
        <v>0</v>
      </c>
      <c r="W134" s="180">
        <v>19658764</v>
      </c>
      <c r="X134" s="180"/>
      <c r="Y134" s="180">
        <v>0</v>
      </c>
      <c r="Z134" s="180">
        <v>0</v>
      </c>
      <c r="AA134" s="180">
        <v>0</v>
      </c>
      <c r="AB134" s="180">
        <v>0</v>
      </c>
      <c r="AC134" s="180">
        <v>0</v>
      </c>
      <c r="AD134" s="180">
        <v>0</v>
      </c>
      <c r="AE134" s="180">
        <v>0</v>
      </c>
      <c r="AF134" s="180">
        <v>0</v>
      </c>
      <c r="AG134" s="180">
        <v>0</v>
      </c>
      <c r="AH134" s="180">
        <v>0</v>
      </c>
      <c r="AI134" s="180">
        <v>0</v>
      </c>
      <c r="AJ134" s="180">
        <v>0</v>
      </c>
      <c r="AK134" s="180"/>
      <c r="AL134" s="180"/>
      <c r="AM134" s="180">
        <v>2745107</v>
      </c>
      <c r="AN134" s="180">
        <v>0</v>
      </c>
      <c r="AO134" s="180">
        <v>0</v>
      </c>
      <c r="AP134" s="180">
        <v>0</v>
      </c>
      <c r="AQ134" s="180">
        <v>0</v>
      </c>
      <c r="AR134" s="180">
        <v>0</v>
      </c>
      <c r="AS134" s="180"/>
      <c r="AT134" s="180">
        <v>0</v>
      </c>
      <c r="AU134" s="180">
        <v>0</v>
      </c>
      <c r="AV134" s="180">
        <v>6345936</v>
      </c>
      <c r="AW134" s="180">
        <v>0</v>
      </c>
      <c r="AX134" s="180">
        <v>0</v>
      </c>
      <c r="AY134" s="180">
        <v>0</v>
      </c>
      <c r="AZ134" s="180">
        <v>0</v>
      </c>
      <c r="BA134" s="180">
        <v>0</v>
      </c>
      <c r="BB134" s="180">
        <v>1</v>
      </c>
      <c r="BC134" s="180">
        <v>0</v>
      </c>
      <c r="BD134" s="180">
        <v>0</v>
      </c>
      <c r="BE134" s="180">
        <v>0</v>
      </c>
      <c r="BF134" s="180">
        <v>1</v>
      </c>
      <c r="BG134" s="180">
        <v>0</v>
      </c>
      <c r="BH134" s="180">
        <v>0</v>
      </c>
      <c r="BI134" s="180">
        <v>0</v>
      </c>
      <c r="BJ134" s="180">
        <v>0</v>
      </c>
      <c r="BK134" s="180">
        <v>1</v>
      </c>
      <c r="BL134" s="180"/>
      <c r="BM134" s="180">
        <v>0</v>
      </c>
      <c r="BN134" s="180">
        <v>0</v>
      </c>
      <c r="BO134" s="180">
        <v>0</v>
      </c>
      <c r="BP134" s="180">
        <v>0</v>
      </c>
      <c r="BQ134" s="180">
        <v>0</v>
      </c>
      <c r="BR134" s="180">
        <v>23199</v>
      </c>
      <c r="BS134" s="180">
        <v>4023475</v>
      </c>
      <c r="BT134" s="180">
        <v>0</v>
      </c>
      <c r="BU134" s="180">
        <v>19500</v>
      </c>
      <c r="BV134" s="180">
        <v>0</v>
      </c>
      <c r="BW134" s="180">
        <v>0</v>
      </c>
      <c r="BX134" s="180">
        <v>0</v>
      </c>
      <c r="BY134" s="180">
        <v>0</v>
      </c>
      <c r="BZ134" s="180">
        <v>0</v>
      </c>
      <c r="CA134" s="180">
        <v>0</v>
      </c>
      <c r="CB134" s="180">
        <v>0</v>
      </c>
      <c r="CC134" s="180"/>
      <c r="CD134" s="180">
        <v>0</v>
      </c>
      <c r="CE134" s="180"/>
      <c r="CF134" s="180"/>
      <c r="CG134" s="180"/>
      <c r="CH134" s="180"/>
      <c r="CI134" s="180"/>
      <c r="CJ134" s="180"/>
      <c r="CK134" s="180"/>
      <c r="CL134" s="180"/>
      <c r="CM134" s="180"/>
      <c r="CN134" s="180"/>
      <c r="CO134" s="180"/>
      <c r="CP134" s="180"/>
      <c r="CQ134" s="180"/>
      <c r="CR134" s="180"/>
      <c r="CS134" s="180"/>
      <c r="CT134" s="180"/>
      <c r="CU134" s="180"/>
    </row>
    <row r="135" spans="1:99" x14ac:dyDescent="0.3">
      <c r="A135" s="155">
        <v>536</v>
      </c>
      <c r="B135" s="180" t="s">
        <v>190</v>
      </c>
      <c r="C135" s="180"/>
      <c r="D135" s="180"/>
      <c r="E135" s="180">
        <v>62879</v>
      </c>
      <c r="F135" s="180">
        <v>179414</v>
      </c>
      <c r="G135" s="180">
        <v>456285</v>
      </c>
      <c r="H135" s="180">
        <v>0</v>
      </c>
      <c r="I135" s="180">
        <v>0</v>
      </c>
      <c r="J135" s="180">
        <v>0</v>
      </c>
      <c r="K135" s="180">
        <v>0</v>
      </c>
      <c r="L135" s="180">
        <v>0</v>
      </c>
      <c r="M135" s="180">
        <v>1302136</v>
      </c>
      <c r="N135" s="180">
        <v>121365</v>
      </c>
      <c r="O135" s="180">
        <v>585007</v>
      </c>
      <c r="P135" s="180">
        <v>0</v>
      </c>
      <c r="Q135" s="180">
        <v>1965444</v>
      </c>
      <c r="R135" s="180">
        <v>47844</v>
      </c>
      <c r="S135" s="180">
        <v>0</v>
      </c>
      <c r="T135" s="180">
        <v>12673997</v>
      </c>
      <c r="U135" s="180">
        <v>143433</v>
      </c>
      <c r="V135" s="180">
        <v>2063312</v>
      </c>
      <c r="W135" s="180">
        <v>3090998</v>
      </c>
      <c r="X135" s="180"/>
      <c r="Y135" s="180">
        <v>1227005</v>
      </c>
      <c r="Z135" s="180">
        <v>68731</v>
      </c>
      <c r="AA135" s="180">
        <v>2277802</v>
      </c>
      <c r="AB135" s="180">
        <v>324159</v>
      </c>
      <c r="AC135" s="180">
        <v>85114</v>
      </c>
      <c r="AD135" s="180">
        <v>247308</v>
      </c>
      <c r="AE135" s="180">
        <v>262406</v>
      </c>
      <c r="AF135" s="180">
        <v>5480809</v>
      </c>
      <c r="AG135" s="180">
        <v>0</v>
      </c>
      <c r="AH135" s="180">
        <v>141653</v>
      </c>
      <c r="AI135" s="180">
        <v>929858</v>
      </c>
      <c r="AJ135" s="180">
        <v>174660</v>
      </c>
      <c r="AK135" s="180"/>
      <c r="AL135" s="180"/>
      <c r="AM135" s="180">
        <v>1089520</v>
      </c>
      <c r="AN135" s="180">
        <v>102255</v>
      </c>
      <c r="AO135" s="180">
        <v>68008</v>
      </c>
      <c r="AP135" s="180">
        <v>0</v>
      </c>
      <c r="AQ135" s="180">
        <v>34371</v>
      </c>
      <c r="AR135" s="180">
        <v>305805</v>
      </c>
      <c r="AS135" s="180"/>
      <c r="AT135" s="180">
        <v>805573</v>
      </c>
      <c r="AU135" s="180">
        <v>50228</v>
      </c>
      <c r="AV135" s="180">
        <v>3876152</v>
      </c>
      <c r="AW135" s="180">
        <v>843063</v>
      </c>
      <c r="AX135" s="180">
        <v>114159</v>
      </c>
      <c r="AY135" s="180">
        <v>221393</v>
      </c>
      <c r="AZ135" s="180">
        <v>51368</v>
      </c>
      <c r="BA135" s="180">
        <v>531751</v>
      </c>
      <c r="BB135" s="180">
        <v>0</v>
      </c>
      <c r="BC135" s="180">
        <v>3100</v>
      </c>
      <c r="BD135" s="180">
        <v>283324</v>
      </c>
      <c r="BE135" s="180">
        <v>64519</v>
      </c>
      <c r="BF135" s="180">
        <v>317</v>
      </c>
      <c r="BG135" s="180">
        <v>76034</v>
      </c>
      <c r="BH135" s="180">
        <v>0</v>
      </c>
      <c r="BI135" s="180">
        <v>43462</v>
      </c>
      <c r="BJ135" s="180">
        <v>26632</v>
      </c>
      <c r="BK135" s="180">
        <v>73203</v>
      </c>
      <c r="BL135" s="180"/>
      <c r="BM135" s="180">
        <v>107627</v>
      </c>
      <c r="BN135" s="180">
        <v>178244</v>
      </c>
      <c r="BO135" s="180">
        <v>201980</v>
      </c>
      <c r="BP135" s="180">
        <v>280291</v>
      </c>
      <c r="BQ135" s="180">
        <v>0</v>
      </c>
      <c r="BR135" s="180">
        <v>309739</v>
      </c>
      <c r="BS135" s="180">
        <v>469648</v>
      </c>
      <c r="BT135" s="180">
        <v>197493</v>
      </c>
      <c r="BU135" s="180">
        <v>556338</v>
      </c>
      <c r="BV135" s="180">
        <v>632678</v>
      </c>
      <c r="BW135" s="180">
        <v>16255</v>
      </c>
      <c r="BX135" s="180">
        <v>203440</v>
      </c>
      <c r="BY135" s="180">
        <v>145271</v>
      </c>
      <c r="BZ135" s="180">
        <v>36181</v>
      </c>
      <c r="CA135" s="180">
        <v>14756</v>
      </c>
      <c r="CB135" s="180">
        <v>102413</v>
      </c>
      <c r="CC135" s="180"/>
      <c r="CD135" s="180">
        <v>18800</v>
      </c>
      <c r="CE135" s="180"/>
      <c r="CF135" s="180"/>
      <c r="CG135" s="180"/>
      <c r="CH135" s="180"/>
      <c r="CI135" s="180"/>
      <c r="CJ135" s="180"/>
      <c r="CK135" s="180"/>
      <c r="CL135" s="180"/>
      <c r="CM135" s="180"/>
      <c r="CN135" s="180"/>
      <c r="CO135" s="180"/>
      <c r="CP135" s="180"/>
      <c r="CQ135" s="180"/>
      <c r="CR135" s="180"/>
      <c r="CS135" s="180"/>
      <c r="CT135" s="180"/>
      <c r="CU135" s="180"/>
    </row>
    <row r="136" spans="1:99" x14ac:dyDescent="0.3">
      <c r="A136" s="155">
        <v>537</v>
      </c>
      <c r="B136" s="180" t="s">
        <v>280</v>
      </c>
      <c r="C136" s="180"/>
      <c r="D136" s="180"/>
      <c r="E136" s="180">
        <v>2</v>
      </c>
      <c r="F136" s="180">
        <v>2</v>
      </c>
      <c r="G136" s="180">
        <v>0</v>
      </c>
      <c r="H136" s="180">
        <v>2</v>
      </c>
      <c r="I136" s="180">
        <v>0</v>
      </c>
      <c r="J136" s="180">
        <v>1</v>
      </c>
      <c r="K136" s="180">
        <v>0</v>
      </c>
      <c r="L136" s="180">
        <v>0</v>
      </c>
      <c r="M136" s="180">
        <v>0</v>
      </c>
      <c r="N136" s="180">
        <v>0</v>
      </c>
      <c r="O136" s="180">
        <v>2</v>
      </c>
      <c r="P136" s="180">
        <v>2</v>
      </c>
      <c r="Q136" s="180">
        <v>1</v>
      </c>
      <c r="R136" s="180">
        <v>2</v>
      </c>
      <c r="S136" s="180">
        <v>0</v>
      </c>
      <c r="T136" s="180">
        <v>2</v>
      </c>
      <c r="U136" s="180">
        <v>2</v>
      </c>
      <c r="V136" s="180">
        <v>2</v>
      </c>
      <c r="W136" s="180">
        <v>0</v>
      </c>
      <c r="X136" s="180"/>
      <c r="Y136" s="180">
        <v>2</v>
      </c>
      <c r="Z136" s="180">
        <v>2</v>
      </c>
      <c r="AA136" s="180">
        <v>1</v>
      </c>
      <c r="AB136" s="180">
        <v>2</v>
      </c>
      <c r="AC136" s="180">
        <v>2</v>
      </c>
      <c r="AD136" s="180">
        <v>2</v>
      </c>
      <c r="AE136" s="180">
        <v>1</v>
      </c>
      <c r="AF136" s="180">
        <v>2</v>
      </c>
      <c r="AG136" s="180">
        <v>2</v>
      </c>
      <c r="AH136" s="180">
        <v>0</v>
      </c>
      <c r="AI136" s="180">
        <v>2</v>
      </c>
      <c r="AJ136" s="180">
        <v>2</v>
      </c>
      <c r="AK136" s="180"/>
      <c r="AL136" s="180"/>
      <c r="AM136" s="180">
        <v>1</v>
      </c>
      <c r="AN136" s="180">
        <v>2</v>
      </c>
      <c r="AO136" s="180">
        <v>2</v>
      </c>
      <c r="AP136" s="180">
        <v>0</v>
      </c>
      <c r="AQ136" s="180">
        <v>2</v>
      </c>
      <c r="AR136" s="180">
        <v>2</v>
      </c>
      <c r="AS136" s="180"/>
      <c r="AT136" s="180">
        <v>1</v>
      </c>
      <c r="AU136" s="180">
        <v>0</v>
      </c>
      <c r="AV136" s="180">
        <v>2</v>
      </c>
      <c r="AW136" s="180">
        <v>2</v>
      </c>
      <c r="AX136" s="180">
        <v>2</v>
      </c>
      <c r="AY136" s="180">
        <v>2</v>
      </c>
      <c r="AZ136" s="180">
        <v>1</v>
      </c>
      <c r="BA136" s="180">
        <v>2</v>
      </c>
      <c r="BB136" s="180">
        <v>2</v>
      </c>
      <c r="BC136" s="180">
        <v>2</v>
      </c>
      <c r="BD136" s="180">
        <v>2</v>
      </c>
      <c r="BE136" s="180">
        <v>2</v>
      </c>
      <c r="BF136" s="180">
        <v>2</v>
      </c>
      <c r="BG136" s="180">
        <v>2</v>
      </c>
      <c r="BH136" s="180">
        <v>0</v>
      </c>
      <c r="BI136" s="180">
        <v>1</v>
      </c>
      <c r="BJ136" s="180">
        <v>0</v>
      </c>
      <c r="BK136" s="180">
        <v>2</v>
      </c>
      <c r="BL136" s="180"/>
      <c r="BM136" s="180">
        <v>1</v>
      </c>
      <c r="BN136" s="180">
        <v>2</v>
      </c>
      <c r="BO136" s="180">
        <v>2</v>
      </c>
      <c r="BP136" s="180">
        <v>1</v>
      </c>
      <c r="BQ136" s="180">
        <v>2</v>
      </c>
      <c r="BR136" s="180">
        <v>2</v>
      </c>
      <c r="BS136" s="180">
        <v>2</v>
      </c>
      <c r="BT136" s="180">
        <v>2</v>
      </c>
      <c r="BU136" s="180">
        <v>2</v>
      </c>
      <c r="BV136" s="180">
        <v>0</v>
      </c>
      <c r="BW136" s="180">
        <v>2</v>
      </c>
      <c r="BX136" s="180">
        <v>1</v>
      </c>
      <c r="BY136" s="180">
        <v>2</v>
      </c>
      <c r="BZ136" s="180">
        <v>1</v>
      </c>
      <c r="CA136" s="180">
        <v>1</v>
      </c>
      <c r="CB136" s="180">
        <v>1</v>
      </c>
      <c r="CC136" s="180"/>
      <c r="CD136" s="180">
        <v>2</v>
      </c>
      <c r="CE136" s="180"/>
      <c r="CF136" s="180"/>
      <c r="CG136" s="180"/>
      <c r="CH136" s="180"/>
      <c r="CI136" s="180"/>
      <c r="CJ136" s="180"/>
      <c r="CK136" s="180"/>
      <c r="CL136" s="180"/>
      <c r="CM136" s="180"/>
      <c r="CN136" s="180"/>
      <c r="CO136" s="180"/>
      <c r="CP136" s="180"/>
      <c r="CQ136" s="180"/>
      <c r="CR136" s="180"/>
      <c r="CS136" s="180"/>
      <c r="CT136" s="180"/>
      <c r="CU136" s="180"/>
    </row>
    <row r="137" spans="1:99" x14ac:dyDescent="0.3">
      <c r="A137" s="155">
        <v>538</v>
      </c>
      <c r="B137" s="180" t="s">
        <v>279</v>
      </c>
      <c r="C137" s="180"/>
      <c r="D137" s="180"/>
      <c r="E137" s="180">
        <v>2</v>
      </c>
      <c r="F137" s="180">
        <v>0</v>
      </c>
      <c r="G137" s="180">
        <v>0</v>
      </c>
      <c r="H137" s="180">
        <v>2</v>
      </c>
      <c r="I137" s="180">
        <v>0</v>
      </c>
      <c r="J137" s="180">
        <v>1</v>
      </c>
      <c r="K137" s="180">
        <v>0</v>
      </c>
      <c r="L137" s="180">
        <v>0</v>
      </c>
      <c r="M137" s="180">
        <v>0</v>
      </c>
      <c r="N137" s="180">
        <v>0</v>
      </c>
      <c r="O137" s="180">
        <v>2</v>
      </c>
      <c r="P137" s="180">
        <v>2</v>
      </c>
      <c r="Q137" s="180">
        <v>1</v>
      </c>
      <c r="R137" s="180">
        <v>1</v>
      </c>
      <c r="S137" s="180">
        <v>0</v>
      </c>
      <c r="T137" s="180">
        <v>2</v>
      </c>
      <c r="U137" s="180">
        <v>2</v>
      </c>
      <c r="V137" s="180">
        <v>2</v>
      </c>
      <c r="W137" s="180">
        <v>0</v>
      </c>
      <c r="X137" s="180"/>
      <c r="Y137" s="180">
        <v>2</v>
      </c>
      <c r="Z137" s="180">
        <v>1</v>
      </c>
      <c r="AA137" s="180">
        <v>1</v>
      </c>
      <c r="AB137" s="180">
        <v>2</v>
      </c>
      <c r="AC137" s="180">
        <v>2</v>
      </c>
      <c r="AD137" s="180">
        <v>2</v>
      </c>
      <c r="AE137" s="180">
        <v>2</v>
      </c>
      <c r="AF137" s="180">
        <v>2</v>
      </c>
      <c r="AG137" s="180">
        <v>2</v>
      </c>
      <c r="AH137" s="180">
        <v>0</v>
      </c>
      <c r="AI137" s="180">
        <v>2</v>
      </c>
      <c r="AJ137" s="180">
        <v>2</v>
      </c>
      <c r="AK137" s="180"/>
      <c r="AL137" s="180"/>
      <c r="AM137" s="180">
        <v>2</v>
      </c>
      <c r="AN137" s="180">
        <v>2</v>
      </c>
      <c r="AO137" s="180">
        <v>2</v>
      </c>
      <c r="AP137" s="180">
        <v>0</v>
      </c>
      <c r="AQ137" s="180">
        <v>2</v>
      </c>
      <c r="AR137" s="180">
        <v>2</v>
      </c>
      <c r="AS137" s="180"/>
      <c r="AT137" s="180">
        <v>2</v>
      </c>
      <c r="AU137" s="180">
        <v>0</v>
      </c>
      <c r="AV137" s="180">
        <v>2</v>
      </c>
      <c r="AW137" s="180">
        <v>2</v>
      </c>
      <c r="AX137" s="180">
        <v>2</v>
      </c>
      <c r="AY137" s="180">
        <v>2</v>
      </c>
      <c r="AZ137" s="180">
        <v>1</v>
      </c>
      <c r="BA137" s="180">
        <v>1</v>
      </c>
      <c r="BB137" s="180">
        <v>2</v>
      </c>
      <c r="BC137" s="180">
        <v>2</v>
      </c>
      <c r="BD137" s="180">
        <v>2</v>
      </c>
      <c r="BE137" s="180">
        <v>2</v>
      </c>
      <c r="BF137" s="180">
        <v>2</v>
      </c>
      <c r="BG137" s="180">
        <v>2</v>
      </c>
      <c r="BH137" s="180">
        <v>0</v>
      </c>
      <c r="BI137" s="180">
        <v>1</v>
      </c>
      <c r="BJ137" s="180">
        <v>0</v>
      </c>
      <c r="BK137" s="180">
        <v>2</v>
      </c>
      <c r="BL137" s="180"/>
      <c r="BM137" s="180">
        <v>1</v>
      </c>
      <c r="BN137" s="180">
        <v>1</v>
      </c>
      <c r="BO137" s="180">
        <v>2</v>
      </c>
      <c r="BP137" s="180">
        <v>2</v>
      </c>
      <c r="BQ137" s="180">
        <v>2</v>
      </c>
      <c r="BR137" s="180">
        <v>2</v>
      </c>
      <c r="BS137" s="180">
        <v>2</v>
      </c>
      <c r="BT137" s="180">
        <v>2</v>
      </c>
      <c r="BU137" s="180">
        <v>2</v>
      </c>
      <c r="BV137" s="180">
        <v>0</v>
      </c>
      <c r="BW137" s="180">
        <v>2</v>
      </c>
      <c r="BX137" s="180">
        <v>1</v>
      </c>
      <c r="BY137" s="180">
        <v>2</v>
      </c>
      <c r="BZ137" s="180">
        <v>1</v>
      </c>
      <c r="CA137" s="180">
        <v>2</v>
      </c>
      <c r="CB137" s="180">
        <v>2</v>
      </c>
      <c r="CC137" s="180"/>
      <c r="CD137" s="180">
        <v>2</v>
      </c>
      <c r="CE137" s="180"/>
      <c r="CF137" s="180"/>
      <c r="CG137" s="180"/>
      <c r="CH137" s="180"/>
      <c r="CI137" s="180"/>
      <c r="CJ137" s="180"/>
      <c r="CK137" s="180"/>
      <c r="CL137" s="180"/>
      <c r="CM137" s="180"/>
      <c r="CN137" s="180"/>
      <c r="CO137" s="180"/>
      <c r="CP137" s="180"/>
      <c r="CQ137" s="180"/>
      <c r="CR137" s="180"/>
      <c r="CS137" s="180"/>
      <c r="CT137" s="180"/>
      <c r="CU137" s="180"/>
    </row>
    <row r="138" spans="1:99" x14ac:dyDescent="0.3">
      <c r="A138" s="155">
        <v>540</v>
      </c>
      <c r="B138" s="180" t="s">
        <v>253</v>
      </c>
      <c r="C138" s="180"/>
      <c r="D138" s="180"/>
      <c r="E138" s="180">
        <v>0</v>
      </c>
      <c r="F138" s="180">
        <v>0</v>
      </c>
      <c r="G138" s="180">
        <v>0</v>
      </c>
      <c r="H138" s="180">
        <v>2803960</v>
      </c>
      <c r="I138" s="180">
        <v>0</v>
      </c>
      <c r="J138" s="180">
        <v>0</v>
      </c>
      <c r="K138" s="180">
        <v>0</v>
      </c>
      <c r="L138" s="180">
        <v>217593</v>
      </c>
      <c r="M138" s="180">
        <v>2369788</v>
      </c>
      <c r="N138" s="180">
        <v>0</v>
      </c>
      <c r="O138" s="180">
        <v>0</v>
      </c>
      <c r="P138" s="180">
        <v>0</v>
      </c>
      <c r="Q138" s="180">
        <v>3884073</v>
      </c>
      <c r="R138" s="180">
        <v>0</v>
      </c>
      <c r="S138" s="180">
        <v>0</v>
      </c>
      <c r="T138" s="180">
        <v>2315000</v>
      </c>
      <c r="U138" s="180">
        <v>1305293</v>
      </c>
      <c r="V138" s="180">
        <v>0</v>
      </c>
      <c r="W138" s="180">
        <v>1841400</v>
      </c>
      <c r="X138" s="180"/>
      <c r="Y138" s="180">
        <v>915000</v>
      </c>
      <c r="Z138" s="180">
        <v>381043</v>
      </c>
      <c r="AA138" s="180">
        <v>731000</v>
      </c>
      <c r="AB138" s="180">
        <v>0</v>
      </c>
      <c r="AC138" s="180">
        <v>50215</v>
      </c>
      <c r="AD138" s="180">
        <v>0</v>
      </c>
      <c r="AE138" s="180">
        <v>237100</v>
      </c>
      <c r="AF138" s="180">
        <v>3275000</v>
      </c>
      <c r="AG138" s="180">
        <v>0</v>
      </c>
      <c r="AH138" s="180">
        <v>0</v>
      </c>
      <c r="AI138" s="180">
        <v>0</v>
      </c>
      <c r="AJ138" s="180">
        <v>0</v>
      </c>
      <c r="AK138" s="180"/>
      <c r="AL138" s="180"/>
      <c r="AM138" s="180">
        <v>869140</v>
      </c>
      <c r="AN138" s="180">
        <v>0</v>
      </c>
      <c r="AO138" s="180">
        <v>0</v>
      </c>
      <c r="AP138" s="180">
        <v>0</v>
      </c>
      <c r="AQ138" s="180">
        <v>0</v>
      </c>
      <c r="AR138" s="180">
        <v>0</v>
      </c>
      <c r="AS138" s="180"/>
      <c r="AT138" s="180">
        <v>301710</v>
      </c>
      <c r="AU138" s="180">
        <v>13334</v>
      </c>
      <c r="AV138" s="180">
        <v>0</v>
      </c>
      <c r="AW138" s="180">
        <v>1473565</v>
      </c>
      <c r="AX138" s="180">
        <v>0</v>
      </c>
      <c r="AY138" s="180">
        <v>0</v>
      </c>
      <c r="AZ138" s="180">
        <v>0</v>
      </c>
      <c r="BA138" s="180">
        <v>0</v>
      </c>
      <c r="BB138" s="180">
        <v>0</v>
      </c>
      <c r="BC138" s="180">
        <v>0</v>
      </c>
      <c r="BD138" s="180">
        <v>230955</v>
      </c>
      <c r="BE138" s="180">
        <v>0</v>
      </c>
      <c r="BF138" s="180">
        <v>0</v>
      </c>
      <c r="BG138" s="180">
        <v>0</v>
      </c>
      <c r="BH138" s="180">
        <v>0</v>
      </c>
      <c r="BI138" s="180">
        <v>110028</v>
      </c>
      <c r="BJ138" s="180">
        <v>10789</v>
      </c>
      <c r="BK138" s="180">
        <v>210000</v>
      </c>
      <c r="BL138" s="180"/>
      <c r="BM138" s="180">
        <v>0</v>
      </c>
      <c r="BN138" s="180">
        <v>177000</v>
      </c>
      <c r="BO138" s="180">
        <v>0</v>
      </c>
      <c r="BP138" s="180">
        <v>365314</v>
      </c>
      <c r="BQ138" s="180">
        <v>0</v>
      </c>
      <c r="BR138" s="180">
        <v>0</v>
      </c>
      <c r="BS138" s="180">
        <v>0</v>
      </c>
      <c r="BT138" s="180">
        <v>69296</v>
      </c>
      <c r="BU138" s="180">
        <v>0</v>
      </c>
      <c r="BV138" s="180">
        <v>0</v>
      </c>
      <c r="BW138" s="180">
        <v>194177</v>
      </c>
      <c r="BX138" s="180">
        <v>0</v>
      </c>
      <c r="BY138" s="180">
        <v>0</v>
      </c>
      <c r="BZ138" s="180">
        <v>23215</v>
      </c>
      <c r="CA138" s="180">
        <v>0</v>
      </c>
      <c r="CB138" s="180">
        <v>0</v>
      </c>
      <c r="CC138" s="180"/>
      <c r="CD138" s="180">
        <v>0</v>
      </c>
      <c r="CE138" s="180"/>
      <c r="CF138" s="180"/>
      <c r="CG138" s="180"/>
      <c r="CH138" s="180"/>
      <c r="CI138" s="180"/>
      <c r="CJ138" s="180"/>
      <c r="CK138" s="180"/>
      <c r="CL138" s="180"/>
      <c r="CM138" s="180"/>
      <c r="CN138" s="180"/>
      <c r="CO138" s="180"/>
      <c r="CP138" s="180"/>
      <c r="CQ138" s="180"/>
      <c r="CR138" s="180"/>
      <c r="CS138" s="180"/>
      <c r="CT138" s="180"/>
      <c r="CU138" s="180"/>
    </row>
    <row r="139" spans="1:99" x14ac:dyDescent="0.3">
      <c r="A139" s="155">
        <v>541</v>
      </c>
      <c r="B139" s="180" t="s">
        <v>310</v>
      </c>
      <c r="C139" s="180"/>
      <c r="D139" s="180"/>
      <c r="E139" s="180">
        <v>0</v>
      </c>
      <c r="F139" s="180">
        <v>63421</v>
      </c>
      <c r="G139" s="180">
        <v>0</v>
      </c>
      <c r="H139" s="180">
        <v>0</v>
      </c>
      <c r="I139" s="180">
        <v>0</v>
      </c>
      <c r="J139" s="180">
        <v>6281</v>
      </c>
      <c r="K139" s="180">
        <v>0</v>
      </c>
      <c r="L139" s="180">
        <v>0</v>
      </c>
      <c r="M139" s="180">
        <v>0</v>
      </c>
      <c r="N139" s="180">
        <v>0</v>
      </c>
      <c r="O139" s="180">
        <v>1178782</v>
      </c>
      <c r="P139" s="180">
        <v>0</v>
      </c>
      <c r="Q139" s="180">
        <v>9714167</v>
      </c>
      <c r="R139" s="180">
        <v>16733</v>
      </c>
      <c r="S139" s="180">
        <v>0</v>
      </c>
      <c r="T139" s="180">
        <v>7189182</v>
      </c>
      <c r="U139" s="180">
        <v>906025</v>
      </c>
      <c r="V139" s="180">
        <v>1460221</v>
      </c>
      <c r="W139" s="180">
        <v>0</v>
      </c>
      <c r="X139" s="180"/>
      <c r="Y139" s="180">
        <v>1197607</v>
      </c>
      <c r="Z139" s="180">
        <v>130567</v>
      </c>
      <c r="AA139" s="180">
        <v>989627</v>
      </c>
      <c r="AB139" s="180">
        <v>709758</v>
      </c>
      <c r="AC139" s="180">
        <v>544831</v>
      </c>
      <c r="AD139" s="180">
        <v>14132</v>
      </c>
      <c r="AE139" s="180">
        <v>0</v>
      </c>
      <c r="AF139" s="180">
        <v>-556815</v>
      </c>
      <c r="AG139" s="180">
        <v>1841802</v>
      </c>
      <c r="AH139" s="180">
        <v>0</v>
      </c>
      <c r="AI139" s="180">
        <v>4266887</v>
      </c>
      <c r="AJ139" s="180">
        <v>2383</v>
      </c>
      <c r="AK139" s="180"/>
      <c r="AL139" s="180"/>
      <c r="AM139" s="180">
        <v>1303223</v>
      </c>
      <c r="AN139" s="180">
        <v>-61743</v>
      </c>
      <c r="AO139" s="180">
        <v>37368</v>
      </c>
      <c r="AP139" s="180">
        <v>0</v>
      </c>
      <c r="AQ139" s="180">
        <v>0</v>
      </c>
      <c r="AR139" s="180">
        <v>596778</v>
      </c>
      <c r="AS139" s="180"/>
      <c r="AT139" s="180">
        <v>565360</v>
      </c>
      <c r="AU139" s="180">
        <v>0</v>
      </c>
      <c r="AV139" s="180">
        <v>1746247</v>
      </c>
      <c r="AW139" s="180">
        <v>0</v>
      </c>
      <c r="AX139" s="180">
        <v>688900</v>
      </c>
      <c r="AY139" s="180">
        <v>540171</v>
      </c>
      <c r="AZ139" s="180">
        <v>37871</v>
      </c>
      <c r="BA139" s="180">
        <v>36242</v>
      </c>
      <c r="BB139" s="180">
        <v>0</v>
      </c>
      <c r="BC139" s="180">
        <v>12450</v>
      </c>
      <c r="BD139" s="180">
        <v>2375503</v>
      </c>
      <c r="BE139" s="180">
        <v>0</v>
      </c>
      <c r="BF139" s="180">
        <v>-33438</v>
      </c>
      <c r="BG139" s="180">
        <v>54361</v>
      </c>
      <c r="BH139" s="180">
        <v>0</v>
      </c>
      <c r="BI139" s="180">
        <v>43555</v>
      </c>
      <c r="BJ139" s="180">
        <v>0</v>
      </c>
      <c r="BK139" s="180">
        <v>-74770</v>
      </c>
      <c r="BL139" s="180"/>
      <c r="BM139" s="180">
        <v>-132484</v>
      </c>
      <c r="BN139" s="180">
        <v>122465</v>
      </c>
      <c r="BO139" s="180">
        <v>167013</v>
      </c>
      <c r="BP139" s="180">
        <v>140303</v>
      </c>
      <c r="BQ139" s="180">
        <v>0</v>
      </c>
      <c r="BR139" s="180">
        <v>245684</v>
      </c>
      <c r="BS139" s="180">
        <v>0</v>
      </c>
      <c r="BT139" s="180">
        <v>-11239</v>
      </c>
      <c r="BU139" s="180">
        <v>2382637</v>
      </c>
      <c r="BV139" s="180">
        <v>0</v>
      </c>
      <c r="BW139" s="180">
        <v>15484</v>
      </c>
      <c r="BX139" s="180">
        <v>135845</v>
      </c>
      <c r="BY139" s="180">
        <v>107</v>
      </c>
      <c r="BZ139" s="180">
        <v>-26990</v>
      </c>
      <c r="CA139" s="180">
        <v>16369</v>
      </c>
      <c r="CB139" s="180">
        <v>182784</v>
      </c>
      <c r="CC139" s="180"/>
      <c r="CD139" s="180">
        <v>0</v>
      </c>
      <c r="CE139" s="180"/>
      <c r="CF139" s="180"/>
      <c r="CG139" s="180"/>
      <c r="CH139" s="180"/>
      <c r="CI139" s="180"/>
      <c r="CJ139" s="180"/>
      <c r="CK139" s="180"/>
      <c r="CL139" s="180"/>
      <c r="CM139" s="180"/>
      <c r="CN139" s="180"/>
      <c r="CO139" s="180"/>
      <c r="CP139" s="180"/>
      <c r="CQ139" s="180"/>
      <c r="CR139" s="180"/>
      <c r="CS139" s="180"/>
      <c r="CT139" s="180"/>
      <c r="CU139" s="180"/>
    </row>
    <row r="140" spans="1:99" x14ac:dyDescent="0.3">
      <c r="A140" s="155">
        <v>542</v>
      </c>
      <c r="B140" s="180" t="s">
        <v>929</v>
      </c>
      <c r="C140" s="180"/>
      <c r="D140" s="180"/>
      <c r="E140" s="180">
        <v>0</v>
      </c>
      <c r="F140" s="180">
        <v>0</v>
      </c>
      <c r="G140" s="180">
        <v>0</v>
      </c>
      <c r="H140" s="180">
        <v>0</v>
      </c>
      <c r="I140" s="180">
        <v>0</v>
      </c>
      <c r="J140" s="180">
        <v>0</v>
      </c>
      <c r="K140" s="180">
        <v>0</v>
      </c>
      <c r="L140" s="180">
        <v>0</v>
      </c>
      <c r="M140" s="180">
        <v>0</v>
      </c>
      <c r="N140" s="180">
        <v>0</v>
      </c>
      <c r="O140" s="180">
        <v>0</v>
      </c>
      <c r="P140" s="180">
        <v>0</v>
      </c>
      <c r="Q140" s="180">
        <v>2495000</v>
      </c>
      <c r="R140" s="180">
        <v>0</v>
      </c>
      <c r="S140" s="180">
        <v>0</v>
      </c>
      <c r="T140" s="180">
        <v>4340984</v>
      </c>
      <c r="U140" s="180">
        <v>0</v>
      </c>
      <c r="V140" s="180">
        <v>0</v>
      </c>
      <c r="W140" s="180">
        <v>0</v>
      </c>
      <c r="X140" s="180"/>
      <c r="Y140" s="180">
        <v>1075750</v>
      </c>
      <c r="Z140" s="180">
        <v>270654</v>
      </c>
      <c r="AA140" s="180">
        <v>3295179</v>
      </c>
      <c r="AB140" s="180">
        <v>0</v>
      </c>
      <c r="AC140" s="180">
        <v>0</v>
      </c>
      <c r="AD140" s="180">
        <v>0</v>
      </c>
      <c r="AE140" s="180">
        <v>447900</v>
      </c>
      <c r="AF140" s="180">
        <v>312206</v>
      </c>
      <c r="AG140" s="180">
        <v>0</v>
      </c>
      <c r="AH140" s="180">
        <v>0</v>
      </c>
      <c r="AI140" s="180">
        <v>0</v>
      </c>
      <c r="AJ140" s="180">
        <v>0</v>
      </c>
      <c r="AK140" s="180"/>
      <c r="AL140" s="180"/>
      <c r="AM140" s="180">
        <v>54300</v>
      </c>
      <c r="AN140" s="180">
        <v>0</v>
      </c>
      <c r="AO140" s="180">
        <v>0</v>
      </c>
      <c r="AP140" s="180">
        <v>0</v>
      </c>
      <c r="AQ140" s="180">
        <v>0</v>
      </c>
      <c r="AR140" s="180">
        <v>0</v>
      </c>
      <c r="AS140" s="180"/>
      <c r="AT140" s="180">
        <v>0</v>
      </c>
      <c r="AU140" s="180">
        <v>0</v>
      </c>
      <c r="AV140" s="180">
        <v>2213895</v>
      </c>
      <c r="AW140" s="180">
        <v>0</v>
      </c>
      <c r="AX140" s="180">
        <v>0</v>
      </c>
      <c r="AY140" s="180">
        <v>0</v>
      </c>
      <c r="AZ140" s="180">
        <v>0</v>
      </c>
      <c r="BA140" s="180">
        <v>0</v>
      </c>
      <c r="BB140" s="180">
        <v>0</v>
      </c>
      <c r="BC140" s="180">
        <v>0</v>
      </c>
      <c r="BD140" s="180">
        <v>0</v>
      </c>
      <c r="BE140" s="180">
        <v>0</v>
      </c>
      <c r="BF140" s="180">
        <v>0</v>
      </c>
      <c r="BG140" s="180">
        <v>0</v>
      </c>
      <c r="BH140" s="180">
        <v>0</v>
      </c>
      <c r="BI140" s="180">
        <v>9445</v>
      </c>
      <c r="BJ140" s="180">
        <v>0</v>
      </c>
      <c r="BK140" s="180">
        <v>100000</v>
      </c>
      <c r="BL140" s="180"/>
      <c r="BM140" s="180">
        <v>0</v>
      </c>
      <c r="BN140" s="180">
        <v>175000</v>
      </c>
      <c r="BO140" s="180">
        <v>0</v>
      </c>
      <c r="BP140" s="180">
        <v>169378</v>
      </c>
      <c r="BQ140" s="180">
        <v>0</v>
      </c>
      <c r="BR140" s="180">
        <v>0</v>
      </c>
      <c r="BS140" s="180">
        <v>0</v>
      </c>
      <c r="BT140" s="180">
        <v>0</v>
      </c>
      <c r="BU140" s="180">
        <v>0</v>
      </c>
      <c r="BV140" s="180">
        <v>0</v>
      </c>
      <c r="BW140" s="180">
        <v>137254</v>
      </c>
      <c r="BX140" s="180">
        <v>0</v>
      </c>
      <c r="BY140" s="180">
        <v>0</v>
      </c>
      <c r="BZ140" s="180">
        <v>0</v>
      </c>
      <c r="CA140" s="180">
        <v>0</v>
      </c>
      <c r="CB140" s="180">
        <v>0</v>
      </c>
      <c r="CC140" s="180"/>
      <c r="CD140" s="180">
        <v>0</v>
      </c>
      <c r="CE140" s="180"/>
      <c r="CF140" s="180"/>
      <c r="CG140" s="180"/>
      <c r="CH140" s="180"/>
      <c r="CI140" s="180"/>
      <c r="CJ140" s="180"/>
      <c r="CK140" s="180"/>
      <c r="CL140" s="180"/>
      <c r="CM140" s="180"/>
      <c r="CN140" s="180"/>
      <c r="CO140" s="180"/>
      <c r="CP140" s="180"/>
      <c r="CQ140" s="180"/>
      <c r="CR140" s="180"/>
      <c r="CS140" s="180"/>
      <c r="CT140" s="180"/>
      <c r="CU140" s="180"/>
    </row>
    <row r="141" spans="1:99" x14ac:dyDescent="0.3">
      <c r="A141" s="155">
        <v>544</v>
      </c>
      <c r="B141" s="180" t="s">
        <v>52</v>
      </c>
      <c r="C141" s="180"/>
      <c r="D141" s="180"/>
      <c r="E141" s="180">
        <v>0</v>
      </c>
      <c r="F141" s="180">
        <v>0</v>
      </c>
      <c r="G141" s="180">
        <v>0</v>
      </c>
      <c r="H141" s="180">
        <v>0</v>
      </c>
      <c r="I141" s="180">
        <v>0</v>
      </c>
      <c r="J141" s="180">
        <v>0</v>
      </c>
      <c r="K141" s="180">
        <v>0</v>
      </c>
      <c r="L141" s="180">
        <v>0</v>
      </c>
      <c r="M141" s="180">
        <v>0</v>
      </c>
      <c r="N141" s="180">
        <v>0</v>
      </c>
      <c r="O141" s="180">
        <v>0</v>
      </c>
      <c r="P141" s="180">
        <v>0</v>
      </c>
      <c r="Q141" s="180">
        <v>0</v>
      </c>
      <c r="R141" s="180">
        <v>0</v>
      </c>
      <c r="S141" s="180">
        <v>0</v>
      </c>
      <c r="T141" s="180">
        <v>0</v>
      </c>
      <c r="U141" s="180">
        <v>0</v>
      </c>
      <c r="V141" s="180">
        <v>0</v>
      </c>
      <c r="W141" s="180">
        <v>0</v>
      </c>
      <c r="X141" s="180"/>
      <c r="Y141" s="180">
        <v>0</v>
      </c>
      <c r="Z141" s="180">
        <v>0</v>
      </c>
      <c r="AA141" s="180">
        <v>0</v>
      </c>
      <c r="AB141" s="180">
        <v>0</v>
      </c>
      <c r="AC141" s="180">
        <v>0</v>
      </c>
      <c r="AD141" s="180">
        <v>0</v>
      </c>
      <c r="AE141" s="180">
        <v>0</v>
      </c>
      <c r="AF141" s="180">
        <v>2.2499999999999999E-2</v>
      </c>
      <c r="AG141" s="180">
        <v>0</v>
      </c>
      <c r="AH141" s="180">
        <v>0</v>
      </c>
      <c r="AI141" s="180">
        <v>0</v>
      </c>
      <c r="AJ141" s="180">
        <v>0</v>
      </c>
      <c r="AK141" s="180"/>
      <c r="AL141" s="180"/>
      <c r="AM141" s="180">
        <v>0</v>
      </c>
      <c r="AN141" s="180">
        <v>0</v>
      </c>
      <c r="AO141" s="180">
        <v>0.02</v>
      </c>
      <c r="AP141" s="180">
        <v>0</v>
      </c>
      <c r="AQ141" s="180">
        <v>0</v>
      </c>
      <c r="AR141" s="180">
        <v>0</v>
      </c>
      <c r="AS141" s="180"/>
      <c r="AT141" s="180">
        <v>0</v>
      </c>
      <c r="AU141" s="180">
        <v>0</v>
      </c>
      <c r="AV141" s="180">
        <v>0</v>
      </c>
      <c r="AW141" s="180">
        <v>0</v>
      </c>
      <c r="AX141" s="180">
        <v>0</v>
      </c>
      <c r="AY141" s="180">
        <v>0</v>
      </c>
      <c r="AZ141" s="180">
        <v>0</v>
      </c>
      <c r="BA141" s="180">
        <v>0</v>
      </c>
      <c r="BB141" s="180">
        <v>0</v>
      </c>
      <c r="BC141" s="180">
        <v>0</v>
      </c>
      <c r="BD141" s="180">
        <v>0</v>
      </c>
      <c r="BE141" s="180">
        <v>0</v>
      </c>
      <c r="BF141" s="180">
        <v>0</v>
      </c>
      <c r="BG141" s="180">
        <v>0</v>
      </c>
      <c r="BH141" s="180">
        <v>0</v>
      </c>
      <c r="BI141" s="180">
        <v>0</v>
      </c>
      <c r="BJ141" s="180">
        <v>0</v>
      </c>
      <c r="BK141" s="180">
        <v>0</v>
      </c>
      <c r="BL141" s="180"/>
      <c r="BM141" s="180">
        <v>0</v>
      </c>
      <c r="BN141" s="180">
        <v>0</v>
      </c>
      <c r="BO141" s="180">
        <v>0.02</v>
      </c>
      <c r="BP141" s="180">
        <v>0</v>
      </c>
      <c r="BQ141" s="180">
        <v>0</v>
      </c>
      <c r="BR141" s="180">
        <v>0</v>
      </c>
      <c r="BS141" s="180">
        <v>0</v>
      </c>
      <c r="BT141" s="180">
        <v>0</v>
      </c>
      <c r="BU141" s="180">
        <v>0</v>
      </c>
      <c r="BV141" s="180">
        <v>0</v>
      </c>
      <c r="BW141" s="180">
        <v>0</v>
      </c>
      <c r="BX141" s="180">
        <v>0</v>
      </c>
      <c r="BY141" s="180">
        <v>0</v>
      </c>
      <c r="BZ141" s="180">
        <v>0</v>
      </c>
      <c r="CA141" s="180">
        <v>0</v>
      </c>
      <c r="CB141" s="180">
        <v>0</v>
      </c>
      <c r="CC141" s="180"/>
      <c r="CD141" s="180">
        <v>0</v>
      </c>
      <c r="CE141" s="180"/>
      <c r="CF141" s="180"/>
      <c r="CG141" s="180"/>
      <c r="CH141" s="180"/>
      <c r="CI141" s="180"/>
      <c r="CJ141" s="180"/>
      <c r="CK141" s="180"/>
      <c r="CL141" s="180"/>
      <c r="CM141" s="180"/>
      <c r="CN141" s="180"/>
      <c r="CO141" s="180"/>
      <c r="CP141" s="180"/>
      <c r="CQ141" s="180"/>
      <c r="CR141" s="180"/>
      <c r="CS141" s="180"/>
      <c r="CT141" s="180"/>
      <c r="CU141" s="180"/>
    </row>
    <row r="142" spans="1:99" s="568" customFormat="1" x14ac:dyDescent="0.3">
      <c r="A142" s="567">
        <v>545</v>
      </c>
      <c r="B142" s="568" t="s">
        <v>53</v>
      </c>
      <c r="E142" s="568">
        <v>0</v>
      </c>
      <c r="F142" s="568">
        <v>0</v>
      </c>
      <c r="G142" s="568">
        <v>0</v>
      </c>
      <c r="H142" s="568">
        <v>0</v>
      </c>
      <c r="I142" s="568">
        <v>0</v>
      </c>
      <c r="J142" s="568">
        <v>0</v>
      </c>
      <c r="K142" s="568">
        <v>0</v>
      </c>
      <c r="L142" s="568">
        <v>0</v>
      </c>
      <c r="M142" s="568">
        <v>0</v>
      </c>
      <c r="N142" s="568">
        <v>0</v>
      </c>
      <c r="O142" s="568">
        <v>0</v>
      </c>
      <c r="P142" s="568">
        <v>0</v>
      </c>
      <c r="Q142" s="568">
        <v>0</v>
      </c>
      <c r="R142" s="568">
        <v>0</v>
      </c>
      <c r="S142" s="568">
        <v>0</v>
      </c>
      <c r="T142" s="568">
        <v>0</v>
      </c>
      <c r="U142" s="568">
        <v>0</v>
      </c>
      <c r="V142" s="568">
        <v>0</v>
      </c>
      <c r="W142" s="568">
        <v>0</v>
      </c>
      <c r="Y142" s="568">
        <v>0</v>
      </c>
      <c r="Z142" s="568">
        <v>0</v>
      </c>
      <c r="AA142" s="568">
        <v>0</v>
      </c>
      <c r="AB142" s="568">
        <v>0</v>
      </c>
      <c r="AC142" s="568">
        <v>0</v>
      </c>
      <c r="AD142" s="568">
        <v>0</v>
      </c>
      <c r="AE142" s="568">
        <v>0.04</v>
      </c>
      <c r="AF142" s="568">
        <v>0</v>
      </c>
      <c r="AG142" s="568">
        <v>0</v>
      </c>
      <c r="AH142" s="568">
        <v>0</v>
      </c>
      <c r="AI142" s="568">
        <v>0</v>
      </c>
      <c r="AJ142" s="568">
        <v>0</v>
      </c>
      <c r="AM142" s="568">
        <v>0</v>
      </c>
      <c r="AN142" s="568">
        <v>0</v>
      </c>
      <c r="AO142" s="568">
        <v>0</v>
      </c>
      <c r="AP142" s="568">
        <v>0</v>
      </c>
      <c r="AQ142" s="568">
        <v>0</v>
      </c>
      <c r="AR142" s="568">
        <v>0</v>
      </c>
      <c r="AT142" s="568">
        <v>0</v>
      </c>
      <c r="AU142" s="568">
        <v>0</v>
      </c>
      <c r="AV142" s="568">
        <v>0</v>
      </c>
      <c r="AW142" s="568">
        <v>0</v>
      </c>
      <c r="AX142" s="568">
        <v>0</v>
      </c>
      <c r="AY142" s="568">
        <v>0</v>
      </c>
      <c r="AZ142" s="568">
        <v>0</v>
      </c>
      <c r="BA142" s="568">
        <v>0</v>
      </c>
      <c r="BB142" s="568">
        <v>0</v>
      </c>
      <c r="BC142" s="568">
        <v>0</v>
      </c>
      <c r="BD142" s="568">
        <v>0</v>
      </c>
      <c r="BE142" s="568">
        <v>0</v>
      </c>
      <c r="BF142" s="568">
        <v>0</v>
      </c>
      <c r="BG142" s="568">
        <v>0</v>
      </c>
      <c r="BH142" s="568">
        <v>0</v>
      </c>
      <c r="BI142" s="568">
        <v>0</v>
      </c>
      <c r="BJ142" s="568">
        <v>0</v>
      </c>
      <c r="BK142" s="568">
        <v>0</v>
      </c>
      <c r="BM142" s="568">
        <v>0</v>
      </c>
      <c r="BN142" s="568">
        <v>3.3</v>
      </c>
      <c r="BO142" s="568">
        <v>0</v>
      </c>
      <c r="BP142" s="568">
        <v>0</v>
      </c>
      <c r="BQ142" s="568">
        <v>1.4999999999999999E-2</v>
      </c>
      <c r="BR142" s="568">
        <v>0</v>
      </c>
      <c r="BS142" s="568">
        <v>0</v>
      </c>
      <c r="BT142" s="568">
        <v>0</v>
      </c>
      <c r="BU142" s="568">
        <v>0</v>
      </c>
      <c r="BV142" s="568">
        <v>0</v>
      </c>
      <c r="BW142" s="568">
        <v>0</v>
      </c>
      <c r="BX142" s="568">
        <v>0</v>
      </c>
      <c r="BY142" s="568">
        <v>0</v>
      </c>
      <c r="BZ142" s="568">
        <v>0</v>
      </c>
      <c r="CA142" s="568">
        <v>0</v>
      </c>
      <c r="CB142" s="568">
        <v>0</v>
      </c>
      <c r="CD142" s="568">
        <v>0</v>
      </c>
    </row>
    <row r="143" spans="1:99" x14ac:dyDescent="0.3">
      <c r="A143" s="155">
        <v>547</v>
      </c>
      <c r="B143" s="180" t="s">
        <v>931</v>
      </c>
      <c r="C143" s="180"/>
      <c r="D143" s="180"/>
      <c r="E143" s="180">
        <v>2</v>
      </c>
      <c r="F143" s="180">
        <v>2</v>
      </c>
      <c r="G143" s="180">
        <v>2</v>
      </c>
      <c r="H143" s="180">
        <v>2</v>
      </c>
      <c r="I143" s="180">
        <v>2</v>
      </c>
      <c r="J143" s="180">
        <v>2</v>
      </c>
      <c r="K143" s="180">
        <v>2</v>
      </c>
      <c r="L143" s="180">
        <v>2</v>
      </c>
      <c r="M143" s="180">
        <v>3</v>
      </c>
      <c r="N143" s="180">
        <v>2</v>
      </c>
      <c r="O143" s="180">
        <v>3</v>
      </c>
      <c r="P143" s="180">
        <v>2</v>
      </c>
      <c r="Q143" s="180">
        <v>3</v>
      </c>
      <c r="R143" s="180">
        <v>2</v>
      </c>
      <c r="S143" s="180">
        <v>2</v>
      </c>
      <c r="T143" s="180">
        <v>3</v>
      </c>
      <c r="U143" s="180">
        <v>3</v>
      </c>
      <c r="V143" s="180">
        <v>3</v>
      </c>
      <c r="W143" s="180">
        <v>3</v>
      </c>
      <c r="X143" s="180"/>
      <c r="Y143" s="180">
        <v>0</v>
      </c>
      <c r="Z143" s="180">
        <v>2</v>
      </c>
      <c r="AA143" s="180">
        <v>3</v>
      </c>
      <c r="AB143" s="180">
        <v>2</v>
      </c>
      <c r="AC143" s="180">
        <v>3</v>
      </c>
      <c r="AD143" s="180">
        <v>2</v>
      </c>
      <c r="AE143" s="180">
        <v>2</v>
      </c>
      <c r="AF143" s="180">
        <v>3</v>
      </c>
      <c r="AG143" s="180">
        <v>3</v>
      </c>
      <c r="AH143" s="180">
        <v>2</v>
      </c>
      <c r="AI143" s="180">
        <v>1</v>
      </c>
      <c r="AJ143" s="180">
        <v>2</v>
      </c>
      <c r="AK143" s="180"/>
      <c r="AL143" s="180"/>
      <c r="AM143" s="180">
        <v>3</v>
      </c>
      <c r="AN143" s="180">
        <v>2</v>
      </c>
      <c r="AO143" s="180">
        <v>2</v>
      </c>
      <c r="AP143" s="180">
        <v>2</v>
      </c>
      <c r="AQ143" s="180">
        <v>2</v>
      </c>
      <c r="AR143" s="180">
        <v>3</v>
      </c>
      <c r="AS143" s="180"/>
      <c r="AT143" s="180">
        <v>3</v>
      </c>
      <c r="AU143" s="180">
        <v>2</v>
      </c>
      <c r="AV143" s="180">
        <v>3</v>
      </c>
      <c r="AW143" s="180">
        <v>2</v>
      </c>
      <c r="AX143" s="180">
        <v>2</v>
      </c>
      <c r="AY143" s="180">
        <v>2</v>
      </c>
      <c r="AZ143" s="180">
        <v>2</v>
      </c>
      <c r="BA143" s="180">
        <v>2</v>
      </c>
      <c r="BB143" s="180">
        <v>2</v>
      </c>
      <c r="BC143" s="180">
        <v>2</v>
      </c>
      <c r="BD143" s="180">
        <v>3</v>
      </c>
      <c r="BE143" s="180">
        <v>2</v>
      </c>
      <c r="BF143" s="180">
        <v>2</v>
      </c>
      <c r="BG143" s="180">
        <v>0</v>
      </c>
      <c r="BH143" s="180">
        <v>2</v>
      </c>
      <c r="BI143" s="180">
        <v>2</v>
      </c>
      <c r="BJ143" s="180">
        <v>2</v>
      </c>
      <c r="BK143" s="180">
        <v>3</v>
      </c>
      <c r="BL143" s="180"/>
      <c r="BM143" s="180">
        <v>2</v>
      </c>
      <c r="BN143" s="180">
        <v>2</v>
      </c>
      <c r="BO143" s="180">
        <v>2</v>
      </c>
      <c r="BP143" s="180">
        <v>2</v>
      </c>
      <c r="BQ143" s="180">
        <v>2</v>
      </c>
      <c r="BR143" s="180">
        <v>3</v>
      </c>
      <c r="BS143" s="180">
        <v>3</v>
      </c>
      <c r="BT143" s="180">
        <v>3</v>
      </c>
      <c r="BU143" s="180">
        <v>3</v>
      </c>
      <c r="BV143" s="180">
        <v>0</v>
      </c>
      <c r="BW143" s="180">
        <v>0</v>
      </c>
      <c r="BX143" s="180">
        <v>3</v>
      </c>
      <c r="BY143" s="180">
        <v>2</v>
      </c>
      <c r="BZ143" s="180">
        <v>2</v>
      </c>
      <c r="CA143" s="180">
        <v>2</v>
      </c>
      <c r="CB143" s="180">
        <v>2</v>
      </c>
      <c r="CC143" s="180"/>
      <c r="CD143" s="180">
        <v>2</v>
      </c>
      <c r="CE143" s="180"/>
      <c r="CF143" s="180"/>
      <c r="CG143" s="180"/>
      <c r="CH143" s="180"/>
      <c r="CI143" s="180"/>
      <c r="CJ143" s="180"/>
      <c r="CK143" s="180"/>
      <c r="CL143" s="180"/>
      <c r="CM143" s="180"/>
      <c r="CN143" s="180"/>
      <c r="CO143" s="180"/>
      <c r="CP143" s="180"/>
      <c r="CQ143" s="180"/>
      <c r="CR143" s="180"/>
      <c r="CS143" s="180"/>
      <c r="CT143" s="180"/>
      <c r="CU143" s="180"/>
    </row>
    <row r="144" spans="1:99" s="555" customFormat="1" x14ac:dyDescent="0.3">
      <c r="A144" s="558">
        <v>554</v>
      </c>
      <c r="B144" s="555" t="s">
        <v>320</v>
      </c>
      <c r="M144" s="555">
        <v>351245</v>
      </c>
      <c r="O144" s="555">
        <v>736868</v>
      </c>
      <c r="Q144" s="555">
        <v>6754071</v>
      </c>
      <c r="T144" s="555">
        <v>4716396</v>
      </c>
      <c r="U144" s="555">
        <v>966878</v>
      </c>
      <c r="V144" s="555">
        <v>1683055</v>
      </c>
      <c r="W144" s="555">
        <v>4210429</v>
      </c>
      <c r="Y144" s="555">
        <v>39787</v>
      </c>
      <c r="AA144" s="555">
        <v>2773385</v>
      </c>
      <c r="AB144" s="555">
        <v>2227774</v>
      </c>
      <c r="AF144" s="555">
        <v>935385</v>
      </c>
      <c r="AI144" s="555">
        <v>2789671</v>
      </c>
      <c r="AM144" s="555">
        <v>1295264</v>
      </c>
      <c r="AQ144" s="555">
        <v>3707522</v>
      </c>
      <c r="AR144" s="555">
        <v>2682654</v>
      </c>
      <c r="AT144" s="555">
        <v>1309050</v>
      </c>
      <c r="AV144" s="555">
        <v>7622749</v>
      </c>
      <c r="AY144" s="555">
        <v>420150</v>
      </c>
      <c r="BD144" s="555">
        <v>852311</v>
      </c>
      <c r="BG144" s="555">
        <v>1286818</v>
      </c>
      <c r="BK144" s="555">
        <v>671740</v>
      </c>
      <c r="BM144" s="555">
        <v>224342</v>
      </c>
      <c r="BQ144" s="555">
        <v>19132</v>
      </c>
      <c r="BR144" s="555">
        <v>11000</v>
      </c>
      <c r="BZ144" s="555">
        <v>346112</v>
      </c>
      <c r="CB144" s="555">
        <v>1779</v>
      </c>
    </row>
    <row r="145" spans="1:99" s="555" customFormat="1" x14ac:dyDescent="0.3">
      <c r="A145" s="558">
        <v>555</v>
      </c>
      <c r="B145" s="555" t="s">
        <v>321</v>
      </c>
      <c r="M145" s="555">
        <v>0</v>
      </c>
      <c r="O145" s="555">
        <v>484397</v>
      </c>
      <c r="Q145" s="555">
        <v>5663254</v>
      </c>
      <c r="T145" s="555">
        <v>3980749</v>
      </c>
      <c r="U145" s="555">
        <v>449523</v>
      </c>
      <c r="V145" s="555">
        <v>1003654</v>
      </c>
      <c r="W145" s="555">
        <v>4210429</v>
      </c>
      <c r="Y145" s="555">
        <v>0</v>
      </c>
      <c r="AA145" s="555">
        <v>2768953</v>
      </c>
      <c r="AB145" s="555">
        <v>1929998</v>
      </c>
      <c r="AF145" s="555">
        <v>474062</v>
      </c>
      <c r="AI145" s="555">
        <v>2048150</v>
      </c>
      <c r="AM145" s="555">
        <v>776101</v>
      </c>
      <c r="AQ145" s="555">
        <v>3656713</v>
      </c>
      <c r="AR145" s="555">
        <v>2102654</v>
      </c>
      <c r="AT145" s="555">
        <v>1309050</v>
      </c>
      <c r="AV145" s="555">
        <v>7545971</v>
      </c>
      <c r="AY145" s="555">
        <v>0</v>
      </c>
      <c r="BD145" s="555">
        <v>462040</v>
      </c>
      <c r="BG145" s="555">
        <v>955637</v>
      </c>
      <c r="BK145" s="555">
        <v>0</v>
      </c>
      <c r="BM145" s="555">
        <v>0</v>
      </c>
      <c r="BQ145" s="555">
        <v>0</v>
      </c>
      <c r="BR145" s="555">
        <v>0</v>
      </c>
      <c r="BZ145" s="555">
        <v>0</v>
      </c>
      <c r="CB145" s="555">
        <v>0</v>
      </c>
    </row>
    <row r="146" spans="1:99" s="555" customFormat="1" x14ac:dyDescent="0.3">
      <c r="A146" s="558">
        <v>556</v>
      </c>
      <c r="B146" s="555" t="s">
        <v>322</v>
      </c>
      <c r="M146" s="555">
        <v>602216</v>
      </c>
      <c r="O146" s="555">
        <v>170308</v>
      </c>
      <c r="Q146" s="555">
        <v>879861</v>
      </c>
      <c r="T146" s="555">
        <v>1130644</v>
      </c>
      <c r="U146" s="555">
        <v>38652</v>
      </c>
      <c r="V146" s="555">
        <v>410828</v>
      </c>
      <c r="W146" s="555">
        <v>1369163</v>
      </c>
      <c r="Y146" s="555">
        <v>1219897</v>
      </c>
      <c r="AA146" s="555">
        <v>1230118</v>
      </c>
      <c r="AB146" s="555">
        <v>3031163</v>
      </c>
      <c r="AF146" s="555">
        <v>144434</v>
      </c>
      <c r="AI146" s="555">
        <v>2385250</v>
      </c>
      <c r="AM146" s="555">
        <v>1378796</v>
      </c>
      <c r="AQ146" s="555">
        <v>1745271</v>
      </c>
      <c r="AR146" s="555">
        <v>172195</v>
      </c>
      <c r="AT146" s="555">
        <v>3040764</v>
      </c>
      <c r="AV146" s="555">
        <v>3552689</v>
      </c>
      <c r="AY146" s="555">
        <v>15114858</v>
      </c>
      <c r="BD146" s="555">
        <v>8012271</v>
      </c>
      <c r="BG146" s="555">
        <v>330881</v>
      </c>
      <c r="BK146" s="555">
        <v>1073084</v>
      </c>
      <c r="BM146" s="555">
        <v>4160641</v>
      </c>
      <c r="BQ146" s="555">
        <v>570182</v>
      </c>
      <c r="BR146" s="555">
        <v>624329</v>
      </c>
      <c r="BZ146" s="555">
        <v>1084246</v>
      </c>
      <c r="CB146" s="555">
        <v>1333149</v>
      </c>
    </row>
    <row r="147" spans="1:99" s="555" customFormat="1" x14ac:dyDescent="0.3">
      <c r="A147" s="558">
        <v>557</v>
      </c>
      <c r="B147" s="555" t="s">
        <v>323</v>
      </c>
      <c r="M147" s="555">
        <v>602216</v>
      </c>
      <c r="O147" s="555">
        <v>0</v>
      </c>
      <c r="Q147" s="555">
        <v>410063</v>
      </c>
      <c r="T147" s="555">
        <v>635389</v>
      </c>
      <c r="U147" s="555">
        <v>0</v>
      </c>
      <c r="V147" s="555">
        <v>0</v>
      </c>
      <c r="W147" s="555">
        <v>1360403</v>
      </c>
      <c r="Y147" s="555">
        <v>545000</v>
      </c>
      <c r="AA147" s="555">
        <v>800000</v>
      </c>
      <c r="AB147" s="555">
        <v>2934617</v>
      </c>
      <c r="AF147" s="555">
        <v>0</v>
      </c>
      <c r="AI147" s="555">
        <v>1791141</v>
      </c>
      <c r="AM147" s="555">
        <v>1100208</v>
      </c>
      <c r="AQ147" s="555">
        <v>1218904</v>
      </c>
      <c r="AR147" s="555">
        <v>0</v>
      </c>
      <c r="AT147" s="555">
        <v>2924984</v>
      </c>
      <c r="AV147" s="555">
        <v>2515324</v>
      </c>
      <c r="AY147" s="555">
        <v>14919687</v>
      </c>
      <c r="BD147" s="555">
        <v>7814842</v>
      </c>
      <c r="BG147" s="555">
        <v>0</v>
      </c>
      <c r="BK147" s="555">
        <v>600000</v>
      </c>
      <c r="BM147" s="555">
        <v>3816683</v>
      </c>
      <c r="BQ147" s="555">
        <v>568939</v>
      </c>
      <c r="BR147" s="555">
        <v>519373</v>
      </c>
      <c r="BZ147" s="555">
        <v>964537</v>
      </c>
      <c r="CB147" s="555">
        <v>1239951</v>
      </c>
    </row>
    <row r="148" spans="1:99" x14ac:dyDescent="0.3">
      <c r="A148" s="155">
        <v>575</v>
      </c>
      <c r="B148" s="180" t="s">
        <v>302</v>
      </c>
      <c r="C148" s="180"/>
      <c r="D148" s="180"/>
      <c r="E148" s="180">
        <v>0</v>
      </c>
      <c r="F148" s="180">
        <v>0</v>
      </c>
      <c r="G148" s="180">
        <v>0</v>
      </c>
      <c r="H148" s="180">
        <v>0</v>
      </c>
      <c r="I148" s="180">
        <v>0</v>
      </c>
      <c r="J148" s="180">
        <v>0</v>
      </c>
      <c r="K148" s="180">
        <v>0</v>
      </c>
      <c r="L148" s="180">
        <v>0</v>
      </c>
      <c r="M148" s="180">
        <v>0</v>
      </c>
      <c r="N148" s="180">
        <v>0</v>
      </c>
      <c r="O148" s="180">
        <v>50000</v>
      </c>
      <c r="P148" s="180">
        <v>0</v>
      </c>
      <c r="Q148" s="180">
        <v>0</v>
      </c>
      <c r="R148" s="180">
        <v>0</v>
      </c>
      <c r="S148" s="180">
        <v>0</v>
      </c>
      <c r="T148" s="180">
        <v>0</v>
      </c>
      <c r="U148" s="180">
        <v>0</v>
      </c>
      <c r="V148" s="180">
        <v>0</v>
      </c>
      <c r="W148" s="180">
        <v>0</v>
      </c>
      <c r="X148" s="180"/>
      <c r="Y148" s="180">
        <v>0</v>
      </c>
      <c r="Z148" s="180">
        <v>0</v>
      </c>
      <c r="AA148" s="180">
        <v>0</v>
      </c>
      <c r="AB148" s="180">
        <v>281887</v>
      </c>
      <c r="AC148" s="180">
        <v>177722</v>
      </c>
      <c r="AD148" s="180">
        <v>0</v>
      </c>
      <c r="AE148" s="180">
        <v>0</v>
      </c>
      <c r="AF148" s="180">
        <v>0</v>
      </c>
      <c r="AG148" s="180">
        <v>263560</v>
      </c>
      <c r="AH148" s="180">
        <v>0</v>
      </c>
      <c r="AI148" s="180">
        <v>0</v>
      </c>
      <c r="AJ148" s="180">
        <v>29371</v>
      </c>
      <c r="AK148" s="180"/>
      <c r="AL148" s="180"/>
      <c r="AM148" s="180">
        <v>0</v>
      </c>
      <c r="AN148" s="180">
        <v>0</v>
      </c>
      <c r="AO148" s="180">
        <v>4195</v>
      </c>
      <c r="AP148" s="180">
        <v>0</v>
      </c>
      <c r="AQ148" s="180">
        <v>0</v>
      </c>
      <c r="AR148" s="180">
        <v>0</v>
      </c>
      <c r="AS148" s="180"/>
      <c r="AT148" s="180">
        <v>0</v>
      </c>
      <c r="AU148" s="180">
        <v>0</v>
      </c>
      <c r="AV148" s="180">
        <v>0</v>
      </c>
      <c r="AW148" s="180">
        <v>0</v>
      </c>
      <c r="AX148" s="180">
        <v>0</v>
      </c>
      <c r="AY148" s="180">
        <v>67034</v>
      </c>
      <c r="AZ148" s="180">
        <v>0</v>
      </c>
      <c r="BA148" s="180">
        <v>25950</v>
      </c>
      <c r="BB148" s="180">
        <v>0</v>
      </c>
      <c r="BC148" s="180">
        <v>4217</v>
      </c>
      <c r="BD148" s="180">
        <v>0</v>
      </c>
      <c r="BE148" s="180">
        <v>0</v>
      </c>
      <c r="BF148" s="180">
        <v>72744</v>
      </c>
      <c r="BG148" s="180">
        <v>0</v>
      </c>
      <c r="BH148" s="180">
        <v>0</v>
      </c>
      <c r="BI148" s="180">
        <v>0</v>
      </c>
      <c r="BJ148" s="180">
        <v>0</v>
      </c>
      <c r="BK148" s="180">
        <v>0</v>
      </c>
      <c r="BL148" s="180"/>
      <c r="BM148" s="180">
        <v>58804</v>
      </c>
      <c r="BN148" s="180">
        <v>0</v>
      </c>
      <c r="BO148" s="180">
        <v>0</v>
      </c>
      <c r="BP148" s="180">
        <v>0</v>
      </c>
      <c r="BQ148" s="180">
        <v>0</v>
      </c>
      <c r="BR148" s="180">
        <v>0</v>
      </c>
      <c r="BS148" s="180">
        <v>0</v>
      </c>
      <c r="BT148" s="180">
        <v>3759</v>
      </c>
      <c r="BU148" s="180">
        <v>0</v>
      </c>
      <c r="BV148" s="180">
        <v>0</v>
      </c>
      <c r="BW148" s="180">
        <v>45437</v>
      </c>
      <c r="BX148" s="180">
        <v>0</v>
      </c>
      <c r="BY148" s="180">
        <v>17470</v>
      </c>
      <c r="BZ148" s="180">
        <v>586520</v>
      </c>
      <c r="CA148" s="180">
        <v>0</v>
      </c>
      <c r="CB148" s="180">
        <v>0</v>
      </c>
      <c r="CC148" s="180"/>
      <c r="CD148" s="180">
        <v>0</v>
      </c>
      <c r="CE148" s="180"/>
      <c r="CF148" s="180"/>
      <c r="CG148" s="180"/>
      <c r="CH148" s="180"/>
      <c r="CI148" s="180"/>
      <c r="CJ148" s="180"/>
      <c r="CK148" s="180"/>
      <c r="CL148" s="180"/>
      <c r="CM148" s="180"/>
      <c r="CN148" s="180"/>
      <c r="CO148" s="180"/>
      <c r="CP148" s="180"/>
      <c r="CQ148" s="180"/>
      <c r="CR148" s="180"/>
      <c r="CS148" s="180"/>
      <c r="CT148" s="180"/>
      <c r="CU148" s="180"/>
    </row>
    <row r="149" spans="1:99" x14ac:dyDescent="0.3">
      <c r="A149" s="155">
        <v>576</v>
      </c>
      <c r="B149" s="180" t="s">
        <v>303</v>
      </c>
      <c r="C149" s="180"/>
      <c r="D149" s="180"/>
      <c r="E149" s="180">
        <v>0</v>
      </c>
      <c r="F149" s="180">
        <v>0</v>
      </c>
      <c r="G149" s="180">
        <v>0</v>
      </c>
      <c r="H149" s="180">
        <v>0</v>
      </c>
      <c r="I149" s="180">
        <v>0</v>
      </c>
      <c r="J149" s="180">
        <v>0</v>
      </c>
      <c r="K149" s="180">
        <v>0</v>
      </c>
      <c r="L149" s="180">
        <v>0</v>
      </c>
      <c r="M149" s="180">
        <v>0</v>
      </c>
      <c r="N149" s="180">
        <v>0</v>
      </c>
      <c r="O149" s="180">
        <v>0</v>
      </c>
      <c r="P149" s="180">
        <v>0</v>
      </c>
      <c r="Q149" s="180">
        <v>796323</v>
      </c>
      <c r="R149" s="180">
        <v>0</v>
      </c>
      <c r="S149" s="180">
        <v>0</v>
      </c>
      <c r="T149" s="180">
        <v>0</v>
      </c>
      <c r="U149" s="180">
        <v>0</v>
      </c>
      <c r="V149" s="180">
        <v>0</v>
      </c>
      <c r="W149" s="180">
        <v>0</v>
      </c>
      <c r="X149" s="180"/>
      <c r="Y149" s="180">
        <v>113952</v>
      </c>
      <c r="Z149" s="180">
        <v>0</v>
      </c>
      <c r="AA149" s="180">
        <v>0</v>
      </c>
      <c r="AB149" s="180">
        <v>0</v>
      </c>
      <c r="AC149" s="180">
        <v>0</v>
      </c>
      <c r="AD149" s="180">
        <v>0</v>
      </c>
      <c r="AE149" s="180">
        <v>0</v>
      </c>
      <c r="AF149" s="180">
        <v>0</v>
      </c>
      <c r="AG149" s="180">
        <v>0</v>
      </c>
      <c r="AH149" s="180">
        <v>0</v>
      </c>
      <c r="AI149" s="180">
        <v>1258523</v>
      </c>
      <c r="AJ149" s="180">
        <v>0</v>
      </c>
      <c r="AK149" s="180"/>
      <c r="AL149" s="180"/>
      <c r="AM149" s="180">
        <v>25271</v>
      </c>
      <c r="AN149" s="180">
        <v>15695</v>
      </c>
      <c r="AO149" s="180">
        <v>0</v>
      </c>
      <c r="AP149" s="180">
        <v>0</v>
      </c>
      <c r="AQ149" s="180">
        <v>0</v>
      </c>
      <c r="AR149" s="180">
        <v>0</v>
      </c>
      <c r="AS149" s="180"/>
      <c r="AT149" s="180">
        <v>0</v>
      </c>
      <c r="AU149" s="180">
        <v>4046</v>
      </c>
      <c r="AV149" s="180">
        <v>0</v>
      </c>
      <c r="AW149" s="180">
        <v>0</v>
      </c>
      <c r="AX149" s="180">
        <v>0</v>
      </c>
      <c r="AY149" s="180">
        <v>0</v>
      </c>
      <c r="AZ149" s="180">
        <v>0</v>
      </c>
      <c r="BA149" s="180">
        <v>0</v>
      </c>
      <c r="BB149" s="180">
        <v>0</v>
      </c>
      <c r="BC149" s="180">
        <v>0</v>
      </c>
      <c r="BD149" s="180">
        <v>0</v>
      </c>
      <c r="BE149" s="180">
        <v>0</v>
      </c>
      <c r="BF149" s="180">
        <v>0</v>
      </c>
      <c r="BG149" s="180">
        <v>0</v>
      </c>
      <c r="BH149" s="180">
        <v>0</v>
      </c>
      <c r="BI149" s="180">
        <v>0</v>
      </c>
      <c r="BJ149" s="180">
        <v>0</v>
      </c>
      <c r="BK149" s="180">
        <v>0</v>
      </c>
      <c r="BL149" s="180"/>
      <c r="BM149" s="180">
        <v>0</v>
      </c>
      <c r="BN149" s="180">
        <v>0</v>
      </c>
      <c r="BO149" s="180">
        <v>24089</v>
      </c>
      <c r="BP149" s="180">
        <v>0</v>
      </c>
      <c r="BQ149" s="180">
        <v>0</v>
      </c>
      <c r="BR149" s="180">
        <v>32063</v>
      </c>
      <c r="BS149" s="180">
        <v>0</v>
      </c>
      <c r="BT149" s="180">
        <v>0</v>
      </c>
      <c r="BU149" s="180">
        <v>0</v>
      </c>
      <c r="BV149" s="180">
        <v>0</v>
      </c>
      <c r="BW149" s="180">
        <v>0</v>
      </c>
      <c r="BX149" s="180">
        <v>0</v>
      </c>
      <c r="BY149" s="180">
        <v>0</v>
      </c>
      <c r="BZ149" s="180">
        <v>0</v>
      </c>
      <c r="CA149" s="180">
        <v>3988</v>
      </c>
      <c r="CB149" s="180">
        <v>0</v>
      </c>
      <c r="CC149" s="180"/>
      <c r="CD149" s="180">
        <v>23558</v>
      </c>
      <c r="CE149" s="180"/>
      <c r="CF149" s="180"/>
      <c r="CG149" s="180"/>
      <c r="CH149" s="180"/>
      <c r="CI149" s="180"/>
      <c r="CJ149" s="180"/>
      <c r="CK149" s="180"/>
      <c r="CL149" s="180"/>
      <c r="CM149" s="180"/>
      <c r="CN149" s="180"/>
      <c r="CO149" s="180"/>
      <c r="CP149" s="180"/>
      <c r="CQ149" s="180"/>
      <c r="CR149" s="180"/>
      <c r="CS149" s="180"/>
      <c r="CT149" s="180"/>
      <c r="CU149" s="180"/>
    </row>
    <row r="150" spans="1:99" s="568" customFormat="1" x14ac:dyDescent="0.3">
      <c r="A150" s="567">
        <v>577</v>
      </c>
      <c r="B150" s="568" t="s">
        <v>944</v>
      </c>
      <c r="E150" s="568">
        <v>2</v>
      </c>
      <c r="F150" s="568">
        <v>0</v>
      </c>
      <c r="G150" s="568">
        <v>2</v>
      </c>
      <c r="H150" s="568">
        <v>0</v>
      </c>
      <c r="I150" s="568">
        <v>2</v>
      </c>
      <c r="J150" s="568">
        <v>2</v>
      </c>
      <c r="K150" s="568">
        <v>0</v>
      </c>
      <c r="L150" s="568">
        <v>2</v>
      </c>
      <c r="M150" s="568">
        <v>2</v>
      </c>
      <c r="N150" s="568">
        <v>2</v>
      </c>
      <c r="O150" s="568">
        <v>2</v>
      </c>
      <c r="P150" s="568">
        <v>2</v>
      </c>
      <c r="Q150" s="568">
        <v>2</v>
      </c>
      <c r="R150" s="568">
        <v>2</v>
      </c>
      <c r="S150" s="568">
        <v>0</v>
      </c>
      <c r="T150" s="568">
        <v>2</v>
      </c>
      <c r="U150" s="568">
        <v>2</v>
      </c>
      <c r="V150" s="568">
        <v>2</v>
      </c>
      <c r="W150" s="568">
        <v>2</v>
      </c>
      <c r="Y150" s="568">
        <v>1</v>
      </c>
      <c r="Z150" s="568">
        <v>2</v>
      </c>
      <c r="AA150" s="568">
        <v>2</v>
      </c>
      <c r="AB150" s="568">
        <v>2</v>
      </c>
      <c r="AC150" s="568">
        <v>2</v>
      </c>
      <c r="AD150" s="568">
        <v>2</v>
      </c>
      <c r="AE150" s="568">
        <v>2</v>
      </c>
      <c r="AF150" s="568">
        <v>2</v>
      </c>
      <c r="AG150" s="568">
        <v>2</v>
      </c>
      <c r="AH150" s="568">
        <v>2</v>
      </c>
      <c r="AI150" s="568">
        <v>2</v>
      </c>
      <c r="AJ150" s="568">
        <v>2</v>
      </c>
      <c r="AM150" s="568">
        <v>2</v>
      </c>
      <c r="AN150" s="568">
        <v>2</v>
      </c>
      <c r="AO150" s="568">
        <v>2</v>
      </c>
      <c r="AP150" s="568">
        <v>2</v>
      </c>
      <c r="AQ150" s="568">
        <v>0</v>
      </c>
      <c r="AR150" s="568">
        <v>2</v>
      </c>
      <c r="AT150" s="568">
        <v>2</v>
      </c>
      <c r="AU150" s="568">
        <v>2</v>
      </c>
      <c r="AV150" s="568">
        <v>2</v>
      </c>
      <c r="AW150" s="568">
        <v>2</v>
      </c>
      <c r="AX150" s="568">
        <v>1</v>
      </c>
      <c r="AY150" s="568">
        <v>2</v>
      </c>
      <c r="AZ150" s="568">
        <v>2</v>
      </c>
      <c r="BA150" s="568">
        <v>2</v>
      </c>
      <c r="BB150" s="568">
        <v>2</v>
      </c>
      <c r="BC150" s="568">
        <v>0</v>
      </c>
      <c r="BD150" s="568">
        <v>2</v>
      </c>
      <c r="BE150" s="568">
        <v>0</v>
      </c>
      <c r="BF150" s="568">
        <v>2</v>
      </c>
      <c r="BG150" s="568">
        <v>0</v>
      </c>
      <c r="BH150" s="568">
        <v>0</v>
      </c>
      <c r="BI150" s="568">
        <v>2</v>
      </c>
      <c r="BJ150" s="568">
        <v>2</v>
      </c>
      <c r="BK150" s="568">
        <v>2</v>
      </c>
      <c r="BM150" s="568">
        <v>2</v>
      </c>
      <c r="BN150" s="568">
        <v>0</v>
      </c>
      <c r="BO150" s="568">
        <v>2</v>
      </c>
      <c r="BP150" s="568">
        <v>2</v>
      </c>
      <c r="BQ150" s="568">
        <v>2</v>
      </c>
      <c r="BR150" s="568">
        <v>2</v>
      </c>
      <c r="BS150" s="568">
        <v>2</v>
      </c>
      <c r="BT150" s="568">
        <v>2</v>
      </c>
      <c r="BU150" s="568">
        <v>2</v>
      </c>
      <c r="BV150" s="568">
        <v>0</v>
      </c>
      <c r="BW150" s="568">
        <v>2</v>
      </c>
      <c r="BX150" s="568">
        <v>2</v>
      </c>
      <c r="BY150" s="568">
        <v>0</v>
      </c>
      <c r="BZ150" s="568">
        <v>2</v>
      </c>
      <c r="CA150" s="568">
        <v>2</v>
      </c>
      <c r="CB150" s="568">
        <v>2</v>
      </c>
      <c r="CD150" s="568">
        <v>2</v>
      </c>
    </row>
    <row r="151" spans="1:99" x14ac:dyDescent="0.3">
      <c r="A151" s="155">
        <v>578</v>
      </c>
      <c r="B151" s="180" t="s">
        <v>945</v>
      </c>
      <c r="C151" s="180"/>
      <c r="D151" s="180"/>
      <c r="E151" s="180">
        <v>0</v>
      </c>
      <c r="F151" s="180">
        <v>0</v>
      </c>
      <c r="G151" s="180">
        <v>0</v>
      </c>
      <c r="H151" s="180">
        <v>0</v>
      </c>
      <c r="I151" s="180">
        <v>0</v>
      </c>
      <c r="J151" s="180">
        <v>0</v>
      </c>
      <c r="K151" s="180">
        <v>0</v>
      </c>
      <c r="L151" s="180">
        <v>0</v>
      </c>
      <c r="M151" s="180">
        <v>0</v>
      </c>
      <c r="N151" s="180">
        <v>0</v>
      </c>
      <c r="O151" s="180">
        <v>0</v>
      </c>
      <c r="P151" s="180">
        <v>0</v>
      </c>
      <c r="Q151" s="180">
        <v>0</v>
      </c>
      <c r="R151" s="180">
        <v>0</v>
      </c>
      <c r="S151" s="180">
        <v>0</v>
      </c>
      <c r="T151" s="180">
        <v>0</v>
      </c>
      <c r="U151" s="180">
        <v>0</v>
      </c>
      <c r="V151" s="180">
        <v>0</v>
      </c>
      <c r="W151" s="180">
        <v>0</v>
      </c>
      <c r="X151" s="180"/>
      <c r="Y151" s="180">
        <v>0</v>
      </c>
      <c r="Z151" s="180">
        <v>0</v>
      </c>
      <c r="AA151" s="180">
        <v>0</v>
      </c>
      <c r="AB151" s="180">
        <v>0</v>
      </c>
      <c r="AC151" s="180">
        <v>0</v>
      </c>
      <c r="AD151" s="180">
        <v>0</v>
      </c>
      <c r="AE151" s="180">
        <v>0</v>
      </c>
      <c r="AF151" s="180">
        <v>0</v>
      </c>
      <c r="AG151" s="180">
        <v>0</v>
      </c>
      <c r="AH151" s="180">
        <v>0</v>
      </c>
      <c r="AI151" s="180">
        <v>0</v>
      </c>
      <c r="AJ151" s="180">
        <v>0</v>
      </c>
      <c r="AK151" s="180"/>
      <c r="AL151" s="180"/>
      <c r="AM151" s="180">
        <v>0</v>
      </c>
      <c r="AN151" s="180">
        <v>0</v>
      </c>
      <c r="AO151" s="180">
        <v>0</v>
      </c>
      <c r="AP151" s="180">
        <v>0</v>
      </c>
      <c r="AQ151" s="180">
        <v>0</v>
      </c>
      <c r="AR151" s="180">
        <v>0</v>
      </c>
      <c r="AS151" s="180"/>
      <c r="AT151" s="180">
        <v>0</v>
      </c>
      <c r="AU151" s="180">
        <v>0</v>
      </c>
      <c r="AV151" s="180">
        <v>0</v>
      </c>
      <c r="AW151" s="180">
        <v>0</v>
      </c>
      <c r="AX151" s="180">
        <v>0</v>
      </c>
      <c r="AY151" s="180">
        <v>0</v>
      </c>
      <c r="AZ151" s="180">
        <v>0</v>
      </c>
      <c r="BA151" s="180">
        <v>25950</v>
      </c>
      <c r="BB151" s="180">
        <v>0</v>
      </c>
      <c r="BC151" s="180">
        <v>105340</v>
      </c>
      <c r="BD151" s="180">
        <v>0</v>
      </c>
      <c r="BE151" s="180">
        <v>0</v>
      </c>
      <c r="BF151" s="180">
        <v>0</v>
      </c>
      <c r="BG151" s="180">
        <v>0</v>
      </c>
      <c r="BH151" s="180">
        <v>0</v>
      </c>
      <c r="BI151" s="180">
        <v>0</v>
      </c>
      <c r="BJ151" s="180">
        <v>0</v>
      </c>
      <c r="BK151" s="180">
        <v>0</v>
      </c>
      <c r="BL151" s="180"/>
      <c r="BM151" s="180">
        <v>0</v>
      </c>
      <c r="BN151" s="180">
        <v>0</v>
      </c>
      <c r="BO151" s="180">
        <v>0</v>
      </c>
      <c r="BP151" s="180">
        <v>0</v>
      </c>
      <c r="BQ151" s="180">
        <v>0</v>
      </c>
      <c r="BR151" s="180">
        <v>0</v>
      </c>
      <c r="BS151" s="180">
        <v>0</v>
      </c>
      <c r="BT151" s="180">
        <v>0</v>
      </c>
      <c r="BU151" s="180">
        <v>0</v>
      </c>
      <c r="BV151" s="180">
        <v>0</v>
      </c>
      <c r="BW151" s="180">
        <v>0</v>
      </c>
      <c r="BX151" s="180">
        <v>0</v>
      </c>
      <c r="BY151" s="180">
        <v>0</v>
      </c>
      <c r="BZ151" s="180">
        <v>0</v>
      </c>
      <c r="CA151" s="180">
        <v>0</v>
      </c>
      <c r="CB151" s="180">
        <v>0</v>
      </c>
      <c r="CC151" s="180"/>
      <c r="CD151" s="180">
        <v>0</v>
      </c>
      <c r="CE151" s="180"/>
      <c r="CF151" s="180"/>
      <c r="CG151" s="180"/>
      <c r="CH151" s="180"/>
      <c r="CI151" s="180"/>
      <c r="CJ151" s="180"/>
      <c r="CK151" s="180"/>
      <c r="CL151" s="180"/>
      <c r="CM151" s="180"/>
      <c r="CN151" s="180"/>
      <c r="CO151" s="180"/>
      <c r="CP151" s="180"/>
      <c r="CQ151" s="180"/>
      <c r="CR151" s="180"/>
      <c r="CS151" s="180"/>
      <c r="CT151" s="180"/>
      <c r="CU151" s="180"/>
    </row>
    <row r="152" spans="1:99" x14ac:dyDescent="0.3">
      <c r="A152" s="155">
        <v>579</v>
      </c>
      <c r="B152" s="180" t="s">
        <v>946</v>
      </c>
      <c r="C152" s="180"/>
      <c r="D152" s="180"/>
      <c r="E152" s="180">
        <v>0</v>
      </c>
      <c r="F152" s="180">
        <v>0</v>
      </c>
      <c r="G152" s="180">
        <v>0</v>
      </c>
      <c r="H152" s="180">
        <v>0</v>
      </c>
      <c r="I152" s="180">
        <v>0</v>
      </c>
      <c r="J152" s="180">
        <v>0</v>
      </c>
      <c r="K152" s="180">
        <v>0</v>
      </c>
      <c r="L152" s="180">
        <v>0</v>
      </c>
      <c r="M152" s="180">
        <v>0</v>
      </c>
      <c r="N152" s="180">
        <v>0</v>
      </c>
      <c r="O152" s="180">
        <v>0</v>
      </c>
      <c r="P152" s="180">
        <v>0</v>
      </c>
      <c r="Q152" s="180">
        <v>0</v>
      </c>
      <c r="R152" s="180">
        <v>0</v>
      </c>
      <c r="S152" s="180">
        <v>0</v>
      </c>
      <c r="T152" s="180">
        <v>0</v>
      </c>
      <c r="U152" s="180">
        <v>0</v>
      </c>
      <c r="V152" s="180">
        <v>0</v>
      </c>
      <c r="W152" s="180">
        <v>0</v>
      </c>
      <c r="X152" s="180"/>
      <c r="Y152" s="180">
        <v>0</v>
      </c>
      <c r="Z152" s="180">
        <v>0</v>
      </c>
      <c r="AA152" s="180">
        <v>0</v>
      </c>
      <c r="AB152" s="180">
        <v>0</v>
      </c>
      <c r="AC152" s="180">
        <v>0</v>
      </c>
      <c r="AD152" s="180">
        <v>0</v>
      </c>
      <c r="AE152" s="180">
        <v>0</v>
      </c>
      <c r="AF152" s="180">
        <v>0</v>
      </c>
      <c r="AG152" s="180">
        <v>0</v>
      </c>
      <c r="AH152" s="180">
        <v>0</v>
      </c>
      <c r="AI152" s="180">
        <v>0</v>
      </c>
      <c r="AJ152" s="180">
        <v>0</v>
      </c>
      <c r="AK152" s="180"/>
      <c r="AL152" s="180"/>
      <c r="AM152" s="180">
        <v>0</v>
      </c>
      <c r="AN152" s="180">
        <v>15695</v>
      </c>
      <c r="AO152" s="180">
        <v>0</v>
      </c>
      <c r="AP152" s="180">
        <v>0</v>
      </c>
      <c r="AQ152" s="180">
        <v>0</v>
      </c>
      <c r="AR152" s="180">
        <v>0</v>
      </c>
      <c r="AS152" s="180"/>
      <c r="AT152" s="180">
        <v>0</v>
      </c>
      <c r="AU152" s="180">
        <v>0</v>
      </c>
      <c r="AV152" s="180">
        <v>0</v>
      </c>
      <c r="AW152" s="180">
        <v>0</v>
      </c>
      <c r="AX152" s="180">
        <v>0</v>
      </c>
      <c r="AY152" s="180">
        <v>0</v>
      </c>
      <c r="AZ152" s="180">
        <v>0</v>
      </c>
      <c r="BA152" s="180">
        <v>0</v>
      </c>
      <c r="BB152" s="180">
        <v>0</v>
      </c>
      <c r="BC152" s="180">
        <v>0</v>
      </c>
      <c r="BD152" s="180">
        <v>0</v>
      </c>
      <c r="BE152" s="180">
        <v>0</v>
      </c>
      <c r="BF152" s="180">
        <v>0</v>
      </c>
      <c r="BG152" s="180">
        <v>0</v>
      </c>
      <c r="BH152" s="180">
        <v>0</v>
      </c>
      <c r="BI152" s="180">
        <v>0</v>
      </c>
      <c r="BJ152" s="180">
        <v>0</v>
      </c>
      <c r="BK152" s="180">
        <v>0</v>
      </c>
      <c r="BL152" s="180"/>
      <c r="BM152" s="180">
        <v>0</v>
      </c>
      <c r="BN152" s="180">
        <v>0</v>
      </c>
      <c r="BO152" s="180">
        <v>0</v>
      </c>
      <c r="BP152" s="180">
        <v>0</v>
      </c>
      <c r="BQ152" s="180">
        <v>0</v>
      </c>
      <c r="BR152" s="180">
        <v>0</v>
      </c>
      <c r="BS152" s="180">
        <v>0</v>
      </c>
      <c r="BT152" s="180">
        <v>0</v>
      </c>
      <c r="BU152" s="180">
        <v>0</v>
      </c>
      <c r="BV152" s="180">
        <v>0</v>
      </c>
      <c r="BW152" s="180">
        <v>0</v>
      </c>
      <c r="BX152" s="180">
        <v>0</v>
      </c>
      <c r="BY152" s="180">
        <v>0</v>
      </c>
      <c r="BZ152" s="180">
        <v>0</v>
      </c>
      <c r="CA152" s="180">
        <v>0</v>
      </c>
      <c r="CB152" s="180">
        <v>0</v>
      </c>
      <c r="CC152" s="180"/>
      <c r="CD152" s="180">
        <v>0</v>
      </c>
      <c r="CE152" s="180"/>
      <c r="CF152" s="180"/>
      <c r="CG152" s="180"/>
      <c r="CH152" s="180"/>
      <c r="CI152" s="180"/>
      <c r="CJ152" s="180"/>
      <c r="CK152" s="180"/>
      <c r="CL152" s="180"/>
      <c r="CM152" s="180"/>
      <c r="CN152" s="180"/>
      <c r="CO152" s="180"/>
      <c r="CP152" s="180"/>
      <c r="CQ152" s="180"/>
      <c r="CR152" s="180"/>
      <c r="CS152" s="180"/>
      <c r="CT152" s="180"/>
      <c r="CU152" s="180"/>
    </row>
    <row r="153" spans="1:99" x14ac:dyDescent="0.3">
      <c r="A153" s="155">
        <v>580</v>
      </c>
      <c r="B153" s="180" t="s">
        <v>947</v>
      </c>
      <c r="C153" s="180"/>
      <c r="D153" s="180"/>
      <c r="E153" s="180">
        <v>0</v>
      </c>
      <c r="F153" s="180">
        <v>0</v>
      </c>
      <c r="G153" s="180">
        <v>0</v>
      </c>
      <c r="H153" s="180">
        <v>0</v>
      </c>
      <c r="I153" s="180">
        <v>0</v>
      </c>
      <c r="J153" s="180">
        <v>0</v>
      </c>
      <c r="K153" s="180">
        <v>0</v>
      </c>
      <c r="L153" s="180">
        <v>0</v>
      </c>
      <c r="M153" s="180">
        <v>0</v>
      </c>
      <c r="N153" s="180">
        <v>0</v>
      </c>
      <c r="O153" s="180">
        <v>0</v>
      </c>
      <c r="P153" s="180">
        <v>0</v>
      </c>
      <c r="Q153" s="180">
        <v>0</v>
      </c>
      <c r="R153" s="180">
        <v>0</v>
      </c>
      <c r="S153" s="180">
        <v>0</v>
      </c>
      <c r="T153" s="180">
        <v>0</v>
      </c>
      <c r="U153" s="180">
        <v>0</v>
      </c>
      <c r="V153" s="180">
        <v>0</v>
      </c>
      <c r="W153" s="180">
        <v>0</v>
      </c>
      <c r="X153" s="180"/>
      <c r="Y153" s="180">
        <v>0</v>
      </c>
      <c r="Z153" s="180">
        <v>0</v>
      </c>
      <c r="AA153" s="180">
        <v>0</v>
      </c>
      <c r="AB153" s="180">
        <v>0</v>
      </c>
      <c r="AC153" s="180">
        <v>0</v>
      </c>
      <c r="AD153" s="180">
        <v>0</v>
      </c>
      <c r="AE153" s="180">
        <v>0</v>
      </c>
      <c r="AF153" s="180">
        <v>0</v>
      </c>
      <c r="AG153" s="180">
        <v>0</v>
      </c>
      <c r="AH153" s="180">
        <v>0</v>
      </c>
      <c r="AI153" s="180">
        <v>0</v>
      </c>
      <c r="AJ153" s="180">
        <v>0</v>
      </c>
      <c r="AK153" s="180"/>
      <c r="AL153" s="180"/>
      <c r="AM153" s="180">
        <v>0</v>
      </c>
      <c r="AN153" s="180">
        <v>0</v>
      </c>
      <c r="AO153" s="180">
        <v>0</v>
      </c>
      <c r="AP153" s="180">
        <v>0</v>
      </c>
      <c r="AQ153" s="180">
        <v>0</v>
      </c>
      <c r="AR153" s="180">
        <v>0</v>
      </c>
      <c r="AS153" s="180"/>
      <c r="AT153" s="180">
        <v>0</v>
      </c>
      <c r="AU153" s="180">
        <v>0</v>
      </c>
      <c r="AV153" s="180">
        <v>0</v>
      </c>
      <c r="AW153" s="180">
        <v>0</v>
      </c>
      <c r="AX153" s="180">
        <v>0</v>
      </c>
      <c r="AY153" s="180">
        <v>0</v>
      </c>
      <c r="AZ153" s="180">
        <v>0</v>
      </c>
      <c r="BA153" s="180">
        <v>0</v>
      </c>
      <c r="BB153" s="180">
        <v>0</v>
      </c>
      <c r="BC153" s="180">
        <v>0</v>
      </c>
      <c r="BD153" s="180">
        <v>0</v>
      </c>
      <c r="BE153" s="180">
        <v>0</v>
      </c>
      <c r="BF153" s="180">
        <v>0</v>
      </c>
      <c r="BG153" s="180">
        <v>0</v>
      </c>
      <c r="BH153" s="180">
        <v>0</v>
      </c>
      <c r="BI153" s="180">
        <v>0</v>
      </c>
      <c r="BJ153" s="180">
        <v>0</v>
      </c>
      <c r="BK153" s="180">
        <v>0</v>
      </c>
      <c r="BL153" s="180"/>
      <c r="BM153" s="180">
        <v>0</v>
      </c>
      <c r="BN153" s="180">
        <v>0</v>
      </c>
      <c r="BO153" s="180">
        <v>0</v>
      </c>
      <c r="BP153" s="180">
        <v>0</v>
      </c>
      <c r="BQ153" s="180">
        <v>0</v>
      </c>
      <c r="BR153" s="180">
        <v>0</v>
      </c>
      <c r="BS153" s="180">
        <v>0</v>
      </c>
      <c r="BT153" s="180">
        <v>0</v>
      </c>
      <c r="BU153" s="180">
        <v>0</v>
      </c>
      <c r="BV153" s="180">
        <v>0</v>
      </c>
      <c r="BW153" s="180">
        <v>0</v>
      </c>
      <c r="BX153" s="180">
        <v>0</v>
      </c>
      <c r="BY153" s="180">
        <v>0</v>
      </c>
      <c r="BZ153" s="180">
        <v>0</v>
      </c>
      <c r="CA153" s="180">
        <v>0</v>
      </c>
      <c r="CB153" s="180">
        <v>0</v>
      </c>
      <c r="CC153" s="180"/>
      <c r="CD153" s="180">
        <v>0</v>
      </c>
      <c r="CE153" s="180"/>
      <c r="CF153" s="180"/>
      <c r="CG153" s="180"/>
      <c r="CH153" s="180"/>
      <c r="CI153" s="180"/>
      <c r="CJ153" s="180"/>
      <c r="CK153" s="180"/>
      <c r="CL153" s="180"/>
      <c r="CM153" s="180"/>
      <c r="CN153" s="180"/>
      <c r="CO153" s="180"/>
      <c r="CP153" s="180"/>
      <c r="CQ153" s="180"/>
      <c r="CR153" s="180"/>
      <c r="CS153" s="180"/>
      <c r="CT153" s="180"/>
      <c r="CU153" s="180"/>
    </row>
    <row r="154" spans="1:99" x14ac:dyDescent="0.3">
      <c r="A154" s="155">
        <v>581</v>
      </c>
      <c r="B154" s="180" t="s">
        <v>948</v>
      </c>
      <c r="C154" s="180"/>
      <c r="D154" s="180"/>
      <c r="E154" s="180">
        <v>0</v>
      </c>
      <c r="F154" s="180">
        <v>0</v>
      </c>
      <c r="G154" s="180">
        <v>0</v>
      </c>
      <c r="H154" s="180">
        <v>0</v>
      </c>
      <c r="I154" s="180">
        <v>0</v>
      </c>
      <c r="J154" s="180">
        <v>0</v>
      </c>
      <c r="K154" s="180">
        <v>0</v>
      </c>
      <c r="L154" s="180">
        <v>0</v>
      </c>
      <c r="M154" s="180">
        <v>0</v>
      </c>
      <c r="N154" s="180">
        <v>0</v>
      </c>
      <c r="O154" s="180">
        <v>0</v>
      </c>
      <c r="P154" s="180">
        <v>0</v>
      </c>
      <c r="Q154" s="180">
        <v>108841</v>
      </c>
      <c r="R154" s="180">
        <v>0</v>
      </c>
      <c r="S154" s="180">
        <v>0</v>
      </c>
      <c r="T154" s="180">
        <v>0</v>
      </c>
      <c r="U154" s="180">
        <v>0</v>
      </c>
      <c r="V154" s="180">
        <v>0</v>
      </c>
      <c r="W154" s="180">
        <v>0</v>
      </c>
      <c r="X154" s="180"/>
      <c r="Y154" s="180">
        <v>0</v>
      </c>
      <c r="Z154" s="180">
        <v>0</v>
      </c>
      <c r="AA154" s="180">
        <v>0</v>
      </c>
      <c r="AB154" s="180">
        <v>0</v>
      </c>
      <c r="AC154" s="180">
        <v>0</v>
      </c>
      <c r="AD154" s="180">
        <v>0</v>
      </c>
      <c r="AE154" s="180">
        <v>0</v>
      </c>
      <c r="AF154" s="180">
        <v>0</v>
      </c>
      <c r="AG154" s="180">
        <v>0</v>
      </c>
      <c r="AH154" s="180">
        <v>0</v>
      </c>
      <c r="AI154" s="180">
        <v>0</v>
      </c>
      <c r="AJ154" s="180">
        <v>0</v>
      </c>
      <c r="AK154" s="180"/>
      <c r="AL154" s="180"/>
      <c r="AM154" s="180">
        <v>0</v>
      </c>
      <c r="AN154" s="180">
        <v>0</v>
      </c>
      <c r="AO154" s="180">
        <v>0</v>
      </c>
      <c r="AP154" s="180">
        <v>0</v>
      </c>
      <c r="AQ154" s="180">
        <v>0</v>
      </c>
      <c r="AR154" s="180">
        <v>0</v>
      </c>
      <c r="AS154" s="180"/>
      <c r="AT154" s="180">
        <v>0</v>
      </c>
      <c r="AU154" s="180">
        <v>0</v>
      </c>
      <c r="AV154" s="180">
        <v>0</v>
      </c>
      <c r="AW154" s="180">
        <v>0</v>
      </c>
      <c r="AX154" s="180">
        <v>0</v>
      </c>
      <c r="AY154" s="180">
        <v>0</v>
      </c>
      <c r="AZ154" s="180">
        <v>0</v>
      </c>
      <c r="BA154" s="180">
        <v>0</v>
      </c>
      <c r="BB154" s="180">
        <v>0</v>
      </c>
      <c r="BC154" s="180">
        <v>0</v>
      </c>
      <c r="BD154" s="180">
        <v>0</v>
      </c>
      <c r="BE154" s="180">
        <v>0</v>
      </c>
      <c r="BF154" s="180">
        <v>0</v>
      </c>
      <c r="BG154" s="180">
        <v>0</v>
      </c>
      <c r="BH154" s="180">
        <v>0</v>
      </c>
      <c r="BI154" s="180">
        <v>0</v>
      </c>
      <c r="BJ154" s="180">
        <v>0</v>
      </c>
      <c r="BK154" s="180">
        <v>0</v>
      </c>
      <c r="BL154" s="180"/>
      <c r="BM154" s="180">
        <v>0</v>
      </c>
      <c r="BN154" s="180">
        <v>0</v>
      </c>
      <c r="BO154" s="180">
        <v>0</v>
      </c>
      <c r="BP154" s="180">
        <v>0</v>
      </c>
      <c r="BQ154" s="180">
        <v>0</v>
      </c>
      <c r="BR154" s="180">
        <v>0</v>
      </c>
      <c r="BS154" s="180">
        <v>0</v>
      </c>
      <c r="BT154" s="180">
        <v>0</v>
      </c>
      <c r="BU154" s="180">
        <v>0</v>
      </c>
      <c r="BV154" s="180">
        <v>0</v>
      </c>
      <c r="BW154" s="180">
        <v>0</v>
      </c>
      <c r="BX154" s="180">
        <v>0</v>
      </c>
      <c r="BY154" s="180">
        <v>0</v>
      </c>
      <c r="BZ154" s="180">
        <v>0</v>
      </c>
      <c r="CA154" s="180">
        <v>0</v>
      </c>
      <c r="CB154" s="180">
        <v>0</v>
      </c>
      <c r="CC154" s="180"/>
      <c r="CD154" s="180">
        <v>0</v>
      </c>
      <c r="CE154" s="180"/>
      <c r="CF154" s="180"/>
      <c r="CG154" s="180"/>
      <c r="CH154" s="180"/>
      <c r="CI154" s="180"/>
      <c r="CJ154" s="180"/>
      <c r="CK154" s="180"/>
      <c r="CL154" s="180"/>
      <c r="CM154" s="180"/>
      <c r="CN154" s="180"/>
      <c r="CO154" s="180"/>
      <c r="CP154" s="180"/>
      <c r="CQ154" s="180"/>
      <c r="CR154" s="180"/>
      <c r="CS154" s="180"/>
      <c r="CT154" s="180"/>
      <c r="CU154" s="180"/>
    </row>
    <row r="155" spans="1:99" x14ac:dyDescent="0.3">
      <c r="A155" s="155">
        <v>586</v>
      </c>
      <c r="B155" s="180" t="s">
        <v>950</v>
      </c>
      <c r="C155" s="180"/>
      <c r="D155" s="180"/>
      <c r="E155" s="180">
        <v>0</v>
      </c>
      <c r="F155" s="180">
        <v>0</v>
      </c>
      <c r="G155" s="180">
        <v>0</v>
      </c>
      <c r="H155" s="180">
        <v>0</v>
      </c>
      <c r="I155" s="180">
        <v>0</v>
      </c>
      <c r="J155" s="180">
        <v>0</v>
      </c>
      <c r="K155" s="180">
        <v>0</v>
      </c>
      <c r="L155" s="180">
        <v>0</v>
      </c>
      <c r="M155" s="180">
        <v>0</v>
      </c>
      <c r="N155" s="180">
        <v>0</v>
      </c>
      <c r="O155" s="180">
        <v>1716425</v>
      </c>
      <c r="P155" s="180">
        <v>0</v>
      </c>
      <c r="Q155" s="180">
        <v>0</v>
      </c>
      <c r="R155" s="180">
        <v>0</v>
      </c>
      <c r="S155" s="180">
        <v>0</v>
      </c>
      <c r="T155" s="180">
        <v>0</v>
      </c>
      <c r="U155" s="180">
        <v>0</v>
      </c>
      <c r="V155" s="180">
        <v>0</v>
      </c>
      <c r="W155" s="180">
        <v>0</v>
      </c>
      <c r="X155" s="180"/>
      <c r="Y155" s="180">
        <v>0</v>
      </c>
      <c r="Z155" s="180">
        <v>0</v>
      </c>
      <c r="AA155" s="180">
        <v>0</v>
      </c>
      <c r="AB155" s="180">
        <v>0</v>
      </c>
      <c r="AC155" s="180">
        <v>0</v>
      </c>
      <c r="AD155" s="180">
        <v>0</v>
      </c>
      <c r="AE155" s="180">
        <v>0</v>
      </c>
      <c r="AF155" s="180">
        <v>0</v>
      </c>
      <c r="AG155" s="180">
        <v>0</v>
      </c>
      <c r="AH155" s="180">
        <v>0</v>
      </c>
      <c r="AI155" s="180">
        <v>0</v>
      </c>
      <c r="AJ155" s="180">
        <v>29371</v>
      </c>
      <c r="AK155" s="180"/>
      <c r="AL155" s="180"/>
      <c r="AM155" s="180">
        <v>0</v>
      </c>
      <c r="AN155" s="180">
        <v>0</v>
      </c>
      <c r="AO155" s="180">
        <v>0</v>
      </c>
      <c r="AP155" s="180">
        <v>0</v>
      </c>
      <c r="AQ155" s="180">
        <v>0</v>
      </c>
      <c r="AR155" s="180">
        <v>0</v>
      </c>
      <c r="AS155" s="180"/>
      <c r="AT155" s="180">
        <v>0</v>
      </c>
      <c r="AU155" s="180">
        <v>0</v>
      </c>
      <c r="AV155" s="180">
        <v>0</v>
      </c>
      <c r="AW155" s="180">
        <v>0</v>
      </c>
      <c r="AX155" s="180">
        <v>0</v>
      </c>
      <c r="AY155" s="180">
        <v>0</v>
      </c>
      <c r="AZ155" s="180">
        <v>0</v>
      </c>
      <c r="BA155" s="180">
        <v>0</v>
      </c>
      <c r="BB155" s="180">
        <v>0</v>
      </c>
      <c r="BC155" s="180">
        <v>113840</v>
      </c>
      <c r="BD155" s="180">
        <v>0</v>
      </c>
      <c r="BE155" s="180">
        <v>0</v>
      </c>
      <c r="BF155" s="180">
        <v>0</v>
      </c>
      <c r="BG155" s="180">
        <v>0</v>
      </c>
      <c r="BH155" s="180">
        <v>0</v>
      </c>
      <c r="BI155" s="180">
        <v>0</v>
      </c>
      <c r="BJ155" s="180">
        <v>0</v>
      </c>
      <c r="BK155" s="180">
        <v>0</v>
      </c>
      <c r="BL155" s="180"/>
      <c r="BM155" s="180">
        <v>0</v>
      </c>
      <c r="BN155" s="180">
        <v>0</v>
      </c>
      <c r="BO155" s="180">
        <v>0</v>
      </c>
      <c r="BP155" s="180">
        <v>0</v>
      </c>
      <c r="BQ155" s="180">
        <v>0</v>
      </c>
      <c r="BR155" s="180">
        <v>0</v>
      </c>
      <c r="BS155" s="180">
        <v>0</v>
      </c>
      <c r="BT155" s="180">
        <v>0</v>
      </c>
      <c r="BU155" s="180">
        <v>0</v>
      </c>
      <c r="BV155" s="180">
        <v>0</v>
      </c>
      <c r="BW155" s="180">
        <v>0</v>
      </c>
      <c r="BX155" s="180">
        <v>0</v>
      </c>
      <c r="BY155" s="180">
        <v>0</v>
      </c>
      <c r="BZ155" s="180">
        <v>0</v>
      </c>
      <c r="CA155" s="180">
        <v>0</v>
      </c>
      <c r="CB155" s="180">
        <v>0</v>
      </c>
      <c r="CC155" s="180"/>
      <c r="CD155" s="180">
        <v>0</v>
      </c>
      <c r="CE155" s="180"/>
      <c r="CF155" s="180"/>
      <c r="CG155" s="180"/>
      <c r="CH155" s="180"/>
      <c r="CI155" s="180"/>
      <c r="CJ155" s="180"/>
      <c r="CK155" s="180"/>
      <c r="CL155" s="180"/>
      <c r="CM155" s="180"/>
      <c r="CN155" s="180"/>
      <c r="CO155" s="180"/>
      <c r="CP155" s="180"/>
      <c r="CQ155" s="180"/>
      <c r="CR155" s="180"/>
      <c r="CS155" s="180"/>
      <c r="CT155" s="180"/>
      <c r="CU155" s="180"/>
    </row>
    <row r="156" spans="1:99" x14ac:dyDescent="0.3">
      <c r="A156" s="155">
        <v>590</v>
      </c>
      <c r="B156" s="180" t="s">
        <v>1668</v>
      </c>
      <c r="C156" s="180"/>
      <c r="D156" s="180"/>
      <c r="E156" s="180"/>
      <c r="F156" s="180"/>
      <c r="G156" s="180"/>
      <c r="H156" s="180"/>
      <c r="I156" s="180"/>
      <c r="J156" s="180"/>
      <c r="K156" s="180"/>
      <c r="L156" s="180" t="s">
        <v>1669</v>
      </c>
      <c r="M156" s="180"/>
      <c r="N156" s="180"/>
      <c r="O156" s="180"/>
      <c r="P156" s="180"/>
      <c r="Q156" s="180" t="s">
        <v>2551</v>
      </c>
      <c r="R156" s="180"/>
      <c r="S156" s="180" t="s">
        <v>1669</v>
      </c>
      <c r="T156" s="180"/>
      <c r="U156" s="180"/>
      <c r="V156" s="180"/>
      <c r="W156" s="180" t="s">
        <v>2552</v>
      </c>
      <c r="X156" s="180"/>
      <c r="Y156" s="180"/>
      <c r="Z156" s="180" t="s">
        <v>2553</v>
      </c>
      <c r="AA156" s="180"/>
      <c r="AB156" s="180"/>
      <c r="AC156" s="180"/>
      <c r="AD156" s="180"/>
      <c r="AE156" s="180" t="s">
        <v>2554</v>
      </c>
      <c r="AF156" s="180"/>
      <c r="AG156" s="180"/>
      <c r="AH156" s="180"/>
      <c r="AI156" s="180"/>
      <c r="AJ156" s="180"/>
      <c r="AK156" s="180"/>
      <c r="AL156" s="180"/>
      <c r="AM156" s="180"/>
      <c r="AN156" s="180"/>
      <c r="AO156" s="180"/>
      <c r="AP156" s="180"/>
      <c r="AQ156" s="180"/>
      <c r="AR156" s="180"/>
      <c r="AS156" s="180"/>
      <c r="AT156" s="180" t="s">
        <v>2555</v>
      </c>
      <c r="AU156" s="180" t="s">
        <v>1669</v>
      </c>
      <c r="AV156" s="180"/>
      <c r="AW156" s="180" t="s">
        <v>1669</v>
      </c>
      <c r="AX156" s="180"/>
      <c r="AY156" s="180"/>
      <c r="AZ156" s="180"/>
      <c r="BA156" s="180"/>
      <c r="BB156" s="180"/>
      <c r="BC156" s="180"/>
      <c r="BD156" s="180"/>
      <c r="BE156" s="180"/>
      <c r="BF156" s="180"/>
      <c r="BG156" s="180"/>
      <c r="BH156" s="180" t="s">
        <v>1669</v>
      </c>
      <c r="BI156" s="180"/>
      <c r="BJ156" s="180"/>
      <c r="BK156" s="180"/>
      <c r="BL156" s="180"/>
      <c r="BM156" s="180"/>
      <c r="BN156" s="180"/>
      <c r="BO156" s="180"/>
      <c r="BP156" s="180" t="s">
        <v>2556</v>
      </c>
      <c r="BQ156" s="180"/>
      <c r="BR156" s="180"/>
      <c r="BS156" s="180"/>
      <c r="BT156" s="180"/>
      <c r="BU156" s="180"/>
      <c r="BV156" s="180"/>
      <c r="BW156" s="180"/>
      <c r="BX156" s="180"/>
      <c r="BY156" s="180"/>
      <c r="BZ156" s="180" t="s">
        <v>1669</v>
      </c>
      <c r="CA156" s="180"/>
      <c r="CB156" s="180"/>
      <c r="CC156" s="180"/>
      <c r="CD156" s="180"/>
      <c r="CE156" s="180"/>
      <c r="CF156" s="180"/>
      <c r="CG156" s="180"/>
      <c r="CH156" s="180"/>
      <c r="CI156" s="180"/>
      <c r="CJ156" s="180"/>
      <c r="CK156" s="180"/>
      <c r="CL156" s="180"/>
      <c r="CM156" s="180"/>
      <c r="CN156" s="180"/>
      <c r="CO156" s="180"/>
      <c r="CP156" s="180"/>
      <c r="CQ156" s="180"/>
      <c r="CR156" s="180"/>
      <c r="CS156" s="180"/>
      <c r="CT156" s="180"/>
      <c r="CU156" s="180"/>
    </row>
    <row r="157" spans="1:99" s="571" customFormat="1" x14ac:dyDescent="0.3">
      <c r="A157" s="570">
        <v>591</v>
      </c>
      <c r="B157" s="571" t="s">
        <v>329</v>
      </c>
      <c r="E157" s="571">
        <v>0</v>
      </c>
      <c r="F157" s="571">
        <v>780910</v>
      </c>
      <c r="G157" s="571">
        <v>0</v>
      </c>
      <c r="H157" s="571">
        <v>0</v>
      </c>
      <c r="I157" s="571">
        <v>0</v>
      </c>
      <c r="J157" s="571">
        <v>196023</v>
      </c>
      <c r="K157" s="571">
        <v>0</v>
      </c>
      <c r="L157" s="571">
        <v>0</v>
      </c>
      <c r="M157" s="571">
        <v>0</v>
      </c>
      <c r="N157" s="571">
        <v>0</v>
      </c>
      <c r="O157" s="571">
        <v>6867433</v>
      </c>
      <c r="P157" s="571">
        <v>0</v>
      </c>
      <c r="Q157" s="571">
        <v>0</v>
      </c>
      <c r="R157" s="571">
        <v>330856</v>
      </c>
      <c r="S157" s="571">
        <v>0</v>
      </c>
      <c r="T157" s="571">
        <v>22190473</v>
      </c>
      <c r="U157" s="571">
        <v>9356051</v>
      </c>
      <c r="V157" s="571">
        <v>42796958</v>
      </c>
      <c r="W157" s="571">
        <v>488990</v>
      </c>
      <c r="Y157" s="571">
        <v>5993905</v>
      </c>
      <c r="Z157" s="571">
        <v>1438500</v>
      </c>
      <c r="AA157" s="571">
        <v>7815528</v>
      </c>
      <c r="AB157" s="571">
        <v>3577081</v>
      </c>
      <c r="AC157" s="571">
        <v>1136093</v>
      </c>
      <c r="AD157" s="571">
        <v>1354777</v>
      </c>
      <c r="AE157" s="571">
        <v>3447501</v>
      </c>
      <c r="AF157" s="571">
        <v>3401302</v>
      </c>
      <c r="AG157" s="571">
        <v>5053788</v>
      </c>
      <c r="AH157" s="571">
        <v>0</v>
      </c>
      <c r="AI157" s="571">
        <v>73282172</v>
      </c>
      <c r="AJ157" s="571">
        <v>359810</v>
      </c>
      <c r="AM157" s="571">
        <v>25345732</v>
      </c>
      <c r="AN157" s="571">
        <v>472901</v>
      </c>
      <c r="AO157" s="571">
        <v>811859</v>
      </c>
      <c r="AP157" s="571">
        <v>0</v>
      </c>
      <c r="AQ157" s="571">
        <v>0</v>
      </c>
      <c r="AR157" s="571">
        <v>2827668</v>
      </c>
      <c r="AT157" s="571">
        <v>1811684</v>
      </c>
      <c r="AU157" s="571">
        <v>401320</v>
      </c>
      <c r="AV157" s="571">
        <v>20558465</v>
      </c>
      <c r="AW157" s="571">
        <v>0</v>
      </c>
      <c r="AX157" s="571">
        <v>1319557</v>
      </c>
      <c r="AY157" s="571">
        <v>3135450</v>
      </c>
      <c r="AZ157" s="571">
        <v>652409</v>
      </c>
      <c r="BA157" s="571">
        <v>499680</v>
      </c>
      <c r="BB157" s="571">
        <v>0</v>
      </c>
      <c r="BC157" s="571">
        <v>147610</v>
      </c>
      <c r="BD157" s="571">
        <v>3795482</v>
      </c>
      <c r="BE157" s="571">
        <v>0</v>
      </c>
      <c r="BF157" s="571">
        <v>311024</v>
      </c>
      <c r="BG157" s="571">
        <v>150438</v>
      </c>
      <c r="BH157" s="571">
        <v>0</v>
      </c>
      <c r="BI157" s="571">
        <v>210324</v>
      </c>
      <c r="BJ157" s="571">
        <v>0</v>
      </c>
      <c r="BK157" s="571">
        <v>2988720</v>
      </c>
      <c r="BM157" s="571">
        <v>1648404</v>
      </c>
      <c r="BN157" s="571">
        <v>809741</v>
      </c>
      <c r="BO157" s="571">
        <v>971295</v>
      </c>
      <c r="BP157" s="571">
        <v>381197</v>
      </c>
      <c r="BQ157" s="571">
        <v>0</v>
      </c>
      <c r="BR157" s="571">
        <v>2814833</v>
      </c>
      <c r="BS157" s="571">
        <v>13358356</v>
      </c>
      <c r="BT157" s="571">
        <v>756665</v>
      </c>
      <c r="BU157" s="571">
        <v>3986303</v>
      </c>
      <c r="BV157" s="571">
        <v>0</v>
      </c>
      <c r="BW157" s="571">
        <v>2954156</v>
      </c>
      <c r="BX157" s="571">
        <v>365945</v>
      </c>
      <c r="BY157" s="571">
        <v>50950</v>
      </c>
      <c r="BZ157" s="571">
        <v>398891</v>
      </c>
      <c r="CA157" s="571">
        <v>333950</v>
      </c>
      <c r="CB157" s="571">
        <v>748223</v>
      </c>
      <c r="CD157" s="571">
        <v>53386</v>
      </c>
    </row>
    <row r="158" spans="1:99" s="571" customFormat="1" x14ac:dyDescent="0.3">
      <c r="A158" s="570">
        <v>592</v>
      </c>
      <c r="B158" s="571" t="s">
        <v>330</v>
      </c>
      <c r="E158" s="571">
        <v>0</v>
      </c>
      <c r="F158" s="571">
        <v>-129610</v>
      </c>
      <c r="G158" s="571">
        <v>0</v>
      </c>
      <c r="H158" s="571">
        <v>0</v>
      </c>
      <c r="I158" s="571">
        <v>0</v>
      </c>
      <c r="J158" s="571">
        <v>-51811</v>
      </c>
      <c r="K158" s="571">
        <v>0</v>
      </c>
      <c r="L158" s="571">
        <v>0</v>
      </c>
      <c r="M158" s="571">
        <v>0</v>
      </c>
      <c r="N158" s="571">
        <v>0</v>
      </c>
      <c r="O158" s="571">
        <v>1551135</v>
      </c>
      <c r="P158" s="571">
        <v>0</v>
      </c>
      <c r="Q158" s="571">
        <v>20812173</v>
      </c>
      <c r="R158" s="571">
        <v>16733</v>
      </c>
      <c r="S158" s="571">
        <v>0</v>
      </c>
      <c r="T158" s="571">
        <v>12335284</v>
      </c>
      <c r="U158" s="571">
        <v>532981</v>
      </c>
      <c r="V158" s="571">
        <v>4345813</v>
      </c>
      <c r="W158" s="571">
        <v>708752</v>
      </c>
      <c r="Y158" s="571">
        <v>592900</v>
      </c>
      <c r="Z158" s="571">
        <v>-136906</v>
      </c>
      <c r="AA158" s="571">
        <v>4855075</v>
      </c>
      <c r="AB158" s="571">
        <v>4033091</v>
      </c>
      <c r="AC158" s="571">
        <v>583003</v>
      </c>
      <c r="AD158" s="571">
        <v>529497</v>
      </c>
      <c r="AE158" s="571">
        <v>-651228</v>
      </c>
      <c r="AF158" s="571">
        <v>-291371</v>
      </c>
      <c r="AG158" s="571">
        <v>8368</v>
      </c>
      <c r="AH158" s="571">
        <v>0</v>
      </c>
      <c r="AI158" s="571">
        <v>6302017</v>
      </c>
      <c r="AJ158" s="571">
        <v>-10819</v>
      </c>
      <c r="AM158" s="571">
        <v>1391757</v>
      </c>
      <c r="AN158" s="571">
        <v>1019</v>
      </c>
      <c r="AO158" s="571">
        <v>-14990</v>
      </c>
      <c r="AP158" s="571">
        <v>0</v>
      </c>
      <c r="AQ158" s="571">
        <v>0</v>
      </c>
      <c r="AR158" s="571">
        <v>552394</v>
      </c>
      <c r="AT158" s="571">
        <v>1914084</v>
      </c>
      <c r="AU158" s="571">
        <v>39407</v>
      </c>
      <c r="AV158" s="571">
        <v>1283186</v>
      </c>
      <c r="AW158" s="571">
        <v>0</v>
      </c>
      <c r="AX158" s="571">
        <v>4643684</v>
      </c>
      <c r="AY158" s="571">
        <v>10735354</v>
      </c>
      <c r="AZ158" s="571">
        <v>-65800</v>
      </c>
      <c r="BA158" s="571">
        <v>-17857</v>
      </c>
      <c r="BB158" s="571">
        <v>0</v>
      </c>
      <c r="BC158" s="571">
        <v>-14049</v>
      </c>
      <c r="BD158" s="571">
        <v>4741376</v>
      </c>
      <c r="BE158" s="571">
        <v>0</v>
      </c>
      <c r="BF158" s="571">
        <v>-70004</v>
      </c>
      <c r="BG158" s="571">
        <v>1232260</v>
      </c>
      <c r="BH158" s="571">
        <v>0</v>
      </c>
      <c r="BI158" s="571">
        <v>-40359</v>
      </c>
      <c r="BJ158" s="571">
        <v>0</v>
      </c>
      <c r="BK158" s="571">
        <v>-173142</v>
      </c>
      <c r="BM158" s="571">
        <v>2138567</v>
      </c>
      <c r="BN158" s="571">
        <v>119254</v>
      </c>
      <c r="BO158" s="571">
        <v>209490</v>
      </c>
      <c r="BP158" s="571">
        <v>100483</v>
      </c>
      <c r="BQ158" s="571">
        <v>0</v>
      </c>
      <c r="BR158" s="571">
        <v>725381</v>
      </c>
      <c r="BS158" s="571">
        <v>1057715</v>
      </c>
      <c r="BT158" s="571">
        <v>-151914</v>
      </c>
      <c r="BU158" s="571">
        <v>2614038</v>
      </c>
      <c r="BV158" s="571">
        <v>0</v>
      </c>
      <c r="BW158" s="571">
        <v>261508</v>
      </c>
      <c r="BX158" s="571">
        <v>40975</v>
      </c>
      <c r="BY158" s="571">
        <v>-18108</v>
      </c>
      <c r="BZ158" s="571">
        <v>181699</v>
      </c>
      <c r="CA158" s="571">
        <v>-130674</v>
      </c>
      <c r="CB158" s="571">
        <v>1075291</v>
      </c>
      <c r="CD158" s="571">
        <v>-21866</v>
      </c>
    </row>
    <row r="159" spans="1:99" x14ac:dyDescent="0.3">
      <c r="A159" s="155">
        <v>596</v>
      </c>
      <c r="B159" s="180" t="s">
        <v>335</v>
      </c>
      <c r="C159" s="180"/>
      <c r="D159" s="180"/>
      <c r="E159" s="180">
        <v>52</v>
      </c>
      <c r="F159" s="180">
        <v>52</v>
      </c>
      <c r="G159" s="180">
        <v>52</v>
      </c>
      <c r="H159" s="180">
        <v>0</v>
      </c>
      <c r="I159" s="180">
        <v>52</v>
      </c>
      <c r="J159" s="180">
        <v>52</v>
      </c>
      <c r="K159" s="180">
        <v>52</v>
      </c>
      <c r="L159" s="180">
        <v>52</v>
      </c>
      <c r="M159" s="180">
        <v>52</v>
      </c>
      <c r="N159" s="180">
        <v>52</v>
      </c>
      <c r="O159" s="180">
        <v>52</v>
      </c>
      <c r="P159" s="180">
        <v>52</v>
      </c>
      <c r="Q159" s="180">
        <v>52</v>
      </c>
      <c r="R159" s="180">
        <v>52</v>
      </c>
      <c r="S159" s="180">
        <v>0</v>
      </c>
      <c r="T159" s="180">
        <v>52</v>
      </c>
      <c r="U159" s="180">
        <v>52</v>
      </c>
      <c r="V159" s="180">
        <v>52</v>
      </c>
      <c r="W159" s="180">
        <v>52</v>
      </c>
      <c r="X159" s="180"/>
      <c r="Y159" s="180">
        <v>52</v>
      </c>
      <c r="Z159" s="180">
        <v>52</v>
      </c>
      <c r="AA159" s="180">
        <v>52</v>
      </c>
      <c r="AB159" s="180">
        <v>52</v>
      </c>
      <c r="AC159" s="180">
        <v>52</v>
      </c>
      <c r="AD159" s="180">
        <v>52</v>
      </c>
      <c r="AE159" s="180">
        <v>52</v>
      </c>
      <c r="AF159" s="180">
        <v>52</v>
      </c>
      <c r="AG159" s="180">
        <v>52</v>
      </c>
      <c r="AH159" s="180">
        <v>0</v>
      </c>
      <c r="AI159" s="180">
        <v>52</v>
      </c>
      <c r="AJ159" s="180">
        <v>52</v>
      </c>
      <c r="AK159" s="180"/>
      <c r="AL159" s="180"/>
      <c r="AM159" s="180">
        <v>52</v>
      </c>
      <c r="AN159" s="180">
        <v>52</v>
      </c>
      <c r="AO159" s="180">
        <v>52</v>
      </c>
      <c r="AP159" s="180">
        <v>52</v>
      </c>
      <c r="AQ159" s="180">
        <v>52</v>
      </c>
      <c r="AR159" s="180">
        <v>52</v>
      </c>
      <c r="AS159" s="180"/>
      <c r="AT159" s="180">
        <v>52</v>
      </c>
      <c r="AU159" s="180">
        <v>52</v>
      </c>
      <c r="AV159" s="180">
        <v>52</v>
      </c>
      <c r="AW159" s="180">
        <v>52</v>
      </c>
      <c r="AX159" s="180">
        <v>52</v>
      </c>
      <c r="AY159" s="180">
        <v>52</v>
      </c>
      <c r="AZ159" s="180">
        <v>52</v>
      </c>
      <c r="BA159" s="180">
        <v>52</v>
      </c>
      <c r="BB159" s="180">
        <v>0</v>
      </c>
      <c r="BC159" s="180">
        <v>52</v>
      </c>
      <c r="BD159" s="180">
        <v>52</v>
      </c>
      <c r="BE159" s="180">
        <v>52</v>
      </c>
      <c r="BF159" s="180">
        <v>52</v>
      </c>
      <c r="BG159" s="180">
        <v>52</v>
      </c>
      <c r="BH159" s="180">
        <v>0</v>
      </c>
      <c r="BI159" s="180">
        <v>52</v>
      </c>
      <c r="BJ159" s="180">
        <v>52</v>
      </c>
      <c r="BK159" s="180">
        <v>52</v>
      </c>
      <c r="BL159" s="180"/>
      <c r="BM159" s="180">
        <v>52</v>
      </c>
      <c r="BN159" s="180">
        <v>52</v>
      </c>
      <c r="BO159" s="180">
        <v>52</v>
      </c>
      <c r="BP159" s="180">
        <v>52</v>
      </c>
      <c r="BQ159" s="180">
        <v>0</v>
      </c>
      <c r="BR159" s="180">
        <v>52</v>
      </c>
      <c r="BS159" s="180">
        <v>52</v>
      </c>
      <c r="BT159" s="180">
        <v>52</v>
      </c>
      <c r="BU159" s="180">
        <v>52</v>
      </c>
      <c r="BV159" s="180">
        <v>0</v>
      </c>
      <c r="BW159" s="180">
        <v>52</v>
      </c>
      <c r="BX159" s="180">
        <v>52</v>
      </c>
      <c r="BY159" s="180">
        <v>52</v>
      </c>
      <c r="BZ159" s="180">
        <v>52</v>
      </c>
      <c r="CA159" s="180">
        <v>52</v>
      </c>
      <c r="CB159" s="180">
        <v>52</v>
      </c>
      <c r="CC159" s="180"/>
      <c r="CD159" s="180">
        <v>52</v>
      </c>
      <c r="CE159" s="180"/>
      <c r="CF159" s="180"/>
      <c r="CG159" s="180"/>
      <c r="CH159" s="180"/>
      <c r="CI159" s="180"/>
      <c r="CJ159" s="180"/>
      <c r="CK159" s="180"/>
      <c r="CL159" s="180"/>
      <c r="CM159" s="180"/>
      <c r="CN159" s="180"/>
      <c r="CO159" s="180"/>
      <c r="CP159" s="180"/>
      <c r="CQ159" s="180"/>
      <c r="CR159" s="180"/>
      <c r="CS159" s="180"/>
      <c r="CT159" s="180"/>
      <c r="CU159" s="180"/>
    </row>
    <row r="160" spans="1:99" x14ac:dyDescent="0.3">
      <c r="A160" s="155">
        <v>597</v>
      </c>
      <c r="B160" s="180" t="s">
        <v>338</v>
      </c>
      <c r="C160" s="180"/>
      <c r="D160" s="180"/>
      <c r="E160" s="180">
        <v>0</v>
      </c>
      <c r="F160" s="180">
        <v>216</v>
      </c>
      <c r="G160" s="180">
        <v>7886</v>
      </c>
      <c r="H160" s="180">
        <v>32844</v>
      </c>
      <c r="I160" s="180">
        <v>10259</v>
      </c>
      <c r="J160" s="180">
        <v>209</v>
      </c>
      <c r="K160" s="180">
        <v>0</v>
      </c>
      <c r="L160" s="180">
        <v>1205</v>
      </c>
      <c r="M160" s="180">
        <v>17540</v>
      </c>
      <c r="N160" s="180">
        <v>0</v>
      </c>
      <c r="O160" s="180">
        <v>9025</v>
      </c>
      <c r="P160" s="180">
        <v>0</v>
      </c>
      <c r="Q160" s="180">
        <v>-664703</v>
      </c>
      <c r="R160" s="180">
        <v>841</v>
      </c>
      <c r="S160" s="180">
        <v>408</v>
      </c>
      <c r="T160" s="180">
        <v>302604</v>
      </c>
      <c r="U160" s="180">
        <v>29679</v>
      </c>
      <c r="V160" s="180">
        <v>111008</v>
      </c>
      <c r="W160" s="180">
        <v>0</v>
      </c>
      <c r="X160" s="180"/>
      <c r="Y160" s="180">
        <v>60845</v>
      </c>
      <c r="Z160" s="180">
        <v>1341</v>
      </c>
      <c r="AA160" s="180">
        <v>30748</v>
      </c>
      <c r="AB160" s="180">
        <v>0</v>
      </c>
      <c r="AC160" s="180">
        <v>4943</v>
      </c>
      <c r="AD160" s="180">
        <v>2322</v>
      </c>
      <c r="AE160" s="180">
        <v>1020</v>
      </c>
      <c r="AF160" s="180">
        <v>-1941819</v>
      </c>
      <c r="AG160" s="180">
        <v>21808</v>
      </c>
      <c r="AH160" s="180">
        <v>398</v>
      </c>
      <c r="AI160" s="180">
        <v>112799</v>
      </c>
      <c r="AJ160" s="180">
        <v>10001</v>
      </c>
      <c r="AK160" s="180"/>
      <c r="AL160" s="180"/>
      <c r="AM160" s="180">
        <v>89596</v>
      </c>
      <c r="AN160" s="180">
        <v>150</v>
      </c>
      <c r="AO160" s="180">
        <v>0</v>
      </c>
      <c r="AP160" s="180">
        <v>0</v>
      </c>
      <c r="AQ160" s="180">
        <v>35008</v>
      </c>
      <c r="AR160" s="180">
        <v>255630</v>
      </c>
      <c r="AS160" s="180"/>
      <c r="AT160" s="180">
        <v>3628</v>
      </c>
      <c r="AU160" s="180">
        <v>904</v>
      </c>
      <c r="AV160" s="180">
        <v>42949</v>
      </c>
      <c r="AW160" s="180">
        <v>20252</v>
      </c>
      <c r="AX160" s="180">
        <v>9002</v>
      </c>
      <c r="AY160" s="180">
        <v>54026</v>
      </c>
      <c r="AZ160" s="180">
        <v>3340</v>
      </c>
      <c r="BA160" s="180">
        <v>895</v>
      </c>
      <c r="BB160" s="180">
        <v>0</v>
      </c>
      <c r="BC160" s="180">
        <v>3524</v>
      </c>
      <c r="BD160" s="180">
        <v>9215</v>
      </c>
      <c r="BE160" s="180">
        <v>2089</v>
      </c>
      <c r="BF160" s="180">
        <v>1989</v>
      </c>
      <c r="BG160" s="180">
        <v>0</v>
      </c>
      <c r="BH160" s="180">
        <v>635</v>
      </c>
      <c r="BI160" s="180">
        <v>1110</v>
      </c>
      <c r="BJ160" s="180">
        <v>40</v>
      </c>
      <c r="BK160" s="180">
        <v>10724</v>
      </c>
      <c r="BL160" s="180"/>
      <c r="BM160" s="180">
        <v>0</v>
      </c>
      <c r="BN160" s="180">
        <v>15755</v>
      </c>
      <c r="BO160" s="180">
        <v>1713</v>
      </c>
      <c r="BP160" s="180">
        <v>4083</v>
      </c>
      <c r="BQ160" s="180">
        <v>24651</v>
      </c>
      <c r="BR160" s="180">
        <v>0</v>
      </c>
      <c r="BS160" s="180">
        <v>61944</v>
      </c>
      <c r="BT160" s="180">
        <v>234</v>
      </c>
      <c r="BU160" s="180">
        <v>0</v>
      </c>
      <c r="BV160" s="180">
        <v>1418</v>
      </c>
      <c r="BW160" s="180">
        <v>3207</v>
      </c>
      <c r="BX160" s="180">
        <v>0</v>
      </c>
      <c r="BY160" s="180">
        <v>0</v>
      </c>
      <c r="BZ160" s="180">
        <v>3935</v>
      </c>
      <c r="CA160" s="180">
        <v>559</v>
      </c>
      <c r="CB160" s="180">
        <v>1632</v>
      </c>
      <c r="CC160" s="180"/>
      <c r="CD160" s="180">
        <v>11180</v>
      </c>
      <c r="CE160" s="180"/>
      <c r="CF160" s="180"/>
      <c r="CG160" s="180"/>
      <c r="CH160" s="180"/>
      <c r="CI160" s="180"/>
      <c r="CJ160" s="180"/>
      <c r="CK160" s="180"/>
      <c r="CL160" s="180"/>
      <c r="CM160" s="180"/>
      <c r="CN160" s="180"/>
      <c r="CO160" s="180"/>
      <c r="CP160" s="180"/>
      <c r="CQ160" s="180"/>
      <c r="CR160" s="180"/>
      <c r="CS160" s="180"/>
      <c r="CT160" s="180"/>
      <c r="CU160" s="180"/>
    </row>
    <row r="161" spans="1:99" x14ac:dyDescent="0.3">
      <c r="A161" s="155">
        <v>598</v>
      </c>
      <c r="B161" s="180" t="s">
        <v>343</v>
      </c>
      <c r="C161" s="180"/>
      <c r="D161" s="180"/>
      <c r="E161" s="180">
        <v>0</v>
      </c>
      <c r="F161" s="180">
        <v>0</v>
      </c>
      <c r="G161" s="180">
        <v>0</v>
      </c>
      <c r="H161" s="180">
        <v>0</v>
      </c>
      <c r="I161" s="180">
        <v>0</v>
      </c>
      <c r="J161" s="180">
        <v>0</v>
      </c>
      <c r="K161" s="180">
        <v>0</v>
      </c>
      <c r="L161" s="180">
        <v>0</v>
      </c>
      <c r="M161" s="180">
        <v>0</v>
      </c>
      <c r="N161" s="180">
        <v>0</v>
      </c>
      <c r="O161" s="180">
        <v>23616</v>
      </c>
      <c r="P161" s="180">
        <v>0</v>
      </c>
      <c r="Q161" s="180">
        <v>324282</v>
      </c>
      <c r="R161" s="180">
        <v>33430</v>
      </c>
      <c r="S161" s="180">
        <v>0</v>
      </c>
      <c r="T161" s="180">
        <v>83406</v>
      </c>
      <c r="U161" s="180">
        <v>59542</v>
      </c>
      <c r="V161" s="180">
        <v>235889</v>
      </c>
      <c r="W161" s="180">
        <v>90853</v>
      </c>
      <c r="X161" s="180"/>
      <c r="Y161" s="180">
        <v>104228</v>
      </c>
      <c r="Z161" s="180">
        <v>0</v>
      </c>
      <c r="AA161" s="180">
        <v>82818</v>
      </c>
      <c r="AB161" s="180">
        <v>0</v>
      </c>
      <c r="AC161" s="180">
        <v>0</v>
      </c>
      <c r="AD161" s="180">
        <v>44290</v>
      </c>
      <c r="AE161" s="180">
        <v>0</v>
      </c>
      <c r="AF161" s="180">
        <v>64113</v>
      </c>
      <c r="AG161" s="180">
        <v>16348</v>
      </c>
      <c r="AH161" s="180">
        <v>0</v>
      </c>
      <c r="AI161" s="180">
        <v>99206</v>
      </c>
      <c r="AJ161" s="180">
        <v>0</v>
      </c>
      <c r="AK161" s="180"/>
      <c r="AL161" s="180"/>
      <c r="AM161" s="180">
        <v>52168</v>
      </c>
      <c r="AN161" s="180">
        <v>0</v>
      </c>
      <c r="AO161" s="180">
        <v>0</v>
      </c>
      <c r="AP161" s="180">
        <v>0</v>
      </c>
      <c r="AQ161" s="180">
        <v>15903</v>
      </c>
      <c r="AR161" s="180">
        <v>60181</v>
      </c>
      <c r="AS161" s="180"/>
      <c r="AT161" s="180">
        <v>9345</v>
      </c>
      <c r="AU161" s="180">
        <v>0</v>
      </c>
      <c r="AV161" s="180">
        <v>35909</v>
      </c>
      <c r="AW161" s="180">
        <v>0</v>
      </c>
      <c r="AX161" s="180">
        <v>0</v>
      </c>
      <c r="AY161" s="180">
        <v>0</v>
      </c>
      <c r="AZ161" s="180">
        <v>0</v>
      </c>
      <c r="BA161" s="180">
        <v>0</v>
      </c>
      <c r="BB161" s="180">
        <v>0</v>
      </c>
      <c r="BC161" s="180">
        <v>0</v>
      </c>
      <c r="BD161" s="180">
        <v>76643</v>
      </c>
      <c r="BE161" s="180">
        <v>0</v>
      </c>
      <c r="BF161" s="180">
        <v>0</v>
      </c>
      <c r="BG161" s="180">
        <v>0</v>
      </c>
      <c r="BH161" s="180">
        <v>0</v>
      </c>
      <c r="BI161" s="180">
        <v>0</v>
      </c>
      <c r="BJ161" s="180">
        <v>0</v>
      </c>
      <c r="BK161" s="180">
        <v>10272</v>
      </c>
      <c r="BL161" s="180"/>
      <c r="BM161" s="180">
        <v>17264</v>
      </c>
      <c r="BN161" s="180">
        <v>0</v>
      </c>
      <c r="BO161" s="180">
        <v>0</v>
      </c>
      <c r="BP161" s="180">
        <v>0</v>
      </c>
      <c r="BQ161" s="180">
        <v>143714</v>
      </c>
      <c r="BR161" s="180">
        <v>0</v>
      </c>
      <c r="BS161" s="180">
        <v>100276</v>
      </c>
      <c r="BT161" s="180">
        <v>0</v>
      </c>
      <c r="BU161" s="180">
        <v>42174</v>
      </c>
      <c r="BV161" s="180">
        <v>0</v>
      </c>
      <c r="BW161" s="180">
        <v>0</v>
      </c>
      <c r="BX161" s="180">
        <v>0</v>
      </c>
      <c r="BY161" s="180">
        <v>0</v>
      </c>
      <c r="BZ161" s="180">
        <v>0</v>
      </c>
      <c r="CA161" s="180">
        <v>0</v>
      </c>
      <c r="CB161" s="180">
        <v>0</v>
      </c>
      <c r="CC161" s="180"/>
      <c r="CD161" s="180">
        <v>0</v>
      </c>
      <c r="CE161" s="180"/>
      <c r="CF161" s="180"/>
      <c r="CG161" s="180"/>
      <c r="CH161" s="180"/>
      <c r="CI161" s="180"/>
      <c r="CJ161" s="180"/>
      <c r="CK161" s="180"/>
      <c r="CL161" s="180"/>
      <c r="CM161" s="180"/>
      <c r="CN161" s="180"/>
      <c r="CO161" s="180"/>
      <c r="CP161" s="180"/>
      <c r="CQ161" s="180"/>
      <c r="CR161" s="180"/>
      <c r="CS161" s="180"/>
      <c r="CT161" s="180"/>
      <c r="CU161" s="180"/>
    </row>
    <row r="162" spans="1:99" x14ac:dyDescent="0.3">
      <c r="A162" s="155">
        <v>599</v>
      </c>
      <c r="B162" s="180" t="s">
        <v>342</v>
      </c>
      <c r="C162" s="180"/>
      <c r="D162" s="180"/>
      <c r="E162" s="180">
        <v>0</v>
      </c>
      <c r="F162" s="180">
        <v>78249</v>
      </c>
      <c r="G162" s="180">
        <v>0</v>
      </c>
      <c r="H162" s="180">
        <v>0</v>
      </c>
      <c r="I162" s="180">
        <v>0</v>
      </c>
      <c r="J162" s="180">
        <v>0</v>
      </c>
      <c r="K162" s="180">
        <v>0</v>
      </c>
      <c r="L162" s="180">
        <v>0</v>
      </c>
      <c r="M162" s="180">
        <v>1417570</v>
      </c>
      <c r="N162" s="180">
        <v>94268</v>
      </c>
      <c r="O162" s="180">
        <v>211503</v>
      </c>
      <c r="P162" s="180">
        <v>0</v>
      </c>
      <c r="Q162" s="180">
        <v>4585539</v>
      </c>
      <c r="R162" s="180">
        <v>119706</v>
      </c>
      <c r="S162" s="180">
        <v>0</v>
      </c>
      <c r="T162" s="180">
        <v>5126948</v>
      </c>
      <c r="U162" s="180">
        <v>2128357</v>
      </c>
      <c r="V162" s="180">
        <v>3237498</v>
      </c>
      <c r="W162" s="180">
        <v>2495620</v>
      </c>
      <c r="X162" s="180"/>
      <c r="Y162" s="180">
        <v>1866417</v>
      </c>
      <c r="Z162" s="180">
        <v>93550</v>
      </c>
      <c r="AA162" s="180">
        <v>1633775</v>
      </c>
      <c r="AB162" s="180">
        <v>571216</v>
      </c>
      <c r="AC162" s="180">
        <v>0</v>
      </c>
      <c r="AD162" s="180">
        <v>463334</v>
      </c>
      <c r="AE162" s="180">
        <v>334884</v>
      </c>
      <c r="AF162" s="180">
        <v>1363416</v>
      </c>
      <c r="AG162" s="180">
        <v>514135</v>
      </c>
      <c r="AH162" s="180">
        <v>2644</v>
      </c>
      <c r="AI162" s="180">
        <v>3858372</v>
      </c>
      <c r="AJ162" s="180">
        <v>0</v>
      </c>
      <c r="AK162" s="180"/>
      <c r="AL162" s="180"/>
      <c r="AM162" s="180">
        <v>1437896</v>
      </c>
      <c r="AN162" s="180">
        <v>110005</v>
      </c>
      <c r="AO162" s="180">
        <v>28803</v>
      </c>
      <c r="AP162" s="180">
        <v>0</v>
      </c>
      <c r="AQ162" s="180">
        <v>292764</v>
      </c>
      <c r="AR162" s="180">
        <v>814356</v>
      </c>
      <c r="AS162" s="180"/>
      <c r="AT162" s="180">
        <v>218884</v>
      </c>
      <c r="AU162" s="180">
        <v>0</v>
      </c>
      <c r="AV162" s="180">
        <v>1160835</v>
      </c>
      <c r="AW162" s="180">
        <v>0</v>
      </c>
      <c r="AX162" s="180">
        <v>135403</v>
      </c>
      <c r="AY162" s="180">
        <v>357772</v>
      </c>
      <c r="AZ162" s="180">
        <v>112727</v>
      </c>
      <c r="BA162" s="180">
        <v>0</v>
      </c>
      <c r="BB162" s="180">
        <v>0</v>
      </c>
      <c r="BC162" s="180">
        <v>0</v>
      </c>
      <c r="BD162" s="180">
        <v>924581</v>
      </c>
      <c r="BE162" s="180">
        <v>0</v>
      </c>
      <c r="BF162" s="180">
        <v>8924</v>
      </c>
      <c r="BG162" s="180">
        <v>0</v>
      </c>
      <c r="BH162" s="180">
        <v>0</v>
      </c>
      <c r="BI162" s="180">
        <v>0</v>
      </c>
      <c r="BJ162" s="180">
        <v>0</v>
      </c>
      <c r="BK162" s="180">
        <v>440128</v>
      </c>
      <c r="BL162" s="180"/>
      <c r="BM162" s="180">
        <v>157085</v>
      </c>
      <c r="BN162" s="180">
        <v>307814</v>
      </c>
      <c r="BO162" s="180">
        <v>195856</v>
      </c>
      <c r="BP162" s="180">
        <v>140690</v>
      </c>
      <c r="BQ162" s="180">
        <v>1635856</v>
      </c>
      <c r="BR162" s="180">
        <v>164625</v>
      </c>
      <c r="BS162" s="180">
        <v>2069165</v>
      </c>
      <c r="BT162" s="180">
        <v>45084</v>
      </c>
      <c r="BU162" s="180">
        <v>667951</v>
      </c>
      <c r="BV162" s="180">
        <v>0</v>
      </c>
      <c r="BW162" s="180">
        <v>163337</v>
      </c>
      <c r="BX162" s="180">
        <v>18512</v>
      </c>
      <c r="BY162" s="180">
        <v>0</v>
      </c>
      <c r="BZ162" s="180">
        <v>0</v>
      </c>
      <c r="CA162" s="180">
        <v>0</v>
      </c>
      <c r="CB162" s="180">
        <v>57681</v>
      </c>
      <c r="CC162" s="180"/>
      <c r="CD162" s="180">
        <v>0</v>
      </c>
      <c r="CE162" s="180"/>
      <c r="CF162" s="180"/>
      <c r="CG162" s="180"/>
      <c r="CH162" s="180"/>
      <c r="CI162" s="180"/>
      <c r="CJ162" s="180"/>
      <c r="CK162" s="180"/>
      <c r="CL162" s="180"/>
      <c r="CM162" s="180"/>
      <c r="CN162" s="180"/>
      <c r="CO162" s="180"/>
      <c r="CP162" s="180"/>
      <c r="CQ162" s="180"/>
      <c r="CR162" s="180"/>
      <c r="CS162" s="180"/>
      <c r="CT162" s="180"/>
      <c r="CU162" s="180"/>
    </row>
    <row r="163" spans="1:99" x14ac:dyDescent="0.3">
      <c r="A163" s="155">
        <v>602</v>
      </c>
      <c r="B163" s="180" t="s">
        <v>344</v>
      </c>
      <c r="C163" s="180"/>
      <c r="D163" s="180"/>
      <c r="E163" s="180">
        <v>0</v>
      </c>
      <c r="F163" s="180">
        <v>0</v>
      </c>
      <c r="G163" s="180">
        <v>0</v>
      </c>
      <c r="H163" s="180">
        <v>0</v>
      </c>
      <c r="I163" s="180">
        <v>0</v>
      </c>
      <c r="J163" s="180">
        <v>0</v>
      </c>
      <c r="K163" s="180">
        <v>0</v>
      </c>
      <c r="L163" s="180">
        <v>0</v>
      </c>
      <c r="M163" s="180">
        <v>0</v>
      </c>
      <c r="N163" s="180">
        <v>0</v>
      </c>
      <c r="O163" s="180">
        <v>0</v>
      </c>
      <c r="P163" s="180">
        <v>0</v>
      </c>
      <c r="Q163" s="180">
        <v>0</v>
      </c>
      <c r="R163" s="180">
        <v>0</v>
      </c>
      <c r="S163" s="180">
        <v>0</v>
      </c>
      <c r="T163" s="180">
        <v>0</v>
      </c>
      <c r="U163" s="180">
        <v>0</v>
      </c>
      <c r="V163" s="180">
        <v>0</v>
      </c>
      <c r="W163" s="180">
        <v>0</v>
      </c>
      <c r="X163" s="180"/>
      <c r="Y163" s="180">
        <v>0</v>
      </c>
      <c r="Z163" s="180">
        <v>0</v>
      </c>
      <c r="AA163" s="180">
        <v>0</v>
      </c>
      <c r="AB163" s="180">
        <v>0</v>
      </c>
      <c r="AC163" s="180">
        <v>0</v>
      </c>
      <c r="AD163" s="180">
        <v>0</v>
      </c>
      <c r="AE163" s="180">
        <v>0</v>
      </c>
      <c r="AF163" s="180">
        <v>0</v>
      </c>
      <c r="AG163" s="180">
        <v>0</v>
      </c>
      <c r="AH163" s="180">
        <v>0</v>
      </c>
      <c r="AI163" s="180">
        <v>0</v>
      </c>
      <c r="AJ163" s="180">
        <v>0</v>
      </c>
      <c r="AK163" s="180"/>
      <c r="AL163" s="180"/>
      <c r="AM163" s="180">
        <v>0</v>
      </c>
      <c r="AN163" s="180">
        <v>0</v>
      </c>
      <c r="AO163" s="180">
        <v>0</v>
      </c>
      <c r="AP163" s="180">
        <v>0</v>
      </c>
      <c r="AQ163" s="180">
        <v>0</v>
      </c>
      <c r="AR163" s="180">
        <v>0</v>
      </c>
      <c r="AS163" s="180"/>
      <c r="AT163" s="180">
        <v>0</v>
      </c>
      <c r="AU163" s="180">
        <v>0</v>
      </c>
      <c r="AV163" s="180">
        <v>0</v>
      </c>
      <c r="AW163" s="180">
        <v>0</v>
      </c>
      <c r="AX163" s="180">
        <v>0</v>
      </c>
      <c r="AY163" s="180">
        <v>0</v>
      </c>
      <c r="AZ163" s="180">
        <v>0</v>
      </c>
      <c r="BA163" s="180">
        <v>0</v>
      </c>
      <c r="BB163" s="180">
        <v>0</v>
      </c>
      <c r="BC163" s="180">
        <v>0</v>
      </c>
      <c r="BD163" s="180">
        <v>0</v>
      </c>
      <c r="BE163" s="180">
        <v>0</v>
      </c>
      <c r="BF163" s="180">
        <v>0</v>
      </c>
      <c r="BG163" s="180">
        <v>0</v>
      </c>
      <c r="BH163" s="180">
        <v>0</v>
      </c>
      <c r="BI163" s="180">
        <v>0</v>
      </c>
      <c r="BJ163" s="180">
        <v>0</v>
      </c>
      <c r="BK163" s="180">
        <v>0</v>
      </c>
      <c r="BL163" s="180"/>
      <c r="BM163" s="180">
        <v>0</v>
      </c>
      <c r="BN163" s="180">
        <v>0</v>
      </c>
      <c r="BO163" s="180">
        <v>0</v>
      </c>
      <c r="BP163" s="180">
        <v>0</v>
      </c>
      <c r="BQ163" s="180">
        <v>0</v>
      </c>
      <c r="BR163" s="180">
        <v>0</v>
      </c>
      <c r="BS163" s="180">
        <v>0</v>
      </c>
      <c r="BT163" s="180">
        <v>0</v>
      </c>
      <c r="BU163" s="180">
        <v>0</v>
      </c>
      <c r="BV163" s="180">
        <v>0</v>
      </c>
      <c r="BW163" s="180">
        <v>0</v>
      </c>
      <c r="BX163" s="180">
        <v>0</v>
      </c>
      <c r="BY163" s="180">
        <v>0</v>
      </c>
      <c r="BZ163" s="180">
        <v>0</v>
      </c>
      <c r="CA163" s="180">
        <v>0</v>
      </c>
      <c r="CB163" s="180">
        <v>0</v>
      </c>
      <c r="CC163" s="180"/>
      <c r="CD163" s="180">
        <v>0</v>
      </c>
      <c r="CE163" s="180"/>
      <c r="CF163" s="180"/>
      <c r="CG163" s="180"/>
      <c r="CH163" s="180"/>
      <c r="CI163" s="180"/>
      <c r="CJ163" s="180"/>
      <c r="CK163" s="180"/>
      <c r="CL163" s="180"/>
      <c r="CM163" s="180"/>
      <c r="CN163" s="180"/>
      <c r="CO163" s="180"/>
      <c r="CP163" s="180"/>
      <c r="CQ163" s="180"/>
      <c r="CR163" s="180"/>
      <c r="CS163" s="180"/>
      <c r="CT163" s="180"/>
      <c r="CU163" s="180"/>
    </row>
    <row r="164" spans="1:99" s="555" customFormat="1" x14ac:dyDescent="0.3">
      <c r="A164" s="558">
        <v>606</v>
      </c>
      <c r="B164" s="555" t="s">
        <v>956</v>
      </c>
      <c r="M164" s="555">
        <v>1</v>
      </c>
      <c r="O164" s="555">
        <v>1</v>
      </c>
      <c r="Q164" s="555">
        <v>1</v>
      </c>
      <c r="T164" s="555">
        <v>1</v>
      </c>
      <c r="U164" s="555">
        <v>1</v>
      </c>
      <c r="V164" s="555">
        <v>1</v>
      </c>
      <c r="W164" s="555">
        <v>1</v>
      </c>
      <c r="Y164" s="555">
        <v>1</v>
      </c>
      <c r="AA164" s="555">
        <v>1</v>
      </c>
      <c r="AB164" s="555">
        <v>1</v>
      </c>
      <c r="AF164" s="555">
        <v>1</v>
      </c>
      <c r="AI164" s="555">
        <v>1</v>
      </c>
      <c r="AM164" s="555">
        <v>1</v>
      </c>
      <c r="AQ164" s="555">
        <v>1</v>
      </c>
      <c r="AR164" s="555">
        <v>1</v>
      </c>
      <c r="AT164" s="555">
        <v>1</v>
      </c>
      <c r="AV164" s="555">
        <v>1</v>
      </c>
      <c r="AY164" s="555">
        <v>1</v>
      </c>
      <c r="BD164" s="555">
        <v>1</v>
      </c>
      <c r="BG164" s="555">
        <v>1</v>
      </c>
      <c r="BK164" s="555">
        <v>1</v>
      </c>
      <c r="BM164" s="555">
        <v>1</v>
      </c>
      <c r="BQ164" s="555">
        <v>1</v>
      </c>
      <c r="BR164" s="555">
        <v>1</v>
      </c>
      <c r="BZ164" s="555">
        <v>1</v>
      </c>
      <c r="CB164" s="555">
        <v>1</v>
      </c>
    </row>
    <row r="165" spans="1:99" x14ac:dyDescent="0.3">
      <c r="A165" s="155">
        <v>619</v>
      </c>
      <c r="B165" s="180" t="s">
        <v>957</v>
      </c>
      <c r="C165" s="180"/>
      <c r="D165" s="180"/>
      <c r="E165" s="180">
        <v>0</v>
      </c>
      <c r="F165" s="180">
        <v>91.6</v>
      </c>
      <c r="G165" s="180">
        <v>0</v>
      </c>
      <c r="H165" s="180">
        <v>0</v>
      </c>
      <c r="I165" s="180">
        <v>0</v>
      </c>
      <c r="J165" s="180">
        <v>0</v>
      </c>
      <c r="K165" s="180">
        <v>0</v>
      </c>
      <c r="L165" s="180">
        <v>0</v>
      </c>
      <c r="M165" s="180">
        <v>0</v>
      </c>
      <c r="N165" s="180">
        <v>0</v>
      </c>
      <c r="O165" s="180">
        <v>0</v>
      </c>
      <c r="P165" s="180">
        <v>0</v>
      </c>
      <c r="Q165" s="180">
        <v>0</v>
      </c>
      <c r="R165" s="180">
        <v>0</v>
      </c>
      <c r="S165" s="180">
        <v>0</v>
      </c>
      <c r="T165" s="180">
        <v>0</v>
      </c>
      <c r="U165" s="180">
        <v>0</v>
      </c>
      <c r="V165" s="180">
        <v>0</v>
      </c>
      <c r="W165" s="180">
        <v>0</v>
      </c>
      <c r="X165" s="180"/>
      <c r="Y165" s="180">
        <v>0</v>
      </c>
      <c r="Z165" s="180">
        <v>0</v>
      </c>
      <c r="AA165" s="180">
        <v>0</v>
      </c>
      <c r="AB165" s="180">
        <v>0</v>
      </c>
      <c r="AC165" s="180">
        <v>0</v>
      </c>
      <c r="AD165" s="180">
        <v>0</v>
      </c>
      <c r="AE165" s="180">
        <v>0</v>
      </c>
      <c r="AF165" s="180">
        <v>0</v>
      </c>
      <c r="AG165" s="180">
        <v>0</v>
      </c>
      <c r="AH165" s="180">
        <v>0</v>
      </c>
      <c r="AI165" s="180">
        <v>0</v>
      </c>
      <c r="AJ165" s="180">
        <v>0</v>
      </c>
      <c r="AK165" s="180"/>
      <c r="AL165" s="180"/>
      <c r="AM165" s="180">
        <v>0</v>
      </c>
      <c r="AN165" s="180">
        <v>0</v>
      </c>
      <c r="AO165" s="180">
        <v>0</v>
      </c>
      <c r="AP165" s="180">
        <v>0</v>
      </c>
      <c r="AQ165" s="180">
        <v>0</v>
      </c>
      <c r="AR165" s="180">
        <v>0</v>
      </c>
      <c r="AS165" s="180"/>
      <c r="AT165" s="180">
        <v>0</v>
      </c>
      <c r="AU165" s="180">
        <v>0</v>
      </c>
      <c r="AV165" s="180">
        <v>0</v>
      </c>
      <c r="AW165" s="180">
        <v>0</v>
      </c>
      <c r="AX165" s="180">
        <v>0</v>
      </c>
      <c r="AY165" s="180">
        <v>0</v>
      </c>
      <c r="AZ165" s="180">
        <v>0</v>
      </c>
      <c r="BA165" s="180">
        <v>0</v>
      </c>
      <c r="BB165" s="180">
        <v>0</v>
      </c>
      <c r="BC165" s="180">
        <v>0</v>
      </c>
      <c r="BD165" s="180">
        <v>0</v>
      </c>
      <c r="BE165" s="180">
        <v>0</v>
      </c>
      <c r="BF165" s="180">
        <v>0</v>
      </c>
      <c r="BG165" s="180">
        <v>0</v>
      </c>
      <c r="BH165" s="180">
        <v>0</v>
      </c>
      <c r="BI165" s="180">
        <v>0</v>
      </c>
      <c r="BJ165" s="180">
        <v>0</v>
      </c>
      <c r="BK165" s="180">
        <v>0</v>
      </c>
      <c r="BL165" s="180"/>
      <c r="BM165" s="180">
        <v>0</v>
      </c>
      <c r="BN165" s="180">
        <v>0</v>
      </c>
      <c r="BO165" s="180">
        <v>0</v>
      </c>
      <c r="BP165" s="180">
        <v>0</v>
      </c>
      <c r="BQ165" s="180">
        <v>0</v>
      </c>
      <c r="BR165" s="180">
        <v>0</v>
      </c>
      <c r="BS165" s="180">
        <v>0</v>
      </c>
      <c r="BT165" s="180">
        <v>0</v>
      </c>
      <c r="BU165" s="180">
        <v>0</v>
      </c>
      <c r="BV165" s="180">
        <v>0</v>
      </c>
      <c r="BW165" s="180">
        <v>0</v>
      </c>
      <c r="BX165" s="180">
        <v>0</v>
      </c>
      <c r="BY165" s="180">
        <v>0</v>
      </c>
      <c r="BZ165" s="180">
        <v>0</v>
      </c>
      <c r="CA165" s="180">
        <v>0</v>
      </c>
      <c r="CB165" s="180">
        <v>0</v>
      </c>
      <c r="CC165" s="180"/>
      <c r="CD165" s="180">
        <v>0</v>
      </c>
      <c r="CE165" s="180"/>
      <c r="CF165" s="180"/>
      <c r="CG165" s="180"/>
      <c r="CH165" s="180"/>
      <c r="CI165" s="180"/>
      <c r="CJ165" s="180"/>
      <c r="CK165" s="180"/>
      <c r="CL165" s="180"/>
      <c r="CM165" s="180"/>
      <c r="CN165" s="180"/>
      <c r="CO165" s="180"/>
      <c r="CP165" s="180"/>
      <c r="CQ165" s="180"/>
      <c r="CR165" s="180"/>
      <c r="CS165" s="180"/>
      <c r="CT165" s="180"/>
      <c r="CU165" s="180"/>
    </row>
    <row r="166" spans="1:99" s="568" customFormat="1" x14ac:dyDescent="0.3">
      <c r="A166" s="567">
        <v>620</v>
      </c>
      <c r="B166" s="568" t="s">
        <v>958</v>
      </c>
      <c r="E166" s="568">
        <v>2</v>
      </c>
      <c r="F166" s="568">
        <v>1</v>
      </c>
      <c r="G166" s="568">
        <v>2</v>
      </c>
      <c r="H166" s="568">
        <v>1</v>
      </c>
      <c r="I166" s="568">
        <v>1</v>
      </c>
      <c r="J166" s="568">
        <v>1</v>
      </c>
      <c r="K166" s="568">
        <v>2</v>
      </c>
      <c r="L166" s="568">
        <v>2</v>
      </c>
      <c r="M166" s="568">
        <v>0</v>
      </c>
      <c r="N166" s="568">
        <v>2</v>
      </c>
      <c r="O166" s="568">
        <v>1</v>
      </c>
      <c r="P166" s="568">
        <v>2</v>
      </c>
      <c r="Q166" s="568">
        <v>2</v>
      </c>
      <c r="R166" s="568">
        <v>2</v>
      </c>
      <c r="S166" s="568">
        <v>2</v>
      </c>
      <c r="T166" s="568">
        <v>1</v>
      </c>
      <c r="U166" s="568">
        <v>2</v>
      </c>
      <c r="V166" s="568">
        <v>2</v>
      </c>
      <c r="W166" s="568">
        <v>2</v>
      </c>
      <c r="Y166" s="568">
        <v>2</v>
      </c>
      <c r="Z166" s="568">
        <v>2</v>
      </c>
      <c r="AA166" s="568">
        <v>1</v>
      </c>
      <c r="AB166" s="568">
        <v>2</v>
      </c>
      <c r="AC166" s="568">
        <v>1</v>
      </c>
      <c r="AD166" s="568">
        <v>2</v>
      </c>
      <c r="AE166" s="568">
        <v>1</v>
      </c>
      <c r="AF166" s="568">
        <v>1</v>
      </c>
      <c r="AG166" s="568">
        <v>1</v>
      </c>
      <c r="AH166" s="568">
        <v>2</v>
      </c>
      <c r="AI166" s="568">
        <v>1</v>
      </c>
      <c r="AJ166" s="568">
        <v>2</v>
      </c>
      <c r="AM166" s="568">
        <v>1</v>
      </c>
      <c r="AN166" s="568">
        <v>2</v>
      </c>
      <c r="AO166" s="568">
        <v>2</v>
      </c>
      <c r="AP166" s="568">
        <v>2</v>
      </c>
      <c r="AQ166" s="568">
        <v>1</v>
      </c>
      <c r="AR166" s="568">
        <v>2</v>
      </c>
      <c r="AT166" s="568">
        <v>2</v>
      </c>
      <c r="AU166" s="568">
        <v>2</v>
      </c>
      <c r="AV166" s="568">
        <v>2</v>
      </c>
      <c r="AW166" s="568">
        <v>1</v>
      </c>
      <c r="AX166" s="568">
        <v>1</v>
      </c>
      <c r="AY166" s="568">
        <v>2</v>
      </c>
      <c r="AZ166" s="568">
        <v>2</v>
      </c>
      <c r="BA166" s="568">
        <v>2</v>
      </c>
      <c r="BB166" s="568">
        <v>2</v>
      </c>
      <c r="BC166" s="568">
        <v>1</v>
      </c>
      <c r="BD166" s="568">
        <v>1</v>
      </c>
      <c r="BE166" s="568">
        <v>2</v>
      </c>
      <c r="BF166" s="568">
        <v>2</v>
      </c>
      <c r="BG166" s="568">
        <v>2</v>
      </c>
      <c r="BH166" s="568">
        <v>2</v>
      </c>
      <c r="BI166" s="568">
        <v>2</v>
      </c>
      <c r="BJ166" s="568">
        <v>2</v>
      </c>
      <c r="BK166" s="568">
        <v>2</v>
      </c>
      <c r="BM166" s="568">
        <v>1</v>
      </c>
      <c r="BN166" s="568">
        <v>2</v>
      </c>
      <c r="BO166" s="568">
        <v>2</v>
      </c>
      <c r="BP166" s="568">
        <v>2</v>
      </c>
      <c r="BQ166" s="568">
        <v>2</v>
      </c>
      <c r="BR166" s="568">
        <v>2</v>
      </c>
      <c r="BS166" s="568">
        <v>1</v>
      </c>
      <c r="BT166" s="568">
        <v>2</v>
      </c>
      <c r="BU166" s="568">
        <v>2</v>
      </c>
      <c r="BV166" s="568">
        <v>2</v>
      </c>
      <c r="BW166" s="568">
        <v>2</v>
      </c>
      <c r="BX166" s="568">
        <v>2</v>
      </c>
      <c r="BY166" s="568">
        <v>2</v>
      </c>
      <c r="BZ166" s="568">
        <v>2</v>
      </c>
      <c r="CA166" s="568">
        <v>2</v>
      </c>
      <c r="CB166" s="568">
        <v>2</v>
      </c>
      <c r="CD166" s="568">
        <v>2</v>
      </c>
    </row>
    <row r="167" spans="1:99" x14ac:dyDescent="0.3">
      <c r="A167" s="155">
        <v>621</v>
      </c>
      <c r="B167" s="180" t="s">
        <v>959</v>
      </c>
      <c r="C167" s="180"/>
      <c r="D167" s="180"/>
      <c r="E167" s="180">
        <v>0</v>
      </c>
      <c r="F167" s="180">
        <v>0</v>
      </c>
      <c r="G167" s="180">
        <v>0</v>
      </c>
      <c r="H167" s="180">
        <v>0</v>
      </c>
      <c r="I167" s="180">
        <v>0</v>
      </c>
      <c r="J167" s="180">
        <v>0</v>
      </c>
      <c r="K167" s="180">
        <v>0</v>
      </c>
      <c r="L167" s="180">
        <v>0</v>
      </c>
      <c r="M167" s="180">
        <v>0</v>
      </c>
      <c r="N167" s="180">
        <v>0</v>
      </c>
      <c r="O167" s="180">
        <v>0</v>
      </c>
      <c r="P167" s="180">
        <v>0</v>
      </c>
      <c r="Q167" s="180">
        <v>0</v>
      </c>
      <c r="R167" s="180">
        <v>0</v>
      </c>
      <c r="S167" s="180">
        <v>0</v>
      </c>
      <c r="T167" s="180">
        <v>0</v>
      </c>
      <c r="U167" s="180">
        <v>0</v>
      </c>
      <c r="V167" s="180">
        <v>0</v>
      </c>
      <c r="W167" s="180">
        <v>0</v>
      </c>
      <c r="X167" s="180"/>
      <c r="Y167" s="180">
        <v>0</v>
      </c>
      <c r="Z167" s="180">
        <v>0</v>
      </c>
      <c r="AA167" s="180">
        <v>0</v>
      </c>
      <c r="AB167" s="180">
        <v>0</v>
      </c>
      <c r="AC167" s="180">
        <v>0</v>
      </c>
      <c r="AD167" s="180">
        <v>0</v>
      </c>
      <c r="AE167" s="180">
        <v>0</v>
      </c>
      <c r="AF167" s="180">
        <v>0</v>
      </c>
      <c r="AG167" s="180">
        <v>0</v>
      </c>
      <c r="AH167" s="180">
        <v>0</v>
      </c>
      <c r="AI167" s="180">
        <v>0</v>
      </c>
      <c r="AJ167" s="180">
        <v>0</v>
      </c>
      <c r="AK167" s="180"/>
      <c r="AL167" s="180"/>
      <c r="AM167" s="180">
        <v>0</v>
      </c>
      <c r="AN167" s="180">
        <v>0</v>
      </c>
      <c r="AO167" s="180">
        <v>0</v>
      </c>
      <c r="AP167" s="180">
        <v>0</v>
      </c>
      <c r="AQ167" s="180">
        <v>0</v>
      </c>
      <c r="AR167" s="180">
        <v>0</v>
      </c>
      <c r="AS167" s="180"/>
      <c r="AT167" s="180">
        <v>0</v>
      </c>
      <c r="AU167" s="180">
        <v>0</v>
      </c>
      <c r="AV167" s="180">
        <v>0</v>
      </c>
      <c r="AW167" s="180">
        <v>0</v>
      </c>
      <c r="AX167" s="180">
        <v>0</v>
      </c>
      <c r="AY167" s="180">
        <v>0</v>
      </c>
      <c r="AZ167" s="180">
        <v>0</v>
      </c>
      <c r="BA167" s="180">
        <v>0</v>
      </c>
      <c r="BB167" s="180">
        <v>0</v>
      </c>
      <c r="BC167" s="180">
        <v>0</v>
      </c>
      <c r="BD167" s="180">
        <v>0</v>
      </c>
      <c r="BE167" s="180">
        <v>0</v>
      </c>
      <c r="BF167" s="180">
        <v>0</v>
      </c>
      <c r="BG167" s="180">
        <v>0</v>
      </c>
      <c r="BH167" s="180">
        <v>0</v>
      </c>
      <c r="BI167" s="180">
        <v>0</v>
      </c>
      <c r="BJ167" s="180">
        <v>0</v>
      </c>
      <c r="BK167" s="180">
        <v>0</v>
      </c>
      <c r="BL167" s="180"/>
      <c r="BM167" s="180">
        <v>0</v>
      </c>
      <c r="BN167" s="180">
        <v>0</v>
      </c>
      <c r="BO167" s="180">
        <v>0</v>
      </c>
      <c r="BP167" s="180">
        <v>0</v>
      </c>
      <c r="BQ167" s="180">
        <v>0</v>
      </c>
      <c r="BR167" s="180">
        <v>52566</v>
      </c>
      <c r="BS167" s="180">
        <v>0</v>
      </c>
      <c r="BT167" s="180">
        <v>0</v>
      </c>
      <c r="BU167" s="180">
        <v>0</v>
      </c>
      <c r="BV167" s="180">
        <v>0</v>
      </c>
      <c r="BW167" s="180">
        <v>0</v>
      </c>
      <c r="BX167" s="180">
        <v>0</v>
      </c>
      <c r="BY167" s="180">
        <v>0</v>
      </c>
      <c r="BZ167" s="180">
        <v>0</v>
      </c>
      <c r="CA167" s="180">
        <v>0</v>
      </c>
      <c r="CB167" s="180">
        <v>0</v>
      </c>
      <c r="CC167" s="180"/>
      <c r="CD167" s="180">
        <v>0</v>
      </c>
      <c r="CE167" s="180"/>
      <c r="CF167" s="180"/>
      <c r="CG167" s="180"/>
      <c r="CH167" s="180"/>
      <c r="CI167" s="180"/>
      <c r="CJ167" s="180"/>
      <c r="CK167" s="180"/>
      <c r="CL167" s="180"/>
      <c r="CM167" s="180"/>
      <c r="CN167" s="180"/>
      <c r="CO167" s="180"/>
      <c r="CP167" s="180"/>
      <c r="CQ167" s="180"/>
      <c r="CR167" s="180"/>
      <c r="CS167" s="180"/>
      <c r="CT167" s="180"/>
      <c r="CU167" s="180"/>
    </row>
    <row r="168" spans="1:99" x14ac:dyDescent="0.3">
      <c r="A168" s="155">
        <v>622</v>
      </c>
      <c r="B168" s="180" t="s">
        <v>960</v>
      </c>
      <c r="C168" s="180"/>
      <c r="D168" s="180"/>
      <c r="E168" s="180">
        <v>0</v>
      </c>
      <c r="F168" s="180">
        <v>95653</v>
      </c>
      <c r="G168" s="180">
        <v>52909</v>
      </c>
      <c r="H168" s="180">
        <v>6901</v>
      </c>
      <c r="I168" s="180">
        <v>77908</v>
      </c>
      <c r="J168" s="180">
        <v>0</v>
      </c>
      <c r="K168" s="180">
        <v>0</v>
      </c>
      <c r="L168" s="180">
        <v>0</v>
      </c>
      <c r="M168" s="180">
        <v>1220642</v>
      </c>
      <c r="N168" s="180">
        <v>60884</v>
      </c>
      <c r="O168" s="180">
        <v>430788</v>
      </c>
      <c r="P168" s="180">
        <v>0</v>
      </c>
      <c r="Q168" s="180">
        <v>5950508</v>
      </c>
      <c r="R168" s="180">
        <v>145998</v>
      </c>
      <c r="S168" s="180">
        <v>0</v>
      </c>
      <c r="T168" s="180">
        <v>6242656</v>
      </c>
      <c r="U168" s="180">
        <v>2040296</v>
      </c>
      <c r="V168" s="180">
        <v>2848655</v>
      </c>
      <c r="W168" s="180">
        <v>3062591</v>
      </c>
      <c r="X168" s="180"/>
      <c r="Y168" s="180">
        <v>1309691</v>
      </c>
      <c r="Z168" s="180">
        <v>158574</v>
      </c>
      <c r="AA168" s="180">
        <v>1520560</v>
      </c>
      <c r="AB168" s="180">
        <v>511761</v>
      </c>
      <c r="AC168" s="180">
        <v>101217</v>
      </c>
      <c r="AD168" s="180">
        <v>170536</v>
      </c>
      <c r="AE168" s="180">
        <v>306106</v>
      </c>
      <c r="AF168" s="180">
        <v>1427778</v>
      </c>
      <c r="AG168" s="180">
        <v>1402501</v>
      </c>
      <c r="AH168" s="180">
        <v>48002</v>
      </c>
      <c r="AI168" s="180">
        <v>5131412</v>
      </c>
      <c r="AJ168" s="180">
        <v>12882</v>
      </c>
      <c r="AK168" s="180"/>
      <c r="AL168" s="180"/>
      <c r="AM168" s="180">
        <v>1955181</v>
      </c>
      <c r="AN168" s="180">
        <v>0</v>
      </c>
      <c r="AO168" s="180">
        <v>87108</v>
      </c>
      <c r="AP168" s="180">
        <v>0</v>
      </c>
      <c r="AQ168" s="180">
        <v>504093</v>
      </c>
      <c r="AR168" s="180">
        <v>607457</v>
      </c>
      <c r="AS168" s="180"/>
      <c r="AT168" s="180">
        <v>161488</v>
      </c>
      <c r="AU168" s="180">
        <v>10889</v>
      </c>
      <c r="AV168" s="180">
        <v>1440047</v>
      </c>
      <c r="AW168" s="180">
        <v>82661</v>
      </c>
      <c r="AX168" s="180">
        <v>190933</v>
      </c>
      <c r="AY168" s="180">
        <v>574178</v>
      </c>
      <c r="AZ168" s="180">
        <v>47353</v>
      </c>
      <c r="BA168" s="180">
        <v>111186</v>
      </c>
      <c r="BB168" s="180">
        <v>0</v>
      </c>
      <c r="BC168" s="180">
        <v>0</v>
      </c>
      <c r="BD168" s="180">
        <v>854520</v>
      </c>
      <c r="BE168" s="180">
        <v>0</v>
      </c>
      <c r="BF168" s="180">
        <v>20704</v>
      </c>
      <c r="BG168" s="180">
        <v>0</v>
      </c>
      <c r="BH168" s="180">
        <v>0</v>
      </c>
      <c r="BI168" s="180">
        <v>7668</v>
      </c>
      <c r="BJ168" s="180">
        <v>0</v>
      </c>
      <c r="BK168" s="180">
        <v>400575</v>
      </c>
      <c r="BL168" s="180"/>
      <c r="BM168" s="180">
        <v>168328</v>
      </c>
      <c r="BN168" s="180">
        <v>495965</v>
      </c>
      <c r="BO168" s="180">
        <v>104591</v>
      </c>
      <c r="BP168" s="180">
        <v>69012</v>
      </c>
      <c r="BQ168" s="180">
        <v>1607209</v>
      </c>
      <c r="BR168" s="180">
        <v>140631</v>
      </c>
      <c r="BS168" s="180">
        <v>1085633</v>
      </c>
      <c r="BT168" s="180">
        <v>47388</v>
      </c>
      <c r="BU168" s="180">
        <v>579699</v>
      </c>
      <c r="BV168" s="180">
        <v>0</v>
      </c>
      <c r="BW168" s="180">
        <v>251510</v>
      </c>
      <c r="BX168" s="180">
        <v>58277</v>
      </c>
      <c r="BY168" s="180">
        <v>0</v>
      </c>
      <c r="BZ168" s="180">
        <v>2607</v>
      </c>
      <c r="CA168" s="180">
        <v>0</v>
      </c>
      <c r="CB168" s="180">
        <v>112873</v>
      </c>
      <c r="CC168" s="180"/>
      <c r="CD168" s="180">
        <v>0</v>
      </c>
      <c r="CE168" s="180"/>
      <c r="CF168" s="180"/>
      <c r="CG168" s="180"/>
      <c r="CH168" s="180"/>
      <c r="CI168" s="180"/>
      <c r="CJ168" s="180"/>
      <c r="CK168" s="180"/>
      <c r="CL168" s="180"/>
      <c r="CM168" s="180"/>
      <c r="CN168" s="180"/>
      <c r="CO168" s="180"/>
      <c r="CP168" s="180"/>
      <c r="CQ168" s="180"/>
      <c r="CR168" s="180"/>
      <c r="CS168" s="180"/>
      <c r="CT168" s="180"/>
      <c r="CU168" s="180"/>
    </row>
    <row r="169" spans="1:99" s="568" customFormat="1" x14ac:dyDescent="0.3">
      <c r="A169" s="567">
        <v>624</v>
      </c>
      <c r="B169" s="568" t="s">
        <v>357</v>
      </c>
      <c r="E169" s="568">
        <v>1</v>
      </c>
      <c r="F169" s="568">
        <v>1</v>
      </c>
      <c r="G169" s="568">
        <v>1</v>
      </c>
      <c r="H169" s="568">
        <v>2</v>
      </c>
      <c r="I169" s="568">
        <v>2</v>
      </c>
      <c r="J169" s="568">
        <v>1</v>
      </c>
      <c r="K169" s="568">
        <v>1</v>
      </c>
      <c r="L169" s="568">
        <v>1</v>
      </c>
      <c r="M169" s="568">
        <v>1</v>
      </c>
      <c r="N169" s="568">
        <v>1</v>
      </c>
      <c r="O169" s="568">
        <v>2</v>
      </c>
      <c r="P169" s="568">
        <v>1</v>
      </c>
      <c r="Q169" s="568">
        <v>2</v>
      </c>
      <c r="R169" s="568">
        <v>1</v>
      </c>
      <c r="S169" s="568">
        <v>0</v>
      </c>
      <c r="T169" s="568">
        <v>1</v>
      </c>
      <c r="U169" s="568">
        <v>2</v>
      </c>
      <c r="V169" s="568">
        <v>2</v>
      </c>
      <c r="W169" s="568">
        <v>1</v>
      </c>
      <c r="Y169" s="568">
        <v>2</v>
      </c>
      <c r="Z169" s="568">
        <v>1</v>
      </c>
      <c r="AA169" s="568">
        <v>2</v>
      </c>
      <c r="AB169" s="568">
        <v>1</v>
      </c>
      <c r="AC169" s="568">
        <v>2</v>
      </c>
      <c r="AD169" s="568">
        <v>1</v>
      </c>
      <c r="AE169" s="568">
        <v>1</v>
      </c>
      <c r="AF169" s="568">
        <v>2</v>
      </c>
      <c r="AG169" s="568">
        <v>1</v>
      </c>
      <c r="AH169" s="568">
        <v>1</v>
      </c>
      <c r="AI169" s="568">
        <v>1</v>
      </c>
      <c r="AJ169" s="568">
        <v>1</v>
      </c>
      <c r="AM169" s="568">
        <v>2</v>
      </c>
      <c r="AN169" s="568">
        <v>2</v>
      </c>
      <c r="AO169" s="568">
        <v>1</v>
      </c>
      <c r="AP169" s="568">
        <v>2</v>
      </c>
      <c r="AQ169" s="568">
        <v>1</v>
      </c>
      <c r="AR169" s="568">
        <v>1</v>
      </c>
      <c r="AT169" s="568">
        <v>1</v>
      </c>
      <c r="AU169" s="568">
        <v>1</v>
      </c>
      <c r="AV169" s="568">
        <v>0</v>
      </c>
      <c r="AW169" s="568">
        <v>1</v>
      </c>
      <c r="AX169" s="568">
        <v>2</v>
      </c>
      <c r="AY169" s="568">
        <v>2</v>
      </c>
      <c r="AZ169" s="568">
        <v>2</v>
      </c>
      <c r="BA169" s="568">
        <v>1</v>
      </c>
      <c r="BB169" s="568">
        <v>2</v>
      </c>
      <c r="BC169" s="568">
        <v>2</v>
      </c>
      <c r="BD169" s="568">
        <v>1</v>
      </c>
      <c r="BE169" s="568">
        <v>2</v>
      </c>
      <c r="BF169" s="568">
        <v>1</v>
      </c>
      <c r="BG169" s="568">
        <v>1</v>
      </c>
      <c r="BH169" s="568">
        <v>1</v>
      </c>
      <c r="BI169" s="568">
        <v>1</v>
      </c>
      <c r="BJ169" s="568">
        <v>1</v>
      </c>
      <c r="BK169" s="568">
        <v>2</v>
      </c>
      <c r="BM169" s="568">
        <v>1</v>
      </c>
      <c r="BN169" s="568">
        <v>2</v>
      </c>
      <c r="BO169" s="568">
        <v>1</v>
      </c>
      <c r="BP169" s="568">
        <v>2</v>
      </c>
      <c r="BQ169" s="568">
        <v>1</v>
      </c>
      <c r="BR169" s="568">
        <v>1</v>
      </c>
      <c r="BS169" s="568">
        <v>1</v>
      </c>
      <c r="BT169" s="568">
        <v>2</v>
      </c>
      <c r="BU169" s="568">
        <v>1</v>
      </c>
      <c r="BV169" s="568">
        <v>1</v>
      </c>
      <c r="BW169" s="568">
        <v>2</v>
      </c>
      <c r="BX169" s="568">
        <v>1</v>
      </c>
      <c r="BY169" s="568">
        <v>1</v>
      </c>
      <c r="BZ169" s="568">
        <v>1</v>
      </c>
      <c r="CA169" s="568">
        <v>1</v>
      </c>
      <c r="CB169" s="568">
        <v>2</v>
      </c>
      <c r="CD169" s="568">
        <v>1</v>
      </c>
    </row>
    <row r="170" spans="1:99" s="564" customFormat="1" x14ac:dyDescent="0.3">
      <c r="A170" s="563">
        <v>626</v>
      </c>
      <c r="B170" s="564" t="s">
        <v>961</v>
      </c>
      <c r="E170" s="564">
        <v>22201</v>
      </c>
      <c r="F170" s="564">
        <v>127026</v>
      </c>
      <c r="G170" s="564">
        <v>311223</v>
      </c>
      <c r="H170" s="564">
        <v>42059</v>
      </c>
      <c r="I170" s="564">
        <v>508684</v>
      </c>
      <c r="J170" s="564">
        <v>377</v>
      </c>
      <c r="K170" s="564">
        <v>146585</v>
      </c>
      <c r="L170" s="564">
        <v>38980</v>
      </c>
      <c r="M170" s="564">
        <v>5651503</v>
      </c>
      <c r="N170" s="564">
        <v>38031</v>
      </c>
      <c r="O170" s="564">
        <v>270026</v>
      </c>
      <c r="P170" s="564">
        <v>1140</v>
      </c>
      <c r="Q170" s="564">
        <v>10600936</v>
      </c>
      <c r="R170" s="564">
        <v>102761</v>
      </c>
      <c r="S170" s="564">
        <v>17577</v>
      </c>
      <c r="T170" s="564">
        <v>24848395</v>
      </c>
      <c r="U170" s="564">
        <v>3995602</v>
      </c>
      <c r="V170" s="564">
        <v>5503762</v>
      </c>
      <c r="W170" s="564">
        <v>13876299</v>
      </c>
      <c r="Y170" s="564">
        <v>3993158</v>
      </c>
      <c r="Z170" s="564">
        <v>261106</v>
      </c>
      <c r="AA170" s="564">
        <v>4253189</v>
      </c>
      <c r="AB170" s="564">
        <v>354527</v>
      </c>
      <c r="AC170" s="564">
        <v>135801</v>
      </c>
      <c r="AD170" s="564">
        <v>107741</v>
      </c>
      <c r="AE170" s="564">
        <v>250988</v>
      </c>
      <c r="AF170" s="564">
        <v>6489831</v>
      </c>
      <c r="AG170" s="564">
        <v>525008</v>
      </c>
      <c r="AH170" s="564">
        <v>32041</v>
      </c>
      <c r="AI170" s="564">
        <v>13940533</v>
      </c>
      <c r="AJ170" s="564">
        <v>10579</v>
      </c>
      <c r="AM170" s="564">
        <v>4791187</v>
      </c>
      <c r="AN170" s="564">
        <v>72456</v>
      </c>
      <c r="AO170" s="564">
        <v>30964</v>
      </c>
      <c r="AP170" s="564">
        <v>0</v>
      </c>
      <c r="AQ170" s="564">
        <v>2376576</v>
      </c>
      <c r="AR170" s="564">
        <v>231135</v>
      </c>
      <c r="AT170" s="564">
        <v>598773</v>
      </c>
      <c r="AU170" s="564">
        <v>81258</v>
      </c>
      <c r="AV170" s="564">
        <v>460713</v>
      </c>
      <c r="AW170" s="564">
        <v>1168152</v>
      </c>
      <c r="AX170" s="564">
        <v>67734</v>
      </c>
      <c r="AY170" s="564">
        <v>1657971</v>
      </c>
      <c r="AZ170" s="564">
        <v>25965</v>
      </c>
      <c r="BA170" s="564">
        <v>44408</v>
      </c>
      <c r="BB170" s="564">
        <v>0</v>
      </c>
      <c r="BC170" s="564">
        <v>14059</v>
      </c>
      <c r="BD170" s="564">
        <v>678173</v>
      </c>
      <c r="BE170" s="564">
        <v>30798</v>
      </c>
      <c r="BF170" s="564">
        <v>13125</v>
      </c>
      <c r="BG170" s="564">
        <v>13182</v>
      </c>
      <c r="BH170" s="564">
        <v>36116</v>
      </c>
      <c r="BI170" s="564">
        <v>60771</v>
      </c>
      <c r="BJ170" s="564">
        <v>51967</v>
      </c>
      <c r="BK170" s="564">
        <v>1175221</v>
      </c>
      <c r="BM170" s="564">
        <v>135946</v>
      </c>
      <c r="BN170" s="564">
        <v>508643</v>
      </c>
      <c r="BO170" s="564">
        <v>70887</v>
      </c>
      <c r="BP170" s="564">
        <v>31187</v>
      </c>
      <c r="BQ170" s="564">
        <v>5163370</v>
      </c>
      <c r="BR170" s="564">
        <v>94181</v>
      </c>
      <c r="BS170" s="564">
        <v>4703116</v>
      </c>
      <c r="BT170" s="564">
        <v>98390</v>
      </c>
      <c r="BU170" s="564">
        <v>555102</v>
      </c>
      <c r="BV170" s="564">
        <v>675171</v>
      </c>
      <c r="BW170" s="564">
        <v>211258</v>
      </c>
      <c r="BX170" s="564">
        <v>453163</v>
      </c>
      <c r="BY170" s="564">
        <v>39698</v>
      </c>
      <c r="BZ170" s="564">
        <v>1250334</v>
      </c>
      <c r="CA170" s="564">
        <v>49890</v>
      </c>
      <c r="CB170" s="564">
        <v>506306</v>
      </c>
      <c r="CD170" s="564">
        <v>24574</v>
      </c>
    </row>
    <row r="171" spans="1:99" s="562" customFormat="1" x14ac:dyDescent="0.3">
      <c r="A171" s="561">
        <v>627</v>
      </c>
      <c r="B171" s="562" t="s">
        <v>962</v>
      </c>
      <c r="E171" s="562">
        <v>0</v>
      </c>
      <c r="F171" s="562">
        <v>0</v>
      </c>
      <c r="G171" s="562">
        <v>0</v>
      </c>
      <c r="H171" s="562">
        <v>0</v>
      </c>
      <c r="I171" s="562">
        <v>0</v>
      </c>
      <c r="J171" s="562">
        <v>0</v>
      </c>
      <c r="K171" s="562">
        <v>0</v>
      </c>
      <c r="L171" s="562">
        <v>0</v>
      </c>
      <c r="M171" s="562">
        <v>0</v>
      </c>
      <c r="N171" s="562">
        <v>0</v>
      </c>
      <c r="O171" s="562">
        <v>0</v>
      </c>
      <c r="P171" s="562">
        <v>0</v>
      </c>
      <c r="Q171" s="562">
        <v>0</v>
      </c>
      <c r="R171" s="562">
        <v>0</v>
      </c>
      <c r="S171" s="562">
        <v>0</v>
      </c>
      <c r="T171" s="562">
        <v>0</v>
      </c>
      <c r="U171" s="562">
        <v>0</v>
      </c>
      <c r="V171" s="562">
        <v>0</v>
      </c>
      <c r="W171" s="562">
        <v>0</v>
      </c>
      <c r="Y171" s="562">
        <v>0</v>
      </c>
      <c r="Z171" s="562">
        <v>0</v>
      </c>
      <c r="AA171" s="562">
        <v>0</v>
      </c>
      <c r="AB171" s="562">
        <v>0</v>
      </c>
      <c r="AC171" s="562">
        <v>0</v>
      </c>
      <c r="AD171" s="562">
        <v>0</v>
      </c>
      <c r="AE171" s="562">
        <v>0</v>
      </c>
      <c r="AF171" s="562">
        <v>0</v>
      </c>
      <c r="AG171" s="562">
        <v>0</v>
      </c>
      <c r="AH171" s="562">
        <v>0</v>
      </c>
      <c r="AI171" s="562">
        <v>0</v>
      </c>
      <c r="AJ171" s="562">
        <v>0</v>
      </c>
      <c r="AM171" s="562">
        <v>0</v>
      </c>
      <c r="AN171" s="562">
        <v>0</v>
      </c>
      <c r="AO171" s="562">
        <v>0</v>
      </c>
      <c r="AP171" s="562">
        <v>0</v>
      </c>
      <c r="AQ171" s="562">
        <v>0</v>
      </c>
      <c r="AR171" s="562">
        <v>0</v>
      </c>
      <c r="AT171" s="562">
        <v>125106</v>
      </c>
      <c r="AU171" s="562">
        <v>0</v>
      </c>
      <c r="AV171" s="562">
        <v>0</v>
      </c>
      <c r="AW171" s="562">
        <v>0</v>
      </c>
      <c r="AX171" s="562">
        <v>0</v>
      </c>
      <c r="AY171" s="562">
        <v>0</v>
      </c>
      <c r="AZ171" s="562">
        <v>0</v>
      </c>
      <c r="BA171" s="562">
        <v>0</v>
      </c>
      <c r="BB171" s="562">
        <v>0</v>
      </c>
      <c r="BC171" s="562">
        <v>0</v>
      </c>
      <c r="BD171" s="562">
        <v>0</v>
      </c>
      <c r="BE171" s="562">
        <v>0</v>
      </c>
      <c r="BF171" s="562">
        <v>0</v>
      </c>
      <c r="BG171" s="562">
        <v>0</v>
      </c>
      <c r="BH171" s="562">
        <v>0</v>
      </c>
      <c r="BI171" s="562">
        <v>0</v>
      </c>
      <c r="BJ171" s="562">
        <v>0</v>
      </c>
      <c r="BK171" s="562">
        <v>0</v>
      </c>
      <c r="BM171" s="562">
        <v>0</v>
      </c>
      <c r="BN171" s="562">
        <v>0</v>
      </c>
      <c r="BO171" s="562">
        <v>0</v>
      </c>
      <c r="BP171" s="562">
        <v>0</v>
      </c>
      <c r="BQ171" s="562">
        <v>0</v>
      </c>
      <c r="BR171" s="562">
        <v>0</v>
      </c>
      <c r="BS171" s="562">
        <v>0</v>
      </c>
      <c r="BT171" s="562">
        <v>0</v>
      </c>
      <c r="BU171" s="562">
        <v>0</v>
      </c>
      <c r="BV171" s="562">
        <v>0</v>
      </c>
      <c r="BW171" s="562">
        <v>0</v>
      </c>
      <c r="BX171" s="562">
        <v>0</v>
      </c>
      <c r="BY171" s="562">
        <v>0</v>
      </c>
      <c r="BZ171" s="562">
        <v>0</v>
      </c>
      <c r="CA171" s="562">
        <v>0</v>
      </c>
      <c r="CB171" s="562">
        <v>0</v>
      </c>
      <c r="CD171" s="562">
        <v>0</v>
      </c>
    </row>
    <row r="172" spans="1:99" s="562" customFormat="1" x14ac:dyDescent="0.3">
      <c r="A172" s="561">
        <v>628</v>
      </c>
      <c r="B172" s="562" t="s">
        <v>963</v>
      </c>
      <c r="E172" s="562">
        <v>0</v>
      </c>
      <c r="F172" s="562">
        <v>7753</v>
      </c>
      <c r="G172" s="562">
        <v>3013</v>
      </c>
      <c r="H172" s="562">
        <v>0</v>
      </c>
      <c r="I172" s="562">
        <v>40951</v>
      </c>
      <c r="J172" s="562">
        <v>0</v>
      </c>
      <c r="K172" s="562">
        <v>0</v>
      </c>
      <c r="L172" s="562">
        <v>0</v>
      </c>
      <c r="M172" s="562">
        <v>259254</v>
      </c>
      <c r="N172" s="562">
        <v>0</v>
      </c>
      <c r="O172" s="562">
        <v>0</v>
      </c>
      <c r="P172" s="562">
        <v>360</v>
      </c>
      <c r="Q172" s="562">
        <v>1873279</v>
      </c>
      <c r="R172" s="562">
        <v>0</v>
      </c>
      <c r="S172" s="562">
        <v>0</v>
      </c>
      <c r="T172" s="562">
        <v>2373933</v>
      </c>
      <c r="U172" s="562">
        <v>593869</v>
      </c>
      <c r="V172" s="562">
        <v>104619</v>
      </c>
      <c r="W172" s="562">
        <v>1279099</v>
      </c>
      <c r="Y172" s="562">
        <v>0</v>
      </c>
      <c r="Z172" s="562">
        <v>0</v>
      </c>
      <c r="AA172" s="562">
        <v>172264</v>
      </c>
      <c r="AB172" s="562">
        <v>35000</v>
      </c>
      <c r="AC172" s="562">
        <v>0</v>
      </c>
      <c r="AD172" s="562">
        <v>44837</v>
      </c>
      <c r="AE172" s="562">
        <v>0</v>
      </c>
      <c r="AF172" s="562">
        <v>310000</v>
      </c>
      <c r="AG172" s="562">
        <v>0</v>
      </c>
      <c r="AH172" s="562">
        <v>0</v>
      </c>
      <c r="AI172" s="562">
        <v>546588</v>
      </c>
      <c r="AJ172" s="562">
        <v>0</v>
      </c>
      <c r="AM172" s="562">
        <v>362449</v>
      </c>
      <c r="AN172" s="562">
        <v>0</v>
      </c>
      <c r="AO172" s="562">
        <v>0</v>
      </c>
      <c r="AP172" s="562">
        <v>0</v>
      </c>
      <c r="AQ172" s="562">
        <v>0</v>
      </c>
      <c r="AR172" s="562">
        <v>70756</v>
      </c>
      <c r="AT172" s="562">
        <v>22444</v>
      </c>
      <c r="AU172" s="562">
        <v>0</v>
      </c>
      <c r="AV172" s="562">
        <v>0</v>
      </c>
      <c r="AW172" s="562">
        <v>18365</v>
      </c>
      <c r="AX172" s="562">
        <v>0</v>
      </c>
      <c r="AY172" s="562">
        <v>137378</v>
      </c>
      <c r="AZ172" s="562">
        <v>0</v>
      </c>
      <c r="BA172" s="562">
        <v>2752</v>
      </c>
      <c r="BB172" s="562">
        <v>0</v>
      </c>
      <c r="BC172" s="562">
        <v>0</v>
      </c>
      <c r="BD172" s="562">
        <v>0</v>
      </c>
      <c r="BE172" s="562">
        <v>0</v>
      </c>
      <c r="BF172" s="562">
        <v>0</v>
      </c>
      <c r="BG172" s="562">
        <v>0</v>
      </c>
      <c r="BH172" s="562">
        <v>0</v>
      </c>
      <c r="BI172" s="562">
        <v>0</v>
      </c>
      <c r="BJ172" s="562">
        <v>0</v>
      </c>
      <c r="BK172" s="562">
        <v>0</v>
      </c>
      <c r="BM172" s="562">
        <v>12703</v>
      </c>
      <c r="BN172" s="562">
        <v>90000</v>
      </c>
      <c r="BO172" s="562">
        <v>0</v>
      </c>
      <c r="BP172" s="562">
        <v>0</v>
      </c>
      <c r="BQ172" s="562">
        <v>480092</v>
      </c>
      <c r="BR172" s="562">
        <v>0</v>
      </c>
      <c r="BS172" s="562">
        <v>35788</v>
      </c>
      <c r="BT172" s="562">
        <v>1666</v>
      </c>
      <c r="BU172" s="562">
        <v>0</v>
      </c>
      <c r="BV172" s="562">
        <v>0</v>
      </c>
      <c r="BW172" s="562">
        <v>10596</v>
      </c>
      <c r="BX172" s="562">
        <v>0</v>
      </c>
      <c r="BY172" s="562">
        <v>0</v>
      </c>
      <c r="BZ172" s="562">
        <v>0</v>
      </c>
      <c r="CA172" s="562">
        <v>0</v>
      </c>
      <c r="CB172" s="562">
        <v>20000</v>
      </c>
      <c r="CD172" s="562">
        <v>0</v>
      </c>
    </row>
    <row r="173" spans="1:99" x14ac:dyDescent="0.3">
      <c r="A173" s="155">
        <v>629</v>
      </c>
      <c r="B173" s="180" t="s">
        <v>964</v>
      </c>
      <c r="C173" s="180"/>
      <c r="D173" s="180"/>
      <c r="E173" s="180">
        <v>0</v>
      </c>
      <c r="F173" s="180">
        <v>0</v>
      </c>
      <c r="G173" s="180">
        <v>0</v>
      </c>
      <c r="H173" s="180">
        <v>0</v>
      </c>
      <c r="I173" s="180">
        <v>0</v>
      </c>
      <c r="J173" s="180">
        <v>0</v>
      </c>
      <c r="K173" s="180">
        <v>0</v>
      </c>
      <c r="L173" s="180">
        <v>0</v>
      </c>
      <c r="M173" s="180">
        <v>0</v>
      </c>
      <c r="N173" s="180">
        <v>0</v>
      </c>
      <c r="O173" s="180">
        <v>0</v>
      </c>
      <c r="P173" s="180">
        <v>0</v>
      </c>
      <c r="Q173" s="180">
        <v>0</v>
      </c>
      <c r="R173" s="180">
        <v>0</v>
      </c>
      <c r="S173" s="180">
        <v>0</v>
      </c>
      <c r="T173" s="180">
        <v>0</v>
      </c>
      <c r="U173" s="180">
        <v>0</v>
      </c>
      <c r="V173" s="180">
        <v>0</v>
      </c>
      <c r="W173" s="180">
        <v>0</v>
      </c>
      <c r="X173" s="180"/>
      <c r="Y173" s="180">
        <v>0</v>
      </c>
      <c r="Z173" s="180">
        <v>0</v>
      </c>
      <c r="AA173" s="180">
        <v>0</v>
      </c>
      <c r="AB173" s="180">
        <v>0</v>
      </c>
      <c r="AC173" s="180">
        <v>0</v>
      </c>
      <c r="AD173" s="180">
        <v>0</v>
      </c>
      <c r="AE173" s="180">
        <v>0</v>
      </c>
      <c r="AF173" s="180">
        <v>0</v>
      </c>
      <c r="AG173" s="180">
        <v>0</v>
      </c>
      <c r="AH173" s="180">
        <v>0</v>
      </c>
      <c r="AI173" s="180">
        <v>0</v>
      </c>
      <c r="AJ173" s="180">
        <v>0</v>
      </c>
      <c r="AK173" s="180"/>
      <c r="AL173" s="180"/>
      <c r="AM173" s="180">
        <v>0</v>
      </c>
      <c r="AN173" s="180">
        <v>0</v>
      </c>
      <c r="AO173" s="180">
        <v>0</v>
      </c>
      <c r="AP173" s="180">
        <v>0</v>
      </c>
      <c r="AQ173" s="180">
        <v>0</v>
      </c>
      <c r="AR173" s="180">
        <v>0</v>
      </c>
      <c r="AS173" s="180"/>
      <c r="AT173" s="180">
        <v>0</v>
      </c>
      <c r="AU173" s="180">
        <v>0</v>
      </c>
      <c r="AV173" s="180">
        <v>0</v>
      </c>
      <c r="AW173" s="180">
        <v>0</v>
      </c>
      <c r="AX173" s="180">
        <v>0</v>
      </c>
      <c r="AY173" s="180">
        <v>0</v>
      </c>
      <c r="AZ173" s="180">
        <v>0</v>
      </c>
      <c r="BA173" s="180">
        <v>0</v>
      </c>
      <c r="BB173" s="180">
        <v>0</v>
      </c>
      <c r="BC173" s="180">
        <v>0</v>
      </c>
      <c r="BD173" s="180">
        <v>0</v>
      </c>
      <c r="BE173" s="180">
        <v>0</v>
      </c>
      <c r="BF173" s="180">
        <v>0</v>
      </c>
      <c r="BG173" s="180">
        <v>0</v>
      </c>
      <c r="BH173" s="180">
        <v>0</v>
      </c>
      <c r="BI173" s="180">
        <v>0</v>
      </c>
      <c r="BJ173" s="180">
        <v>0</v>
      </c>
      <c r="BK173" s="180">
        <v>0</v>
      </c>
      <c r="BL173" s="180"/>
      <c r="BM173" s="180">
        <v>0</v>
      </c>
      <c r="BN173" s="180">
        <v>0</v>
      </c>
      <c r="BO173" s="180">
        <v>0</v>
      </c>
      <c r="BP173" s="180">
        <v>0</v>
      </c>
      <c r="BQ173" s="180">
        <v>0</v>
      </c>
      <c r="BR173" s="180">
        <v>0</v>
      </c>
      <c r="BS173" s="180">
        <v>0</v>
      </c>
      <c r="BT173" s="180">
        <v>0</v>
      </c>
      <c r="BU173" s="180">
        <v>0</v>
      </c>
      <c r="BV173" s="180">
        <v>0</v>
      </c>
      <c r="BW173" s="180">
        <v>0</v>
      </c>
      <c r="BX173" s="180">
        <v>0</v>
      </c>
      <c r="BY173" s="180">
        <v>0</v>
      </c>
      <c r="BZ173" s="180">
        <v>0</v>
      </c>
      <c r="CA173" s="180">
        <v>0</v>
      </c>
      <c r="CB173" s="180">
        <v>0</v>
      </c>
      <c r="CC173" s="180"/>
      <c r="CD173" s="180">
        <v>0</v>
      </c>
      <c r="CE173" s="180"/>
      <c r="CF173" s="180"/>
      <c r="CG173" s="180"/>
      <c r="CH173" s="180"/>
      <c r="CI173" s="180"/>
      <c r="CJ173" s="180"/>
      <c r="CK173" s="180"/>
      <c r="CL173" s="180"/>
      <c r="CM173" s="180"/>
      <c r="CN173" s="180"/>
      <c r="CO173" s="180"/>
      <c r="CP173" s="180"/>
      <c r="CQ173" s="180"/>
      <c r="CR173" s="180"/>
      <c r="CS173" s="180"/>
      <c r="CT173" s="180"/>
      <c r="CU173" s="180"/>
    </row>
    <row r="174" spans="1:99" x14ac:dyDescent="0.3">
      <c r="A174" s="155">
        <v>630</v>
      </c>
      <c r="B174" s="180" t="s">
        <v>965</v>
      </c>
      <c r="C174" s="180"/>
      <c r="D174" s="180"/>
      <c r="E174" s="180">
        <v>0</v>
      </c>
      <c r="F174" s="180">
        <v>0</v>
      </c>
      <c r="G174" s="180">
        <v>0</v>
      </c>
      <c r="H174" s="180">
        <v>0</v>
      </c>
      <c r="I174" s="180">
        <v>406835</v>
      </c>
      <c r="J174" s="180">
        <v>0</v>
      </c>
      <c r="K174" s="180">
        <v>0</v>
      </c>
      <c r="L174" s="180">
        <v>0</v>
      </c>
      <c r="M174" s="180">
        <v>0</v>
      </c>
      <c r="N174" s="180">
        <v>0</v>
      </c>
      <c r="O174" s="180">
        <v>0</v>
      </c>
      <c r="P174" s="180">
        <v>0</v>
      </c>
      <c r="Q174" s="180">
        <v>36037</v>
      </c>
      <c r="R174" s="180">
        <v>0</v>
      </c>
      <c r="S174" s="180">
        <v>15094</v>
      </c>
      <c r="T174" s="180">
        <v>7411196</v>
      </c>
      <c r="U174" s="180">
        <v>0</v>
      </c>
      <c r="V174" s="180">
        <v>0</v>
      </c>
      <c r="W174" s="180">
        <v>0</v>
      </c>
      <c r="X174" s="180"/>
      <c r="Y174" s="180">
        <v>361274</v>
      </c>
      <c r="Z174" s="180">
        <v>181976</v>
      </c>
      <c r="AA174" s="180">
        <v>86045</v>
      </c>
      <c r="AB174" s="180">
        <v>0</v>
      </c>
      <c r="AC174" s="180">
        <v>0</v>
      </c>
      <c r="AD174" s="180">
        <v>0</v>
      </c>
      <c r="AE174" s="180">
        <v>0</v>
      </c>
      <c r="AF174" s="180">
        <v>7710</v>
      </c>
      <c r="AG174" s="180">
        <v>0</v>
      </c>
      <c r="AH174" s="180">
        <v>0</v>
      </c>
      <c r="AI174" s="180">
        <v>0</v>
      </c>
      <c r="AJ174" s="180">
        <v>0</v>
      </c>
      <c r="AK174" s="180"/>
      <c r="AL174" s="180"/>
      <c r="AM174" s="180">
        <v>33640</v>
      </c>
      <c r="AN174" s="180">
        <v>0</v>
      </c>
      <c r="AO174" s="180">
        <v>0</v>
      </c>
      <c r="AP174" s="180">
        <v>0</v>
      </c>
      <c r="AQ174" s="180">
        <v>0</v>
      </c>
      <c r="AR174" s="180">
        <v>0</v>
      </c>
      <c r="AS174" s="180"/>
      <c r="AT174" s="180">
        <v>0</v>
      </c>
      <c r="AU174" s="180">
        <v>73713</v>
      </c>
      <c r="AV174" s="180">
        <v>0</v>
      </c>
      <c r="AW174" s="180">
        <v>12907</v>
      </c>
      <c r="AX174" s="180">
        <v>33000</v>
      </c>
      <c r="AY174" s="180">
        <v>0</v>
      </c>
      <c r="AZ174" s="180">
        <v>0</v>
      </c>
      <c r="BA174" s="180">
        <v>0</v>
      </c>
      <c r="BB174" s="180">
        <v>0</v>
      </c>
      <c r="BC174" s="180">
        <v>3100</v>
      </c>
      <c r="BD174" s="180">
        <v>0</v>
      </c>
      <c r="BE174" s="180">
        <v>0</v>
      </c>
      <c r="BF174" s="180">
        <v>0</v>
      </c>
      <c r="BG174" s="180">
        <v>0</v>
      </c>
      <c r="BH174" s="180">
        <v>35336</v>
      </c>
      <c r="BI174" s="180">
        <v>58073</v>
      </c>
      <c r="BJ174" s="180">
        <v>0</v>
      </c>
      <c r="BK174" s="180">
        <v>0</v>
      </c>
      <c r="BL174" s="180"/>
      <c r="BM174" s="180">
        <v>0</v>
      </c>
      <c r="BN174" s="180">
        <v>45437</v>
      </c>
      <c r="BO174" s="180">
        <v>0</v>
      </c>
      <c r="BP174" s="180">
        <v>0</v>
      </c>
      <c r="BQ174" s="180">
        <v>2648376</v>
      </c>
      <c r="BR174" s="180">
        <v>0</v>
      </c>
      <c r="BS174" s="180">
        <v>0</v>
      </c>
      <c r="BT174" s="180">
        <v>0</v>
      </c>
      <c r="BU174" s="180">
        <v>0</v>
      </c>
      <c r="BV174" s="180">
        <v>632678</v>
      </c>
      <c r="BW174" s="180">
        <v>0</v>
      </c>
      <c r="BX174" s="180">
        <v>408092</v>
      </c>
      <c r="BY174" s="180">
        <v>37915</v>
      </c>
      <c r="BZ174" s="180">
        <v>0</v>
      </c>
      <c r="CA174" s="180">
        <v>38881</v>
      </c>
      <c r="CB174" s="180">
        <v>0</v>
      </c>
      <c r="CC174" s="180"/>
      <c r="CD174" s="180">
        <v>0</v>
      </c>
      <c r="CE174" s="180"/>
      <c r="CF174" s="180"/>
      <c r="CG174" s="180"/>
      <c r="CH174" s="180"/>
      <c r="CI174" s="180"/>
      <c r="CJ174" s="180"/>
      <c r="CK174" s="180"/>
      <c r="CL174" s="180"/>
      <c r="CM174" s="180"/>
      <c r="CN174" s="180"/>
      <c r="CO174" s="180"/>
      <c r="CP174" s="180"/>
      <c r="CQ174" s="180"/>
      <c r="CR174" s="180"/>
      <c r="CS174" s="180"/>
      <c r="CT174" s="180"/>
      <c r="CU174" s="180"/>
    </row>
    <row r="175" spans="1:99" x14ac:dyDescent="0.3">
      <c r="A175" s="155">
        <v>631</v>
      </c>
      <c r="B175" s="180" t="s">
        <v>966</v>
      </c>
      <c r="C175" s="180"/>
      <c r="D175" s="180"/>
      <c r="E175" s="180">
        <v>0</v>
      </c>
      <c r="F175" s="180">
        <v>0</v>
      </c>
      <c r="G175" s="180">
        <v>0</v>
      </c>
      <c r="H175" s="180">
        <v>0</v>
      </c>
      <c r="I175" s="180">
        <v>0</v>
      </c>
      <c r="J175" s="180">
        <v>0</v>
      </c>
      <c r="K175" s="180">
        <v>0</v>
      </c>
      <c r="L175" s="180">
        <v>0</v>
      </c>
      <c r="M175" s="180">
        <v>0</v>
      </c>
      <c r="N175" s="180">
        <v>0</v>
      </c>
      <c r="O175" s="180">
        <v>0</v>
      </c>
      <c r="P175" s="180">
        <v>0</v>
      </c>
      <c r="Q175" s="180">
        <v>0</v>
      </c>
      <c r="R175" s="180">
        <v>0</v>
      </c>
      <c r="S175" s="180">
        <v>0</v>
      </c>
      <c r="T175" s="180">
        <v>0</v>
      </c>
      <c r="U175" s="180">
        <v>0</v>
      </c>
      <c r="V175" s="180">
        <v>0</v>
      </c>
      <c r="W175" s="180">
        <v>0</v>
      </c>
      <c r="X175" s="180"/>
      <c r="Y175" s="180">
        <v>0</v>
      </c>
      <c r="Z175" s="180">
        <v>0</v>
      </c>
      <c r="AA175" s="180">
        <v>0</v>
      </c>
      <c r="AB175" s="180">
        <v>0</v>
      </c>
      <c r="AC175" s="180">
        <v>0</v>
      </c>
      <c r="AD175" s="180">
        <v>0</v>
      </c>
      <c r="AE175" s="180">
        <v>0</v>
      </c>
      <c r="AF175" s="180">
        <v>0</v>
      </c>
      <c r="AG175" s="180">
        <v>0</v>
      </c>
      <c r="AH175" s="180">
        <v>0</v>
      </c>
      <c r="AI175" s="180">
        <v>0</v>
      </c>
      <c r="AJ175" s="180">
        <v>0</v>
      </c>
      <c r="AK175" s="180"/>
      <c r="AL175" s="180"/>
      <c r="AM175" s="180">
        <v>0</v>
      </c>
      <c r="AN175" s="180">
        <v>0</v>
      </c>
      <c r="AO175" s="180">
        <v>0</v>
      </c>
      <c r="AP175" s="180">
        <v>0</v>
      </c>
      <c r="AQ175" s="180">
        <v>0</v>
      </c>
      <c r="AR175" s="180">
        <v>0</v>
      </c>
      <c r="AS175" s="180"/>
      <c r="AT175" s="180">
        <v>0</v>
      </c>
      <c r="AU175" s="180">
        <v>0</v>
      </c>
      <c r="AV175" s="180">
        <v>0</v>
      </c>
      <c r="AW175" s="180">
        <v>0</v>
      </c>
      <c r="AX175" s="180">
        <v>0</v>
      </c>
      <c r="AY175" s="180">
        <v>0</v>
      </c>
      <c r="AZ175" s="180">
        <v>0</v>
      </c>
      <c r="BA175" s="180">
        <v>0</v>
      </c>
      <c r="BB175" s="180">
        <v>0</v>
      </c>
      <c r="BC175" s="180">
        <v>0</v>
      </c>
      <c r="BD175" s="180">
        <v>0</v>
      </c>
      <c r="BE175" s="180">
        <v>0</v>
      </c>
      <c r="BF175" s="180">
        <v>0</v>
      </c>
      <c r="BG175" s="180">
        <v>0</v>
      </c>
      <c r="BH175" s="180">
        <v>0</v>
      </c>
      <c r="BI175" s="180">
        <v>0</v>
      </c>
      <c r="BJ175" s="180">
        <v>0</v>
      </c>
      <c r="BK175" s="180">
        <v>0</v>
      </c>
      <c r="BL175" s="180"/>
      <c r="BM175" s="180">
        <v>0</v>
      </c>
      <c r="BN175" s="180">
        <v>0</v>
      </c>
      <c r="BO175" s="180">
        <v>0</v>
      </c>
      <c r="BP175" s="180">
        <v>0</v>
      </c>
      <c r="BQ175" s="180">
        <v>0</v>
      </c>
      <c r="BR175" s="180">
        <v>0</v>
      </c>
      <c r="BS175" s="180">
        <v>0</v>
      </c>
      <c r="BT175" s="180">
        <v>0</v>
      </c>
      <c r="BU175" s="180">
        <v>0</v>
      </c>
      <c r="BV175" s="180">
        <v>0</v>
      </c>
      <c r="BW175" s="180">
        <v>0</v>
      </c>
      <c r="BX175" s="180">
        <v>0</v>
      </c>
      <c r="BY175" s="180">
        <v>0</v>
      </c>
      <c r="BZ175" s="180">
        <v>0</v>
      </c>
      <c r="CA175" s="180">
        <v>0</v>
      </c>
      <c r="CB175" s="180">
        <v>0</v>
      </c>
      <c r="CC175" s="180"/>
      <c r="CD175" s="180">
        <v>0</v>
      </c>
      <c r="CE175" s="180"/>
      <c r="CF175" s="180"/>
      <c r="CG175" s="180"/>
      <c r="CH175" s="180"/>
      <c r="CI175" s="180"/>
      <c r="CJ175" s="180"/>
      <c r="CK175" s="180"/>
      <c r="CL175" s="180"/>
      <c r="CM175" s="180"/>
      <c r="CN175" s="180"/>
      <c r="CO175" s="180"/>
      <c r="CP175" s="180"/>
      <c r="CQ175" s="180"/>
      <c r="CR175" s="180"/>
      <c r="CS175" s="180"/>
      <c r="CT175" s="180"/>
      <c r="CU175" s="180"/>
    </row>
    <row r="176" spans="1:99" x14ac:dyDescent="0.3">
      <c r="A176" s="155">
        <v>632</v>
      </c>
      <c r="B176" s="180" t="s">
        <v>967</v>
      </c>
      <c r="C176" s="180"/>
      <c r="D176" s="180"/>
      <c r="E176" s="180">
        <v>0</v>
      </c>
      <c r="F176" s="180">
        <v>0</v>
      </c>
      <c r="G176" s="180">
        <v>0</v>
      </c>
      <c r="H176" s="180">
        <v>0</v>
      </c>
      <c r="I176" s="180">
        <v>0</v>
      </c>
      <c r="J176" s="180">
        <v>0</v>
      </c>
      <c r="K176" s="180">
        <v>0</v>
      </c>
      <c r="L176" s="180">
        <v>0</v>
      </c>
      <c r="M176" s="180">
        <v>0</v>
      </c>
      <c r="N176" s="180">
        <v>0</v>
      </c>
      <c r="O176" s="180">
        <v>0</v>
      </c>
      <c r="P176" s="180">
        <v>0</v>
      </c>
      <c r="Q176" s="180">
        <v>0</v>
      </c>
      <c r="R176" s="180">
        <v>0</v>
      </c>
      <c r="S176" s="180">
        <v>0</v>
      </c>
      <c r="T176" s="180">
        <v>0</v>
      </c>
      <c r="U176" s="180">
        <v>0</v>
      </c>
      <c r="V176" s="180">
        <v>0</v>
      </c>
      <c r="W176" s="180">
        <v>0</v>
      </c>
      <c r="X176" s="180"/>
      <c r="Y176" s="180">
        <v>0</v>
      </c>
      <c r="Z176" s="180">
        <v>0</v>
      </c>
      <c r="AA176" s="180">
        <v>0</v>
      </c>
      <c r="AB176" s="180">
        <v>0</v>
      </c>
      <c r="AC176" s="180">
        <v>0</v>
      </c>
      <c r="AD176" s="180">
        <v>0</v>
      </c>
      <c r="AE176" s="180">
        <v>0</v>
      </c>
      <c r="AF176" s="180">
        <v>0</v>
      </c>
      <c r="AG176" s="180">
        <v>0</v>
      </c>
      <c r="AH176" s="180">
        <v>0</v>
      </c>
      <c r="AI176" s="180">
        <v>0</v>
      </c>
      <c r="AJ176" s="180">
        <v>0</v>
      </c>
      <c r="AK176" s="180"/>
      <c r="AL176" s="180"/>
      <c r="AM176" s="180">
        <v>0</v>
      </c>
      <c r="AN176" s="180">
        <v>0</v>
      </c>
      <c r="AO176" s="180">
        <v>0</v>
      </c>
      <c r="AP176" s="180">
        <v>0</v>
      </c>
      <c r="AQ176" s="180">
        <v>0</v>
      </c>
      <c r="AR176" s="180">
        <v>0</v>
      </c>
      <c r="AS176" s="180"/>
      <c r="AT176" s="180">
        <v>0</v>
      </c>
      <c r="AU176" s="180">
        <v>0</v>
      </c>
      <c r="AV176" s="180">
        <v>0</v>
      </c>
      <c r="AW176" s="180">
        <v>0</v>
      </c>
      <c r="AX176" s="180">
        <v>0</v>
      </c>
      <c r="AY176" s="180">
        <v>0</v>
      </c>
      <c r="AZ176" s="180">
        <v>0</v>
      </c>
      <c r="BA176" s="180">
        <v>0</v>
      </c>
      <c r="BB176" s="180">
        <v>0</v>
      </c>
      <c r="BC176" s="180">
        <v>0</v>
      </c>
      <c r="BD176" s="180">
        <v>0</v>
      </c>
      <c r="BE176" s="180">
        <v>0</v>
      </c>
      <c r="BF176" s="180">
        <v>0</v>
      </c>
      <c r="BG176" s="180">
        <v>0</v>
      </c>
      <c r="BH176" s="180">
        <v>0</v>
      </c>
      <c r="BI176" s="180">
        <v>0</v>
      </c>
      <c r="BJ176" s="180">
        <v>0</v>
      </c>
      <c r="BK176" s="180">
        <v>0</v>
      </c>
      <c r="BL176" s="180"/>
      <c r="BM176" s="180">
        <v>0</v>
      </c>
      <c r="BN176" s="180">
        <v>0</v>
      </c>
      <c r="BO176" s="180">
        <v>0</v>
      </c>
      <c r="BP176" s="180">
        <v>0</v>
      </c>
      <c r="BQ176" s="180">
        <v>0</v>
      </c>
      <c r="BR176" s="180">
        <v>0</v>
      </c>
      <c r="BS176" s="180">
        <v>0</v>
      </c>
      <c r="BT176" s="180">
        <v>0</v>
      </c>
      <c r="BU176" s="180">
        <v>0</v>
      </c>
      <c r="BV176" s="180">
        <v>0</v>
      </c>
      <c r="BW176" s="180">
        <v>0</v>
      </c>
      <c r="BX176" s="180">
        <v>0</v>
      </c>
      <c r="BY176" s="180">
        <v>0</v>
      </c>
      <c r="BZ176" s="180">
        <v>0</v>
      </c>
      <c r="CA176" s="180">
        <v>0</v>
      </c>
      <c r="CB176" s="180">
        <v>0</v>
      </c>
      <c r="CC176" s="180"/>
      <c r="CD176" s="180">
        <v>0</v>
      </c>
      <c r="CE176" s="180"/>
      <c r="CF176" s="180"/>
      <c r="CG176" s="180"/>
      <c r="CH176" s="180"/>
      <c r="CI176" s="180"/>
      <c r="CJ176" s="180"/>
      <c r="CK176" s="180"/>
      <c r="CL176" s="180"/>
      <c r="CM176" s="180"/>
      <c r="CN176" s="180"/>
      <c r="CO176" s="180"/>
      <c r="CP176" s="180"/>
      <c r="CQ176" s="180"/>
      <c r="CR176" s="180"/>
      <c r="CS176" s="180"/>
      <c r="CT176" s="180"/>
      <c r="CU176" s="180"/>
    </row>
    <row r="177" spans="1:99" x14ac:dyDescent="0.3">
      <c r="A177" s="155">
        <v>633</v>
      </c>
      <c r="B177" s="180" t="s">
        <v>373</v>
      </c>
      <c r="C177" s="180"/>
      <c r="D177" s="180"/>
      <c r="E177" s="180">
        <v>0</v>
      </c>
      <c r="F177" s="180">
        <v>129622</v>
      </c>
      <c r="G177" s="180">
        <v>0</v>
      </c>
      <c r="H177" s="180">
        <v>0</v>
      </c>
      <c r="I177" s="180">
        <v>0</v>
      </c>
      <c r="J177" s="180">
        <v>19786</v>
      </c>
      <c r="K177" s="180">
        <v>0</v>
      </c>
      <c r="L177" s="180">
        <v>0</v>
      </c>
      <c r="M177" s="180">
        <v>0</v>
      </c>
      <c r="N177" s="180">
        <v>0</v>
      </c>
      <c r="O177" s="180">
        <v>446051</v>
      </c>
      <c r="P177" s="180">
        <v>0</v>
      </c>
      <c r="Q177" s="180">
        <v>2841363</v>
      </c>
      <c r="R177" s="180">
        <v>51262</v>
      </c>
      <c r="S177" s="180">
        <v>0</v>
      </c>
      <c r="T177" s="180">
        <v>8254311</v>
      </c>
      <c r="U177" s="180">
        <v>2191466</v>
      </c>
      <c r="V177" s="180">
        <v>2059911</v>
      </c>
      <c r="W177" s="180">
        <v>0</v>
      </c>
      <c r="X177" s="180"/>
      <c r="Y177" s="180">
        <v>1125334</v>
      </c>
      <c r="Z177" s="180">
        <v>258448</v>
      </c>
      <c r="AA177" s="180">
        <v>1060768</v>
      </c>
      <c r="AB177" s="180">
        <v>780427</v>
      </c>
      <c r="AC177" s="180">
        <v>470574</v>
      </c>
      <c r="AD177" s="180">
        <v>462536</v>
      </c>
      <c r="AE177" s="180">
        <v>315098</v>
      </c>
      <c r="AF177" s="180">
        <v>964397</v>
      </c>
      <c r="AG177" s="180">
        <v>425740</v>
      </c>
      <c r="AH177" s="180">
        <v>0</v>
      </c>
      <c r="AI177" s="180">
        <v>5358836</v>
      </c>
      <c r="AJ177" s="180">
        <v>64896</v>
      </c>
      <c r="AK177" s="180"/>
      <c r="AL177" s="180"/>
      <c r="AM177" s="180">
        <v>1814192</v>
      </c>
      <c r="AN177" s="180">
        <v>71575</v>
      </c>
      <c r="AO177" s="180">
        <v>155736</v>
      </c>
      <c r="AP177" s="180">
        <v>0</v>
      </c>
      <c r="AQ177" s="180">
        <v>0</v>
      </c>
      <c r="AR177" s="180">
        <v>351708</v>
      </c>
      <c r="AS177" s="180"/>
      <c r="AT177" s="180">
        <v>1135858</v>
      </c>
      <c r="AU177" s="180">
        <v>0</v>
      </c>
      <c r="AV177" s="180">
        <v>5282687</v>
      </c>
      <c r="AW177" s="180">
        <v>0</v>
      </c>
      <c r="AX177" s="180">
        <v>459874</v>
      </c>
      <c r="AY177" s="180">
        <v>429571</v>
      </c>
      <c r="AZ177" s="180">
        <v>86281</v>
      </c>
      <c r="BA177" s="180">
        <v>96780</v>
      </c>
      <c r="BB177" s="180">
        <v>0</v>
      </c>
      <c r="BC177" s="180">
        <v>123891</v>
      </c>
      <c r="BD177" s="180">
        <v>2895408</v>
      </c>
      <c r="BE177" s="180">
        <v>0</v>
      </c>
      <c r="BF177" s="180">
        <v>262550</v>
      </c>
      <c r="BG177" s="180">
        <v>5856</v>
      </c>
      <c r="BH177" s="180">
        <v>0</v>
      </c>
      <c r="BI177" s="180">
        <v>32386</v>
      </c>
      <c r="BJ177" s="180">
        <v>0</v>
      </c>
      <c r="BK177" s="180">
        <v>473077</v>
      </c>
      <c r="BL177" s="180"/>
      <c r="BM177" s="180">
        <v>354823</v>
      </c>
      <c r="BN177" s="180">
        <v>124739</v>
      </c>
      <c r="BO177" s="180">
        <v>327858</v>
      </c>
      <c r="BP177" s="180">
        <v>110582</v>
      </c>
      <c r="BQ177" s="180">
        <v>0</v>
      </c>
      <c r="BR177" s="180">
        <v>229727</v>
      </c>
      <c r="BS177" s="180">
        <v>0</v>
      </c>
      <c r="BT177" s="180">
        <v>89123</v>
      </c>
      <c r="BU177" s="180">
        <v>914187</v>
      </c>
      <c r="BV177" s="180">
        <v>0</v>
      </c>
      <c r="BW177" s="180">
        <v>1312044</v>
      </c>
      <c r="BX177" s="180">
        <v>55272</v>
      </c>
      <c r="BY177" s="180">
        <v>35125</v>
      </c>
      <c r="BZ177" s="180">
        <v>688972</v>
      </c>
      <c r="CA177" s="180">
        <v>31256</v>
      </c>
      <c r="CB177" s="180">
        <v>144927</v>
      </c>
      <c r="CC177" s="180"/>
      <c r="CD177" s="180">
        <v>0</v>
      </c>
      <c r="CE177" s="180"/>
      <c r="CF177" s="180"/>
      <c r="CG177" s="180"/>
      <c r="CH177" s="180"/>
      <c r="CI177" s="180"/>
      <c r="CJ177" s="180"/>
      <c r="CK177" s="180"/>
      <c r="CL177" s="180"/>
      <c r="CM177" s="180"/>
      <c r="CN177" s="180"/>
      <c r="CO177" s="180"/>
      <c r="CP177" s="180"/>
      <c r="CQ177" s="180"/>
      <c r="CR177" s="180"/>
      <c r="CS177" s="180"/>
      <c r="CT177" s="180"/>
      <c r="CU177" s="180"/>
    </row>
    <row r="178" spans="1:99" x14ac:dyDescent="0.3">
      <c r="A178" s="155">
        <v>634</v>
      </c>
      <c r="B178" s="180" t="s">
        <v>374</v>
      </c>
      <c r="C178" s="180"/>
      <c r="D178" s="180"/>
      <c r="E178" s="180">
        <v>0</v>
      </c>
      <c r="F178" s="180">
        <v>0</v>
      </c>
      <c r="G178" s="180">
        <v>0</v>
      </c>
      <c r="H178" s="180">
        <v>0</v>
      </c>
      <c r="I178" s="180">
        <v>0</v>
      </c>
      <c r="J178" s="180">
        <v>0</v>
      </c>
      <c r="K178" s="180">
        <v>0</v>
      </c>
      <c r="L178" s="180">
        <v>0</v>
      </c>
      <c r="M178" s="180">
        <v>0</v>
      </c>
      <c r="N178" s="180">
        <v>0</v>
      </c>
      <c r="O178" s="180">
        <v>0</v>
      </c>
      <c r="P178" s="180">
        <v>0</v>
      </c>
      <c r="Q178" s="180">
        <v>0</v>
      </c>
      <c r="R178" s="180">
        <v>0</v>
      </c>
      <c r="S178" s="180">
        <v>0</v>
      </c>
      <c r="T178" s="180">
        <v>0</v>
      </c>
      <c r="U178" s="180">
        <v>0</v>
      </c>
      <c r="V178" s="180">
        <v>0</v>
      </c>
      <c r="W178" s="180">
        <v>0</v>
      </c>
      <c r="X178" s="180"/>
      <c r="Y178" s="180">
        <v>0</v>
      </c>
      <c r="Z178" s="180">
        <v>0</v>
      </c>
      <c r="AA178" s="180">
        <v>0</v>
      </c>
      <c r="AB178" s="180">
        <v>0</v>
      </c>
      <c r="AC178" s="180">
        <v>0</v>
      </c>
      <c r="AD178" s="180">
        <v>0</v>
      </c>
      <c r="AE178" s="180">
        <v>0</v>
      </c>
      <c r="AF178" s="180">
        <v>0</v>
      </c>
      <c r="AG178" s="180">
        <v>0</v>
      </c>
      <c r="AH178" s="180">
        <v>0</v>
      </c>
      <c r="AI178" s="180">
        <v>0</v>
      </c>
      <c r="AJ178" s="180">
        <v>0</v>
      </c>
      <c r="AK178" s="180"/>
      <c r="AL178" s="180"/>
      <c r="AM178" s="180">
        <v>0</v>
      </c>
      <c r="AN178" s="180">
        <v>0</v>
      </c>
      <c r="AO178" s="180">
        <v>0</v>
      </c>
      <c r="AP178" s="180">
        <v>0</v>
      </c>
      <c r="AQ178" s="180">
        <v>0</v>
      </c>
      <c r="AR178" s="180">
        <v>0</v>
      </c>
      <c r="AS178" s="180"/>
      <c r="AT178" s="180">
        <v>172577</v>
      </c>
      <c r="AU178" s="180">
        <v>0</v>
      </c>
      <c r="AV178" s="180">
        <v>0</v>
      </c>
      <c r="AW178" s="180">
        <v>0</v>
      </c>
      <c r="AX178" s="180">
        <v>0</v>
      </c>
      <c r="AY178" s="180">
        <v>0</v>
      </c>
      <c r="AZ178" s="180">
        <v>0</v>
      </c>
      <c r="BA178" s="180">
        <v>0</v>
      </c>
      <c r="BB178" s="180">
        <v>0</v>
      </c>
      <c r="BC178" s="180">
        <v>0</v>
      </c>
      <c r="BD178" s="180">
        <v>0</v>
      </c>
      <c r="BE178" s="180">
        <v>0</v>
      </c>
      <c r="BF178" s="180">
        <v>0</v>
      </c>
      <c r="BG178" s="180">
        <v>0</v>
      </c>
      <c r="BH178" s="180">
        <v>0</v>
      </c>
      <c r="BI178" s="180">
        <v>0</v>
      </c>
      <c r="BJ178" s="180">
        <v>0</v>
      </c>
      <c r="BK178" s="180">
        <v>0</v>
      </c>
      <c r="BL178" s="180"/>
      <c r="BM178" s="180">
        <v>0</v>
      </c>
      <c r="BN178" s="180">
        <v>0</v>
      </c>
      <c r="BO178" s="180">
        <v>63483</v>
      </c>
      <c r="BP178" s="180">
        <v>0</v>
      </c>
      <c r="BQ178" s="180">
        <v>0</v>
      </c>
      <c r="BR178" s="180">
        <v>0</v>
      </c>
      <c r="BS178" s="180">
        <v>0</v>
      </c>
      <c r="BT178" s="180">
        <v>0</v>
      </c>
      <c r="BU178" s="180">
        <v>19000</v>
      </c>
      <c r="BV178" s="180">
        <v>0</v>
      </c>
      <c r="BW178" s="180">
        <v>0</v>
      </c>
      <c r="BX178" s="180">
        <v>0</v>
      </c>
      <c r="BY178" s="180">
        <v>0</v>
      </c>
      <c r="BZ178" s="180">
        <v>0</v>
      </c>
      <c r="CA178" s="180">
        <v>0</v>
      </c>
      <c r="CB178" s="180">
        <v>500</v>
      </c>
      <c r="CC178" s="180"/>
      <c r="CD178" s="180">
        <v>0</v>
      </c>
      <c r="CE178" s="180"/>
      <c r="CF178" s="180"/>
      <c r="CG178" s="180"/>
      <c r="CH178" s="180"/>
      <c r="CI178" s="180"/>
      <c r="CJ178" s="180"/>
      <c r="CK178" s="180"/>
      <c r="CL178" s="180"/>
      <c r="CM178" s="180"/>
      <c r="CN178" s="180"/>
      <c r="CO178" s="180"/>
      <c r="CP178" s="180"/>
      <c r="CQ178" s="180"/>
      <c r="CR178" s="180"/>
      <c r="CS178" s="180"/>
      <c r="CT178" s="180"/>
      <c r="CU178" s="180"/>
    </row>
    <row r="179" spans="1:99" x14ac:dyDescent="0.3">
      <c r="A179" s="155">
        <v>635</v>
      </c>
      <c r="B179" s="180" t="s">
        <v>375</v>
      </c>
      <c r="C179" s="180"/>
      <c r="D179" s="180"/>
      <c r="E179" s="180">
        <v>0</v>
      </c>
      <c r="F179" s="180">
        <v>5867</v>
      </c>
      <c r="G179" s="180">
        <v>0</v>
      </c>
      <c r="H179" s="180">
        <v>0</v>
      </c>
      <c r="I179" s="180">
        <v>0</v>
      </c>
      <c r="J179" s="180">
        <v>0</v>
      </c>
      <c r="K179" s="180">
        <v>0</v>
      </c>
      <c r="L179" s="180">
        <v>0</v>
      </c>
      <c r="M179" s="180">
        <v>0</v>
      </c>
      <c r="N179" s="180">
        <v>0</v>
      </c>
      <c r="O179" s="180">
        <v>0</v>
      </c>
      <c r="P179" s="180">
        <v>0</v>
      </c>
      <c r="Q179" s="180">
        <v>194046</v>
      </c>
      <c r="R179" s="180">
        <v>0</v>
      </c>
      <c r="S179" s="180">
        <v>0</v>
      </c>
      <c r="T179" s="180">
        <v>11659</v>
      </c>
      <c r="U179" s="180">
        <v>110790</v>
      </c>
      <c r="V179" s="180">
        <v>16711</v>
      </c>
      <c r="W179" s="180">
        <v>0</v>
      </c>
      <c r="X179" s="180"/>
      <c r="Y179" s="180">
        <v>65316</v>
      </c>
      <c r="Z179" s="180">
        <v>0</v>
      </c>
      <c r="AA179" s="180">
        <v>34441</v>
      </c>
      <c r="AB179" s="180">
        <v>0</v>
      </c>
      <c r="AC179" s="180">
        <v>0</v>
      </c>
      <c r="AD179" s="180">
        <v>17057</v>
      </c>
      <c r="AE179" s="180">
        <v>30000</v>
      </c>
      <c r="AF179" s="180">
        <v>20000</v>
      </c>
      <c r="AG179" s="180">
        <v>0</v>
      </c>
      <c r="AH179" s="180">
        <v>0</v>
      </c>
      <c r="AI179" s="180">
        <v>99661</v>
      </c>
      <c r="AJ179" s="180">
        <v>0</v>
      </c>
      <c r="AK179" s="180"/>
      <c r="AL179" s="180"/>
      <c r="AM179" s="180">
        <v>64840</v>
      </c>
      <c r="AN179" s="180">
        <v>0</v>
      </c>
      <c r="AO179" s="180">
        <v>0</v>
      </c>
      <c r="AP179" s="180">
        <v>0</v>
      </c>
      <c r="AQ179" s="180">
        <v>0</v>
      </c>
      <c r="AR179" s="180">
        <v>16152</v>
      </c>
      <c r="AS179" s="180"/>
      <c r="AT179" s="180">
        <v>2756</v>
      </c>
      <c r="AU179" s="180">
        <v>0</v>
      </c>
      <c r="AV179" s="180">
        <v>117727</v>
      </c>
      <c r="AW179" s="180">
        <v>0</v>
      </c>
      <c r="AX179" s="180">
        <v>0</v>
      </c>
      <c r="AY179" s="180">
        <v>20486</v>
      </c>
      <c r="AZ179" s="180">
        <v>0</v>
      </c>
      <c r="BA179" s="180">
        <v>0</v>
      </c>
      <c r="BB179" s="180">
        <v>0</v>
      </c>
      <c r="BC179" s="180">
        <v>0</v>
      </c>
      <c r="BD179" s="180">
        <v>0</v>
      </c>
      <c r="BE179" s="180">
        <v>0</v>
      </c>
      <c r="BF179" s="180">
        <v>0</v>
      </c>
      <c r="BG179" s="180">
        <v>0</v>
      </c>
      <c r="BH179" s="180">
        <v>0</v>
      </c>
      <c r="BI179" s="180">
        <v>0</v>
      </c>
      <c r="BJ179" s="180">
        <v>0</v>
      </c>
      <c r="BK179" s="180">
        <v>0</v>
      </c>
      <c r="BL179" s="180"/>
      <c r="BM179" s="180">
        <v>81</v>
      </c>
      <c r="BN179" s="180">
        <v>9000</v>
      </c>
      <c r="BO179" s="180">
        <v>0</v>
      </c>
      <c r="BP179" s="180">
        <v>0</v>
      </c>
      <c r="BQ179" s="180">
        <v>0</v>
      </c>
      <c r="BR179" s="180">
        <v>0</v>
      </c>
      <c r="BS179" s="180">
        <v>0</v>
      </c>
      <c r="BT179" s="180">
        <v>2278</v>
      </c>
      <c r="BU179" s="180">
        <v>0</v>
      </c>
      <c r="BV179" s="180">
        <v>0</v>
      </c>
      <c r="BW179" s="180">
        <v>8969</v>
      </c>
      <c r="BX179" s="180">
        <v>0</v>
      </c>
      <c r="BY179" s="180">
        <v>0</v>
      </c>
      <c r="BZ179" s="180">
        <v>0</v>
      </c>
      <c r="CA179" s="180">
        <v>0</v>
      </c>
      <c r="CB179" s="180">
        <v>5000</v>
      </c>
      <c r="CC179" s="180"/>
      <c r="CD179" s="180">
        <v>0</v>
      </c>
      <c r="CE179" s="180"/>
      <c r="CF179" s="180"/>
      <c r="CG179" s="180"/>
      <c r="CH179" s="180"/>
      <c r="CI179" s="180"/>
      <c r="CJ179" s="180"/>
      <c r="CK179" s="180"/>
      <c r="CL179" s="180"/>
      <c r="CM179" s="180"/>
      <c r="CN179" s="180"/>
      <c r="CO179" s="180"/>
      <c r="CP179" s="180"/>
      <c r="CQ179" s="180"/>
      <c r="CR179" s="180"/>
      <c r="CS179" s="180"/>
      <c r="CT179" s="180"/>
      <c r="CU179" s="180"/>
    </row>
    <row r="180" spans="1:99" x14ac:dyDescent="0.3">
      <c r="A180" s="155">
        <v>636</v>
      </c>
      <c r="B180" s="180" t="s">
        <v>1670</v>
      </c>
      <c r="C180" s="180"/>
      <c r="D180" s="180"/>
      <c r="E180" s="180">
        <v>0</v>
      </c>
      <c r="F180" s="180">
        <v>0</v>
      </c>
      <c r="G180" s="180">
        <v>0</v>
      </c>
      <c r="H180" s="180">
        <v>0</v>
      </c>
      <c r="I180" s="180">
        <v>0</v>
      </c>
      <c r="J180" s="180">
        <v>0</v>
      </c>
      <c r="K180" s="180">
        <v>0</v>
      </c>
      <c r="L180" s="180">
        <v>0</v>
      </c>
      <c r="M180" s="180">
        <v>0</v>
      </c>
      <c r="N180" s="180">
        <v>0</v>
      </c>
      <c r="O180" s="180">
        <v>0</v>
      </c>
      <c r="P180" s="180">
        <v>0</v>
      </c>
      <c r="Q180" s="180">
        <v>0</v>
      </c>
      <c r="R180" s="180">
        <v>0</v>
      </c>
      <c r="S180" s="180">
        <v>0</v>
      </c>
      <c r="T180" s="180">
        <v>0</v>
      </c>
      <c r="U180" s="180">
        <v>0</v>
      </c>
      <c r="V180" s="180">
        <v>0</v>
      </c>
      <c r="W180" s="180">
        <v>0</v>
      </c>
      <c r="X180" s="180"/>
      <c r="Y180" s="180">
        <v>0</v>
      </c>
      <c r="Z180" s="180">
        <v>0</v>
      </c>
      <c r="AA180" s="180">
        <v>0</v>
      </c>
      <c r="AB180" s="180">
        <v>0</v>
      </c>
      <c r="AC180" s="180">
        <v>0</v>
      </c>
      <c r="AD180" s="180">
        <v>0</v>
      </c>
      <c r="AE180" s="180">
        <v>0</v>
      </c>
      <c r="AF180" s="180">
        <v>0</v>
      </c>
      <c r="AG180" s="180">
        <v>0</v>
      </c>
      <c r="AH180" s="180">
        <v>0</v>
      </c>
      <c r="AI180" s="180">
        <v>0</v>
      </c>
      <c r="AJ180" s="180">
        <v>0</v>
      </c>
      <c r="AK180" s="180"/>
      <c r="AL180" s="180"/>
      <c r="AM180" s="180">
        <v>0</v>
      </c>
      <c r="AN180" s="180">
        <v>0</v>
      </c>
      <c r="AO180" s="180">
        <v>0</v>
      </c>
      <c r="AP180" s="180">
        <v>0</v>
      </c>
      <c r="AQ180" s="180">
        <v>0</v>
      </c>
      <c r="AR180" s="180">
        <v>0</v>
      </c>
      <c r="AS180" s="180"/>
      <c r="AT180" s="180">
        <v>0</v>
      </c>
      <c r="AU180" s="180">
        <v>0</v>
      </c>
      <c r="AV180" s="180">
        <v>0</v>
      </c>
      <c r="AW180" s="180">
        <v>0</v>
      </c>
      <c r="AX180" s="180">
        <v>0</v>
      </c>
      <c r="AY180" s="180">
        <v>0</v>
      </c>
      <c r="AZ180" s="180">
        <v>0</v>
      </c>
      <c r="BA180" s="180">
        <v>0</v>
      </c>
      <c r="BB180" s="180">
        <v>0</v>
      </c>
      <c r="BC180" s="180">
        <v>0</v>
      </c>
      <c r="BD180" s="180">
        <v>0</v>
      </c>
      <c r="BE180" s="180">
        <v>0</v>
      </c>
      <c r="BF180" s="180">
        <v>0</v>
      </c>
      <c r="BG180" s="180">
        <v>0</v>
      </c>
      <c r="BH180" s="180">
        <v>0</v>
      </c>
      <c r="BI180" s="180">
        <v>0</v>
      </c>
      <c r="BJ180" s="180">
        <v>0</v>
      </c>
      <c r="BK180" s="180">
        <v>0</v>
      </c>
      <c r="BL180" s="180"/>
      <c r="BM180" s="180">
        <v>0</v>
      </c>
      <c r="BN180" s="180">
        <v>0</v>
      </c>
      <c r="BO180" s="180">
        <v>0</v>
      </c>
      <c r="BP180" s="180">
        <v>0</v>
      </c>
      <c r="BQ180" s="180">
        <v>0</v>
      </c>
      <c r="BR180" s="180">
        <v>0</v>
      </c>
      <c r="BS180" s="180">
        <v>0</v>
      </c>
      <c r="BT180" s="180">
        <v>0</v>
      </c>
      <c r="BU180" s="180">
        <v>0</v>
      </c>
      <c r="BV180" s="180">
        <v>0</v>
      </c>
      <c r="BW180" s="180">
        <v>0</v>
      </c>
      <c r="BX180" s="180">
        <v>0</v>
      </c>
      <c r="BY180" s="180">
        <v>0</v>
      </c>
      <c r="BZ180" s="180">
        <v>0</v>
      </c>
      <c r="CA180" s="180">
        <v>0</v>
      </c>
      <c r="CB180" s="180">
        <v>0</v>
      </c>
      <c r="CC180" s="180"/>
      <c r="CD180" s="180">
        <v>0</v>
      </c>
      <c r="CE180" s="180"/>
      <c r="CF180" s="180"/>
      <c r="CG180" s="180"/>
      <c r="CH180" s="180"/>
      <c r="CI180" s="180"/>
      <c r="CJ180" s="180"/>
      <c r="CK180" s="180"/>
      <c r="CL180" s="180"/>
      <c r="CM180" s="180"/>
      <c r="CN180" s="180"/>
      <c r="CO180" s="180"/>
      <c r="CP180" s="180"/>
      <c r="CQ180" s="180"/>
      <c r="CR180" s="180"/>
      <c r="CS180" s="180"/>
      <c r="CT180" s="180"/>
      <c r="CU180" s="180"/>
    </row>
    <row r="181" spans="1:99" x14ac:dyDescent="0.3">
      <c r="A181" s="155">
        <v>637</v>
      </c>
      <c r="B181" s="180" t="s">
        <v>1671</v>
      </c>
      <c r="C181" s="180"/>
      <c r="D181" s="180"/>
      <c r="E181" s="180">
        <v>0</v>
      </c>
      <c r="F181" s="180">
        <v>71277</v>
      </c>
      <c r="G181" s="180">
        <v>0</v>
      </c>
      <c r="H181" s="180">
        <v>0</v>
      </c>
      <c r="I181" s="180">
        <v>0</v>
      </c>
      <c r="J181" s="180">
        <v>10518</v>
      </c>
      <c r="K181" s="180">
        <v>0</v>
      </c>
      <c r="L181" s="180">
        <v>0</v>
      </c>
      <c r="M181" s="180">
        <v>0</v>
      </c>
      <c r="N181" s="180">
        <v>0</v>
      </c>
      <c r="O181" s="180">
        <v>124155</v>
      </c>
      <c r="P181" s="180">
        <v>0</v>
      </c>
      <c r="Q181" s="180">
        <v>0</v>
      </c>
      <c r="R181" s="180">
        <v>7386</v>
      </c>
      <c r="S181" s="180">
        <v>0</v>
      </c>
      <c r="T181" s="180">
        <v>0</v>
      </c>
      <c r="U181" s="180">
        <v>0</v>
      </c>
      <c r="V181" s="180">
        <v>0</v>
      </c>
      <c r="W181" s="180">
        <v>0</v>
      </c>
      <c r="X181" s="180"/>
      <c r="Y181" s="180">
        <v>61125</v>
      </c>
      <c r="Z181" s="180">
        <v>0</v>
      </c>
      <c r="AA181" s="180">
        <v>286737</v>
      </c>
      <c r="AB181" s="180">
        <v>0</v>
      </c>
      <c r="AC181" s="180">
        <v>95046</v>
      </c>
      <c r="AD181" s="180">
        <v>143655</v>
      </c>
      <c r="AE181" s="180">
        <v>127797</v>
      </c>
      <c r="AF181" s="180">
        <v>458296</v>
      </c>
      <c r="AG181" s="180">
        <v>164908</v>
      </c>
      <c r="AH181" s="180">
        <v>0</v>
      </c>
      <c r="AI181" s="180">
        <v>0</v>
      </c>
      <c r="AJ181" s="180">
        <v>0</v>
      </c>
      <c r="AK181" s="180"/>
      <c r="AL181" s="180"/>
      <c r="AM181" s="180">
        <v>106768</v>
      </c>
      <c r="AN181" s="180">
        <v>25340</v>
      </c>
      <c r="AO181" s="180">
        <v>0</v>
      </c>
      <c r="AP181" s="180">
        <v>0</v>
      </c>
      <c r="AQ181" s="180">
        <v>0</v>
      </c>
      <c r="AR181" s="180">
        <v>0</v>
      </c>
      <c r="AS181" s="180"/>
      <c r="AT181" s="180">
        <v>0</v>
      </c>
      <c r="AU181" s="180">
        <v>0</v>
      </c>
      <c r="AV181" s="180">
        <v>3642829</v>
      </c>
      <c r="AW181" s="180">
        <v>0</v>
      </c>
      <c r="AX181" s="180">
        <v>27357</v>
      </c>
      <c r="AY181" s="180">
        <v>0</v>
      </c>
      <c r="AZ181" s="180">
        <v>36495</v>
      </c>
      <c r="BA181" s="180">
        <v>0</v>
      </c>
      <c r="BB181" s="180">
        <v>0</v>
      </c>
      <c r="BC181" s="180">
        <v>9535</v>
      </c>
      <c r="BD181" s="180">
        <v>0</v>
      </c>
      <c r="BE181" s="180">
        <v>0</v>
      </c>
      <c r="BF181" s="180">
        <v>0</v>
      </c>
      <c r="BG181" s="180">
        <v>0</v>
      </c>
      <c r="BH181" s="180">
        <v>0</v>
      </c>
      <c r="BI181" s="180">
        <v>21180</v>
      </c>
      <c r="BJ181" s="180">
        <v>0</v>
      </c>
      <c r="BK181" s="180">
        <v>0</v>
      </c>
      <c r="BL181" s="180"/>
      <c r="BM181" s="180">
        <v>39362</v>
      </c>
      <c r="BN181" s="180">
        <v>4856</v>
      </c>
      <c r="BO181" s="180">
        <v>67704</v>
      </c>
      <c r="BP181" s="180">
        <v>0</v>
      </c>
      <c r="BQ181" s="180">
        <v>0</v>
      </c>
      <c r="BR181" s="180">
        <v>47956</v>
      </c>
      <c r="BS181" s="180">
        <v>0</v>
      </c>
      <c r="BT181" s="180">
        <v>0</v>
      </c>
      <c r="BU181" s="180">
        <v>103747</v>
      </c>
      <c r="BV181" s="180">
        <v>0</v>
      </c>
      <c r="BW181" s="180">
        <v>249135</v>
      </c>
      <c r="BX181" s="180">
        <v>39071</v>
      </c>
      <c r="BY181" s="180">
        <v>0</v>
      </c>
      <c r="BZ181" s="180">
        <v>0</v>
      </c>
      <c r="CA181" s="180">
        <v>12375</v>
      </c>
      <c r="CB181" s="180">
        <v>54310</v>
      </c>
      <c r="CC181" s="180"/>
      <c r="CD181" s="180">
        <v>0</v>
      </c>
      <c r="CE181" s="180"/>
      <c r="CF181" s="180"/>
      <c r="CG181" s="180"/>
      <c r="CH181" s="180"/>
      <c r="CI181" s="180"/>
      <c r="CJ181" s="180"/>
      <c r="CK181" s="180"/>
      <c r="CL181" s="180"/>
      <c r="CM181" s="180"/>
      <c r="CN181" s="180"/>
      <c r="CO181" s="180"/>
      <c r="CP181" s="180"/>
      <c r="CQ181" s="180"/>
      <c r="CR181" s="180"/>
      <c r="CS181" s="180"/>
      <c r="CT181" s="180"/>
      <c r="CU181" s="180"/>
    </row>
    <row r="182" spans="1:99" x14ac:dyDescent="0.3">
      <c r="A182" s="155">
        <v>638</v>
      </c>
      <c r="B182" s="180" t="s">
        <v>1672</v>
      </c>
      <c r="C182" s="180"/>
      <c r="D182" s="180"/>
      <c r="E182" s="180">
        <v>0</v>
      </c>
      <c r="F182" s="180">
        <v>0</v>
      </c>
      <c r="G182" s="180">
        <v>0</v>
      </c>
      <c r="H182" s="180">
        <v>0</v>
      </c>
      <c r="I182" s="180">
        <v>0</v>
      </c>
      <c r="J182" s="180">
        <v>0</v>
      </c>
      <c r="K182" s="180">
        <v>0</v>
      </c>
      <c r="L182" s="180">
        <v>0</v>
      </c>
      <c r="M182" s="180">
        <v>0</v>
      </c>
      <c r="N182" s="180">
        <v>0</v>
      </c>
      <c r="O182" s="180">
        <v>0</v>
      </c>
      <c r="P182" s="180">
        <v>0</v>
      </c>
      <c r="Q182" s="180">
        <v>0</v>
      </c>
      <c r="R182" s="180">
        <v>0</v>
      </c>
      <c r="S182" s="180">
        <v>0</v>
      </c>
      <c r="T182" s="180">
        <v>0</v>
      </c>
      <c r="U182" s="180">
        <v>0</v>
      </c>
      <c r="V182" s="180">
        <v>0</v>
      </c>
      <c r="W182" s="180">
        <v>0</v>
      </c>
      <c r="X182" s="180"/>
      <c r="Y182" s="180">
        <v>0</v>
      </c>
      <c r="Z182" s="180">
        <v>0</v>
      </c>
      <c r="AA182" s="180">
        <v>0</v>
      </c>
      <c r="AB182" s="180">
        <v>0</v>
      </c>
      <c r="AC182" s="180">
        <v>0</v>
      </c>
      <c r="AD182" s="180">
        <v>0</v>
      </c>
      <c r="AE182" s="180">
        <v>0</v>
      </c>
      <c r="AF182" s="180">
        <v>0</v>
      </c>
      <c r="AG182" s="180">
        <v>0</v>
      </c>
      <c r="AH182" s="180">
        <v>0</v>
      </c>
      <c r="AI182" s="180">
        <v>0</v>
      </c>
      <c r="AJ182" s="180">
        <v>0</v>
      </c>
      <c r="AK182" s="180"/>
      <c r="AL182" s="180"/>
      <c r="AM182" s="180">
        <v>0</v>
      </c>
      <c r="AN182" s="180">
        <v>0</v>
      </c>
      <c r="AO182" s="180">
        <v>0</v>
      </c>
      <c r="AP182" s="180">
        <v>0</v>
      </c>
      <c r="AQ182" s="180">
        <v>0</v>
      </c>
      <c r="AR182" s="180">
        <v>0</v>
      </c>
      <c r="AS182" s="180"/>
      <c r="AT182" s="180">
        <v>0</v>
      </c>
      <c r="AU182" s="180">
        <v>0</v>
      </c>
      <c r="AV182" s="180">
        <v>0</v>
      </c>
      <c r="AW182" s="180">
        <v>0</v>
      </c>
      <c r="AX182" s="180">
        <v>0</v>
      </c>
      <c r="AY182" s="180">
        <v>0</v>
      </c>
      <c r="AZ182" s="180">
        <v>0</v>
      </c>
      <c r="BA182" s="180">
        <v>0</v>
      </c>
      <c r="BB182" s="180">
        <v>0</v>
      </c>
      <c r="BC182" s="180">
        <v>0</v>
      </c>
      <c r="BD182" s="180">
        <v>0</v>
      </c>
      <c r="BE182" s="180">
        <v>0</v>
      </c>
      <c r="BF182" s="180">
        <v>0</v>
      </c>
      <c r="BG182" s="180">
        <v>0</v>
      </c>
      <c r="BH182" s="180">
        <v>0</v>
      </c>
      <c r="BI182" s="180">
        <v>0</v>
      </c>
      <c r="BJ182" s="180">
        <v>0</v>
      </c>
      <c r="BK182" s="180">
        <v>0</v>
      </c>
      <c r="BL182" s="180"/>
      <c r="BM182" s="180">
        <v>0</v>
      </c>
      <c r="BN182" s="180">
        <v>0</v>
      </c>
      <c r="BO182" s="180">
        <v>0</v>
      </c>
      <c r="BP182" s="180">
        <v>0</v>
      </c>
      <c r="BQ182" s="180">
        <v>0</v>
      </c>
      <c r="BR182" s="180">
        <v>0</v>
      </c>
      <c r="BS182" s="180">
        <v>0</v>
      </c>
      <c r="BT182" s="180">
        <v>0</v>
      </c>
      <c r="BU182" s="180">
        <v>0</v>
      </c>
      <c r="BV182" s="180">
        <v>0</v>
      </c>
      <c r="BW182" s="180">
        <v>0</v>
      </c>
      <c r="BX182" s="180">
        <v>0</v>
      </c>
      <c r="BY182" s="180">
        <v>0</v>
      </c>
      <c r="BZ182" s="180">
        <v>0</v>
      </c>
      <c r="CA182" s="180">
        <v>0</v>
      </c>
      <c r="CB182" s="180">
        <v>0</v>
      </c>
      <c r="CC182" s="180"/>
      <c r="CD182" s="180">
        <v>0</v>
      </c>
      <c r="CE182" s="180"/>
      <c r="CF182" s="180"/>
      <c r="CG182" s="180"/>
      <c r="CH182" s="180"/>
      <c r="CI182" s="180"/>
      <c r="CJ182" s="180"/>
      <c r="CK182" s="180"/>
      <c r="CL182" s="180"/>
      <c r="CM182" s="180"/>
      <c r="CN182" s="180"/>
      <c r="CO182" s="180"/>
      <c r="CP182" s="180"/>
      <c r="CQ182" s="180"/>
      <c r="CR182" s="180"/>
      <c r="CS182" s="180"/>
      <c r="CT182" s="180"/>
      <c r="CU182" s="180"/>
    </row>
    <row r="183" spans="1:99" x14ac:dyDescent="0.3">
      <c r="A183" s="155">
        <v>639</v>
      </c>
      <c r="B183" s="180" t="s">
        <v>1673</v>
      </c>
      <c r="C183" s="180"/>
      <c r="D183" s="180"/>
      <c r="E183" s="180">
        <v>0</v>
      </c>
      <c r="F183" s="180">
        <v>0</v>
      </c>
      <c r="G183" s="180">
        <v>0</v>
      </c>
      <c r="H183" s="180">
        <v>0</v>
      </c>
      <c r="I183" s="180">
        <v>0</v>
      </c>
      <c r="J183" s="180">
        <v>0</v>
      </c>
      <c r="K183" s="180">
        <v>0</v>
      </c>
      <c r="L183" s="180">
        <v>0</v>
      </c>
      <c r="M183" s="180">
        <v>0</v>
      </c>
      <c r="N183" s="180">
        <v>0</v>
      </c>
      <c r="O183" s="180">
        <v>0</v>
      </c>
      <c r="P183" s="180">
        <v>0</v>
      </c>
      <c r="Q183" s="180">
        <v>7327013</v>
      </c>
      <c r="R183" s="180">
        <v>0</v>
      </c>
      <c r="S183" s="180">
        <v>0</v>
      </c>
      <c r="T183" s="180">
        <v>0</v>
      </c>
      <c r="U183" s="180">
        <v>0</v>
      </c>
      <c r="V183" s="180">
        <v>2771423</v>
      </c>
      <c r="W183" s="180">
        <v>0</v>
      </c>
      <c r="X183" s="180"/>
      <c r="Y183" s="180">
        <v>0</v>
      </c>
      <c r="Z183" s="180">
        <v>0</v>
      </c>
      <c r="AA183" s="180">
        <v>0</v>
      </c>
      <c r="AB183" s="180">
        <v>0</v>
      </c>
      <c r="AC183" s="180">
        <v>0</v>
      </c>
      <c r="AD183" s="180">
        <v>0</v>
      </c>
      <c r="AE183" s="180">
        <v>0</v>
      </c>
      <c r="AF183" s="180">
        <v>0</v>
      </c>
      <c r="AG183" s="180">
        <v>0</v>
      </c>
      <c r="AH183" s="180">
        <v>0</v>
      </c>
      <c r="AI183" s="180">
        <v>8314696</v>
      </c>
      <c r="AJ183" s="180">
        <v>0</v>
      </c>
      <c r="AK183" s="180"/>
      <c r="AL183" s="180"/>
      <c r="AM183" s="180">
        <v>2248655</v>
      </c>
      <c r="AN183" s="180">
        <v>0</v>
      </c>
      <c r="AO183" s="180">
        <v>0</v>
      </c>
      <c r="AP183" s="180">
        <v>0</v>
      </c>
      <c r="AQ183" s="180">
        <v>0</v>
      </c>
      <c r="AR183" s="180">
        <v>0</v>
      </c>
      <c r="AS183" s="180"/>
      <c r="AT183" s="180">
        <v>0</v>
      </c>
      <c r="AU183" s="180">
        <v>63148</v>
      </c>
      <c r="AV183" s="180">
        <v>0</v>
      </c>
      <c r="AW183" s="180">
        <v>0</v>
      </c>
      <c r="AX183" s="180">
        <v>0</v>
      </c>
      <c r="AY183" s="180">
        <v>0</v>
      </c>
      <c r="AZ183" s="180">
        <v>0</v>
      </c>
      <c r="BA183" s="180">
        <v>0</v>
      </c>
      <c r="BB183" s="180">
        <v>0</v>
      </c>
      <c r="BC183" s="180">
        <v>0</v>
      </c>
      <c r="BD183" s="180">
        <v>0</v>
      </c>
      <c r="BE183" s="180">
        <v>0</v>
      </c>
      <c r="BF183" s="180">
        <v>0</v>
      </c>
      <c r="BG183" s="180">
        <v>0</v>
      </c>
      <c r="BH183" s="180">
        <v>0</v>
      </c>
      <c r="BI183" s="180">
        <v>0</v>
      </c>
      <c r="BJ183" s="180">
        <v>0</v>
      </c>
      <c r="BK183" s="180">
        <v>0</v>
      </c>
      <c r="BL183" s="180"/>
      <c r="BM183" s="180">
        <v>0</v>
      </c>
      <c r="BN183" s="180">
        <v>0</v>
      </c>
      <c r="BO183" s="180">
        <v>0</v>
      </c>
      <c r="BP183" s="180">
        <v>0</v>
      </c>
      <c r="BQ183" s="180">
        <v>0</v>
      </c>
      <c r="BR183" s="180">
        <v>400505</v>
      </c>
      <c r="BS183" s="180">
        <v>1374716</v>
      </c>
      <c r="BT183" s="180">
        <v>0</v>
      </c>
      <c r="BU183" s="180">
        <v>0</v>
      </c>
      <c r="BV183" s="180">
        <v>0</v>
      </c>
      <c r="BW183" s="180">
        <v>0</v>
      </c>
      <c r="BX183" s="180">
        <v>0</v>
      </c>
      <c r="BY183" s="180">
        <v>0</v>
      </c>
      <c r="BZ183" s="180">
        <v>0</v>
      </c>
      <c r="CA183" s="180">
        <v>0</v>
      </c>
      <c r="CB183" s="180">
        <v>0</v>
      </c>
      <c r="CC183" s="180"/>
      <c r="CD183" s="180">
        <v>0</v>
      </c>
      <c r="CE183" s="180"/>
      <c r="CF183" s="180"/>
      <c r="CG183" s="180"/>
      <c r="CH183" s="180"/>
      <c r="CI183" s="180"/>
      <c r="CJ183" s="180"/>
      <c r="CK183" s="180"/>
      <c r="CL183" s="180"/>
      <c r="CM183" s="180"/>
      <c r="CN183" s="180"/>
      <c r="CO183" s="180"/>
      <c r="CP183" s="180"/>
      <c r="CQ183" s="180"/>
      <c r="CR183" s="180"/>
      <c r="CS183" s="180"/>
      <c r="CT183" s="180"/>
      <c r="CU183" s="180"/>
    </row>
    <row r="184" spans="1:99" x14ac:dyDescent="0.3">
      <c r="A184" s="155">
        <v>640</v>
      </c>
      <c r="B184" s="180" t="s">
        <v>1674</v>
      </c>
      <c r="C184" s="180"/>
      <c r="D184" s="180"/>
      <c r="E184" s="180">
        <v>0</v>
      </c>
      <c r="F184" s="180">
        <v>0</v>
      </c>
      <c r="G184" s="180">
        <v>0</v>
      </c>
      <c r="H184" s="180">
        <v>0</v>
      </c>
      <c r="I184" s="180">
        <v>0</v>
      </c>
      <c r="J184" s="180">
        <v>0</v>
      </c>
      <c r="K184" s="180">
        <v>0</v>
      </c>
      <c r="L184" s="180">
        <v>0</v>
      </c>
      <c r="M184" s="180">
        <v>0</v>
      </c>
      <c r="N184" s="180">
        <v>0</v>
      </c>
      <c r="O184" s="180">
        <v>0</v>
      </c>
      <c r="P184" s="180">
        <v>0</v>
      </c>
      <c r="Q184" s="180">
        <v>0</v>
      </c>
      <c r="R184" s="180">
        <v>0</v>
      </c>
      <c r="S184" s="180">
        <v>0</v>
      </c>
      <c r="T184" s="180">
        <v>0</v>
      </c>
      <c r="U184" s="180">
        <v>0</v>
      </c>
      <c r="V184" s="180">
        <v>0</v>
      </c>
      <c r="W184" s="180">
        <v>0</v>
      </c>
      <c r="X184" s="180"/>
      <c r="Y184" s="180">
        <v>0</v>
      </c>
      <c r="Z184" s="180">
        <v>0</v>
      </c>
      <c r="AA184" s="180">
        <v>0</v>
      </c>
      <c r="AB184" s="180">
        <v>0</v>
      </c>
      <c r="AC184" s="180">
        <v>0</v>
      </c>
      <c r="AD184" s="180">
        <v>0</v>
      </c>
      <c r="AE184" s="180">
        <v>0</v>
      </c>
      <c r="AF184" s="180">
        <v>0</v>
      </c>
      <c r="AG184" s="180">
        <v>0</v>
      </c>
      <c r="AH184" s="180">
        <v>0</v>
      </c>
      <c r="AI184" s="180">
        <v>0</v>
      </c>
      <c r="AJ184" s="180">
        <v>0</v>
      </c>
      <c r="AK184" s="180"/>
      <c r="AL184" s="180"/>
      <c r="AM184" s="180">
        <v>0</v>
      </c>
      <c r="AN184" s="180">
        <v>0</v>
      </c>
      <c r="AO184" s="180">
        <v>0</v>
      </c>
      <c r="AP184" s="180">
        <v>0</v>
      </c>
      <c r="AQ184" s="180">
        <v>0</v>
      </c>
      <c r="AR184" s="180">
        <v>0</v>
      </c>
      <c r="AS184" s="180"/>
      <c r="AT184" s="180">
        <v>0</v>
      </c>
      <c r="AU184" s="180">
        <v>0</v>
      </c>
      <c r="AV184" s="180">
        <v>0</v>
      </c>
      <c r="AW184" s="180">
        <v>0</v>
      </c>
      <c r="AX184" s="180">
        <v>0</v>
      </c>
      <c r="AY184" s="180">
        <v>0</v>
      </c>
      <c r="AZ184" s="180">
        <v>0</v>
      </c>
      <c r="BA184" s="180">
        <v>0</v>
      </c>
      <c r="BB184" s="180">
        <v>0</v>
      </c>
      <c r="BC184" s="180">
        <v>0</v>
      </c>
      <c r="BD184" s="180">
        <v>0</v>
      </c>
      <c r="BE184" s="180">
        <v>0</v>
      </c>
      <c r="BF184" s="180">
        <v>0</v>
      </c>
      <c r="BG184" s="180">
        <v>0</v>
      </c>
      <c r="BH184" s="180">
        <v>0</v>
      </c>
      <c r="BI184" s="180">
        <v>0</v>
      </c>
      <c r="BJ184" s="180">
        <v>0</v>
      </c>
      <c r="BK184" s="180">
        <v>0</v>
      </c>
      <c r="BL184" s="180"/>
      <c r="BM184" s="180">
        <v>0</v>
      </c>
      <c r="BN184" s="180">
        <v>0</v>
      </c>
      <c r="BO184" s="180">
        <v>0</v>
      </c>
      <c r="BP184" s="180">
        <v>0</v>
      </c>
      <c r="BQ184" s="180">
        <v>0</v>
      </c>
      <c r="BR184" s="180">
        <v>0</v>
      </c>
      <c r="BS184" s="180">
        <v>0</v>
      </c>
      <c r="BT184" s="180">
        <v>0</v>
      </c>
      <c r="BU184" s="180">
        <v>0</v>
      </c>
      <c r="BV184" s="180">
        <v>0</v>
      </c>
      <c r="BW184" s="180">
        <v>0</v>
      </c>
      <c r="BX184" s="180">
        <v>0</v>
      </c>
      <c r="BY184" s="180">
        <v>0</v>
      </c>
      <c r="BZ184" s="180">
        <v>0</v>
      </c>
      <c r="CA184" s="180">
        <v>0</v>
      </c>
      <c r="CB184" s="180">
        <v>0</v>
      </c>
      <c r="CC184" s="180"/>
      <c r="CD184" s="180">
        <v>0</v>
      </c>
      <c r="CE184" s="180"/>
      <c r="CF184" s="180"/>
      <c r="CG184" s="180"/>
      <c r="CH184" s="180"/>
      <c r="CI184" s="180"/>
      <c r="CJ184" s="180"/>
      <c r="CK184" s="180"/>
      <c r="CL184" s="180"/>
      <c r="CM184" s="180"/>
      <c r="CN184" s="180"/>
      <c r="CO184" s="180"/>
      <c r="CP184" s="180"/>
      <c r="CQ184" s="180"/>
      <c r="CR184" s="180"/>
      <c r="CS184" s="180"/>
      <c r="CT184" s="180"/>
      <c r="CU184" s="180"/>
    </row>
    <row r="185" spans="1:99" x14ac:dyDescent="0.3">
      <c r="A185" s="155">
        <v>641</v>
      </c>
      <c r="B185" s="180" t="s">
        <v>1675</v>
      </c>
      <c r="C185" s="180"/>
      <c r="D185" s="180"/>
      <c r="E185" s="180">
        <v>0</v>
      </c>
      <c r="F185" s="180">
        <v>0</v>
      </c>
      <c r="G185" s="180">
        <v>0</v>
      </c>
      <c r="H185" s="180">
        <v>0</v>
      </c>
      <c r="I185" s="180">
        <v>0</v>
      </c>
      <c r="J185" s="180">
        <v>0</v>
      </c>
      <c r="K185" s="180">
        <v>0</v>
      </c>
      <c r="L185" s="180">
        <v>0</v>
      </c>
      <c r="M185" s="180">
        <v>0</v>
      </c>
      <c r="N185" s="180">
        <v>0</v>
      </c>
      <c r="O185" s="180">
        <v>0</v>
      </c>
      <c r="P185" s="180">
        <v>0</v>
      </c>
      <c r="Q185" s="180">
        <v>205874</v>
      </c>
      <c r="R185" s="180">
        <v>0</v>
      </c>
      <c r="S185" s="180">
        <v>0</v>
      </c>
      <c r="T185" s="180">
        <v>0</v>
      </c>
      <c r="U185" s="180">
        <v>0</v>
      </c>
      <c r="V185" s="180">
        <v>11748</v>
      </c>
      <c r="W185" s="180">
        <v>0</v>
      </c>
      <c r="X185" s="180"/>
      <c r="Y185" s="180">
        <v>0</v>
      </c>
      <c r="Z185" s="180">
        <v>0</v>
      </c>
      <c r="AA185" s="180">
        <v>0</v>
      </c>
      <c r="AB185" s="180">
        <v>0</v>
      </c>
      <c r="AC185" s="180">
        <v>0</v>
      </c>
      <c r="AD185" s="180">
        <v>0</v>
      </c>
      <c r="AE185" s="180">
        <v>0</v>
      </c>
      <c r="AF185" s="180">
        <v>0</v>
      </c>
      <c r="AG185" s="180">
        <v>0</v>
      </c>
      <c r="AH185" s="180">
        <v>0</v>
      </c>
      <c r="AI185" s="180">
        <v>120266</v>
      </c>
      <c r="AJ185" s="180">
        <v>0</v>
      </c>
      <c r="AK185" s="180"/>
      <c r="AL185" s="180"/>
      <c r="AM185" s="180">
        <v>52728</v>
      </c>
      <c r="AN185" s="180">
        <v>0</v>
      </c>
      <c r="AO185" s="180">
        <v>0</v>
      </c>
      <c r="AP185" s="180">
        <v>0</v>
      </c>
      <c r="AQ185" s="180">
        <v>0</v>
      </c>
      <c r="AR185" s="180">
        <v>0</v>
      </c>
      <c r="AS185" s="180"/>
      <c r="AT185" s="180">
        <v>0</v>
      </c>
      <c r="AU185" s="180">
        <v>0</v>
      </c>
      <c r="AV185" s="180">
        <v>0</v>
      </c>
      <c r="AW185" s="180">
        <v>0</v>
      </c>
      <c r="AX185" s="180">
        <v>0</v>
      </c>
      <c r="AY185" s="180">
        <v>0</v>
      </c>
      <c r="AZ185" s="180">
        <v>0</v>
      </c>
      <c r="BA185" s="180">
        <v>0</v>
      </c>
      <c r="BB185" s="180">
        <v>0</v>
      </c>
      <c r="BC185" s="180">
        <v>0</v>
      </c>
      <c r="BD185" s="180">
        <v>0</v>
      </c>
      <c r="BE185" s="180">
        <v>0</v>
      </c>
      <c r="BF185" s="180">
        <v>0</v>
      </c>
      <c r="BG185" s="180">
        <v>0</v>
      </c>
      <c r="BH185" s="180">
        <v>0</v>
      </c>
      <c r="BI185" s="180">
        <v>0</v>
      </c>
      <c r="BJ185" s="180">
        <v>0</v>
      </c>
      <c r="BK185" s="180">
        <v>0</v>
      </c>
      <c r="BL185" s="180"/>
      <c r="BM185" s="180">
        <v>0</v>
      </c>
      <c r="BN185" s="180">
        <v>0</v>
      </c>
      <c r="BO185" s="180">
        <v>0</v>
      </c>
      <c r="BP185" s="180">
        <v>0</v>
      </c>
      <c r="BQ185" s="180">
        <v>0</v>
      </c>
      <c r="BR185" s="180">
        <v>0</v>
      </c>
      <c r="BS185" s="180">
        <v>0</v>
      </c>
      <c r="BT185" s="180">
        <v>0</v>
      </c>
      <c r="BU185" s="180">
        <v>0</v>
      </c>
      <c r="BV185" s="180">
        <v>0</v>
      </c>
      <c r="BW185" s="180">
        <v>0</v>
      </c>
      <c r="BX185" s="180">
        <v>0</v>
      </c>
      <c r="BY185" s="180">
        <v>0</v>
      </c>
      <c r="BZ185" s="180">
        <v>0</v>
      </c>
      <c r="CA185" s="180">
        <v>0</v>
      </c>
      <c r="CB185" s="180">
        <v>0</v>
      </c>
      <c r="CC185" s="180"/>
      <c r="CD185" s="180">
        <v>0</v>
      </c>
      <c r="CE185" s="180"/>
      <c r="CF185" s="180"/>
      <c r="CG185" s="180"/>
      <c r="CH185" s="180"/>
      <c r="CI185" s="180"/>
      <c r="CJ185" s="180"/>
      <c r="CK185" s="180"/>
      <c r="CL185" s="180"/>
      <c r="CM185" s="180"/>
      <c r="CN185" s="180"/>
      <c r="CO185" s="180"/>
      <c r="CP185" s="180"/>
      <c r="CQ185" s="180"/>
      <c r="CR185" s="180"/>
      <c r="CS185" s="180"/>
      <c r="CT185" s="180"/>
      <c r="CU185" s="180"/>
    </row>
    <row r="186" spans="1:99" x14ac:dyDescent="0.3">
      <c r="A186" s="155">
        <v>642</v>
      </c>
      <c r="B186" s="180" t="s">
        <v>1676</v>
      </c>
      <c r="C186" s="180"/>
      <c r="D186" s="180"/>
      <c r="E186" s="180">
        <v>0</v>
      </c>
      <c r="F186" s="180">
        <v>0</v>
      </c>
      <c r="G186" s="180">
        <v>0</v>
      </c>
      <c r="H186" s="180">
        <v>0</v>
      </c>
      <c r="I186" s="180">
        <v>0</v>
      </c>
      <c r="J186" s="180">
        <v>0</v>
      </c>
      <c r="K186" s="180">
        <v>0</v>
      </c>
      <c r="L186" s="180">
        <v>0</v>
      </c>
      <c r="M186" s="180">
        <v>0</v>
      </c>
      <c r="N186" s="180">
        <v>0</v>
      </c>
      <c r="O186" s="180">
        <v>0</v>
      </c>
      <c r="P186" s="180">
        <v>0</v>
      </c>
      <c r="Q186" s="180">
        <v>0</v>
      </c>
      <c r="R186" s="180">
        <v>0</v>
      </c>
      <c r="S186" s="180">
        <v>0</v>
      </c>
      <c r="T186" s="180">
        <v>0</v>
      </c>
      <c r="U186" s="180">
        <v>0</v>
      </c>
      <c r="V186" s="180">
        <v>0</v>
      </c>
      <c r="W186" s="180">
        <v>0</v>
      </c>
      <c r="X186" s="180"/>
      <c r="Y186" s="180">
        <v>0</v>
      </c>
      <c r="Z186" s="180">
        <v>0</v>
      </c>
      <c r="AA186" s="180">
        <v>0</v>
      </c>
      <c r="AB186" s="180">
        <v>0</v>
      </c>
      <c r="AC186" s="180">
        <v>0</v>
      </c>
      <c r="AD186" s="180">
        <v>0</v>
      </c>
      <c r="AE186" s="180">
        <v>0</v>
      </c>
      <c r="AF186" s="180">
        <v>0</v>
      </c>
      <c r="AG186" s="180">
        <v>0</v>
      </c>
      <c r="AH186" s="180">
        <v>0</v>
      </c>
      <c r="AI186" s="180">
        <v>0</v>
      </c>
      <c r="AJ186" s="180">
        <v>0</v>
      </c>
      <c r="AK186" s="180"/>
      <c r="AL186" s="180"/>
      <c r="AM186" s="180">
        <v>0</v>
      </c>
      <c r="AN186" s="180">
        <v>0</v>
      </c>
      <c r="AO186" s="180">
        <v>0</v>
      </c>
      <c r="AP186" s="180">
        <v>0</v>
      </c>
      <c r="AQ186" s="180">
        <v>0</v>
      </c>
      <c r="AR186" s="180">
        <v>0</v>
      </c>
      <c r="AS186" s="180"/>
      <c r="AT186" s="180">
        <v>0</v>
      </c>
      <c r="AU186" s="180">
        <v>0</v>
      </c>
      <c r="AV186" s="180">
        <v>0</v>
      </c>
      <c r="AW186" s="180">
        <v>0</v>
      </c>
      <c r="AX186" s="180">
        <v>0</v>
      </c>
      <c r="AY186" s="180">
        <v>0</v>
      </c>
      <c r="AZ186" s="180">
        <v>0</v>
      </c>
      <c r="BA186" s="180">
        <v>0</v>
      </c>
      <c r="BB186" s="180">
        <v>0</v>
      </c>
      <c r="BC186" s="180">
        <v>0</v>
      </c>
      <c r="BD186" s="180">
        <v>0</v>
      </c>
      <c r="BE186" s="180">
        <v>0</v>
      </c>
      <c r="BF186" s="180">
        <v>0</v>
      </c>
      <c r="BG186" s="180">
        <v>0</v>
      </c>
      <c r="BH186" s="180">
        <v>0</v>
      </c>
      <c r="BI186" s="180">
        <v>0</v>
      </c>
      <c r="BJ186" s="180">
        <v>0</v>
      </c>
      <c r="BK186" s="180">
        <v>0</v>
      </c>
      <c r="BL186" s="180"/>
      <c r="BM186" s="180">
        <v>0</v>
      </c>
      <c r="BN186" s="180">
        <v>0</v>
      </c>
      <c r="BO186" s="180">
        <v>0</v>
      </c>
      <c r="BP186" s="180">
        <v>0</v>
      </c>
      <c r="BQ186" s="180">
        <v>0</v>
      </c>
      <c r="BR186" s="180">
        <v>0</v>
      </c>
      <c r="BS186" s="180">
        <v>0</v>
      </c>
      <c r="BT186" s="180">
        <v>0</v>
      </c>
      <c r="BU186" s="180">
        <v>0</v>
      </c>
      <c r="BV186" s="180">
        <v>0</v>
      </c>
      <c r="BW186" s="180">
        <v>0</v>
      </c>
      <c r="BX186" s="180">
        <v>0</v>
      </c>
      <c r="BY186" s="180">
        <v>0</v>
      </c>
      <c r="BZ186" s="180">
        <v>0</v>
      </c>
      <c r="CA186" s="180">
        <v>0</v>
      </c>
      <c r="CB186" s="180">
        <v>0</v>
      </c>
      <c r="CC186" s="180"/>
      <c r="CD186" s="180">
        <v>0</v>
      </c>
      <c r="CE186" s="180"/>
      <c r="CF186" s="180"/>
      <c r="CG186" s="180"/>
      <c r="CH186" s="180"/>
      <c r="CI186" s="180"/>
      <c r="CJ186" s="180"/>
      <c r="CK186" s="180"/>
      <c r="CL186" s="180"/>
      <c r="CM186" s="180"/>
      <c r="CN186" s="180"/>
      <c r="CO186" s="180"/>
      <c r="CP186" s="180"/>
      <c r="CQ186" s="180"/>
      <c r="CR186" s="180"/>
      <c r="CS186" s="180"/>
      <c r="CT186" s="180"/>
      <c r="CU186" s="180"/>
    </row>
    <row r="187" spans="1:99" x14ac:dyDescent="0.3">
      <c r="A187" s="155">
        <v>643</v>
      </c>
      <c r="B187" s="180" t="s">
        <v>1677</v>
      </c>
      <c r="C187" s="180"/>
      <c r="D187" s="180"/>
      <c r="E187" s="180">
        <v>0</v>
      </c>
      <c r="F187" s="180">
        <v>0</v>
      </c>
      <c r="G187" s="180">
        <v>0</v>
      </c>
      <c r="H187" s="180">
        <v>0</v>
      </c>
      <c r="I187" s="180">
        <v>0</v>
      </c>
      <c r="J187" s="180">
        <v>0</v>
      </c>
      <c r="K187" s="180">
        <v>0</v>
      </c>
      <c r="L187" s="180">
        <v>0</v>
      </c>
      <c r="M187" s="180">
        <v>0</v>
      </c>
      <c r="N187" s="180">
        <v>0</v>
      </c>
      <c r="O187" s="180">
        <v>0</v>
      </c>
      <c r="P187" s="180">
        <v>0</v>
      </c>
      <c r="Q187" s="180">
        <v>0</v>
      </c>
      <c r="R187" s="180">
        <v>0</v>
      </c>
      <c r="S187" s="180">
        <v>0</v>
      </c>
      <c r="T187" s="180">
        <v>0</v>
      </c>
      <c r="U187" s="180">
        <v>0</v>
      </c>
      <c r="V187" s="180">
        <v>0</v>
      </c>
      <c r="W187" s="180">
        <v>0</v>
      </c>
      <c r="X187" s="180"/>
      <c r="Y187" s="180">
        <v>0</v>
      </c>
      <c r="Z187" s="180">
        <v>0</v>
      </c>
      <c r="AA187" s="180">
        <v>0</v>
      </c>
      <c r="AB187" s="180">
        <v>0</v>
      </c>
      <c r="AC187" s="180">
        <v>0</v>
      </c>
      <c r="AD187" s="180">
        <v>0</v>
      </c>
      <c r="AE187" s="180">
        <v>0</v>
      </c>
      <c r="AF187" s="180">
        <v>0</v>
      </c>
      <c r="AG187" s="180">
        <v>0</v>
      </c>
      <c r="AH187" s="180">
        <v>0</v>
      </c>
      <c r="AI187" s="180">
        <v>0</v>
      </c>
      <c r="AJ187" s="180">
        <v>0</v>
      </c>
      <c r="AK187" s="180"/>
      <c r="AL187" s="180"/>
      <c r="AM187" s="180">
        <v>314094</v>
      </c>
      <c r="AN187" s="180">
        <v>0</v>
      </c>
      <c r="AO187" s="180">
        <v>0</v>
      </c>
      <c r="AP187" s="180">
        <v>0</v>
      </c>
      <c r="AQ187" s="180">
        <v>0</v>
      </c>
      <c r="AR187" s="180">
        <v>0</v>
      </c>
      <c r="AS187" s="180"/>
      <c r="AT187" s="180">
        <v>0</v>
      </c>
      <c r="AU187" s="180">
        <v>0</v>
      </c>
      <c r="AV187" s="180">
        <v>0</v>
      </c>
      <c r="AW187" s="180">
        <v>0</v>
      </c>
      <c r="AX187" s="180">
        <v>0</v>
      </c>
      <c r="AY187" s="180">
        <v>0</v>
      </c>
      <c r="AZ187" s="180">
        <v>0</v>
      </c>
      <c r="BA187" s="180">
        <v>0</v>
      </c>
      <c r="BB187" s="180">
        <v>0</v>
      </c>
      <c r="BC187" s="180">
        <v>0</v>
      </c>
      <c r="BD187" s="180">
        <v>0</v>
      </c>
      <c r="BE187" s="180">
        <v>0</v>
      </c>
      <c r="BF187" s="180">
        <v>0</v>
      </c>
      <c r="BG187" s="180">
        <v>0</v>
      </c>
      <c r="BH187" s="180">
        <v>0</v>
      </c>
      <c r="BI187" s="180">
        <v>0</v>
      </c>
      <c r="BJ187" s="180">
        <v>0</v>
      </c>
      <c r="BK187" s="180">
        <v>0</v>
      </c>
      <c r="BL187" s="180"/>
      <c r="BM187" s="180">
        <v>0</v>
      </c>
      <c r="BN187" s="180">
        <v>0</v>
      </c>
      <c r="BO187" s="180">
        <v>0</v>
      </c>
      <c r="BP187" s="180">
        <v>0</v>
      </c>
      <c r="BQ187" s="180">
        <v>0</v>
      </c>
      <c r="BR187" s="180">
        <v>79721</v>
      </c>
      <c r="BS187" s="180">
        <v>268250</v>
      </c>
      <c r="BT187" s="180">
        <v>0</v>
      </c>
      <c r="BU187" s="180">
        <v>0</v>
      </c>
      <c r="BV187" s="180">
        <v>0</v>
      </c>
      <c r="BW187" s="180">
        <v>0</v>
      </c>
      <c r="BX187" s="180">
        <v>0</v>
      </c>
      <c r="BY187" s="180">
        <v>0</v>
      </c>
      <c r="BZ187" s="180">
        <v>0</v>
      </c>
      <c r="CA187" s="180">
        <v>0</v>
      </c>
      <c r="CB187" s="180">
        <v>0</v>
      </c>
      <c r="CC187" s="180"/>
      <c r="CD187" s="180">
        <v>0</v>
      </c>
      <c r="CE187" s="180"/>
      <c r="CF187" s="180"/>
      <c r="CG187" s="180"/>
      <c r="CH187" s="180"/>
      <c r="CI187" s="180"/>
      <c r="CJ187" s="180"/>
      <c r="CK187" s="180"/>
      <c r="CL187" s="180"/>
      <c r="CM187" s="180"/>
      <c r="CN187" s="180"/>
      <c r="CO187" s="180"/>
      <c r="CP187" s="180"/>
      <c r="CQ187" s="180"/>
      <c r="CR187" s="180"/>
      <c r="CS187" s="180"/>
      <c r="CT187" s="180"/>
      <c r="CU187" s="180"/>
    </row>
    <row r="188" spans="1:99" x14ac:dyDescent="0.3">
      <c r="A188" s="155">
        <v>644</v>
      </c>
      <c r="B188" s="180" t="s">
        <v>1678</v>
      </c>
      <c r="C188" s="180"/>
      <c r="D188" s="180"/>
      <c r="E188" s="180">
        <v>0</v>
      </c>
      <c r="F188" s="180">
        <v>0</v>
      </c>
      <c r="G188" s="180">
        <v>0</v>
      </c>
      <c r="H188" s="180">
        <v>0</v>
      </c>
      <c r="I188" s="180">
        <v>0</v>
      </c>
      <c r="J188" s="180">
        <v>0</v>
      </c>
      <c r="K188" s="180">
        <v>0</v>
      </c>
      <c r="L188" s="180">
        <v>0</v>
      </c>
      <c r="M188" s="180">
        <v>0</v>
      </c>
      <c r="N188" s="180">
        <v>0</v>
      </c>
      <c r="O188" s="180">
        <v>0</v>
      </c>
      <c r="P188" s="180">
        <v>0</v>
      </c>
      <c r="Q188" s="180">
        <v>0</v>
      </c>
      <c r="R188" s="180">
        <v>0</v>
      </c>
      <c r="S188" s="180">
        <v>0</v>
      </c>
      <c r="T188" s="180">
        <v>0</v>
      </c>
      <c r="U188" s="180">
        <v>0</v>
      </c>
      <c r="V188" s="180">
        <v>0</v>
      </c>
      <c r="W188" s="180">
        <v>0</v>
      </c>
      <c r="X188" s="180"/>
      <c r="Y188" s="180">
        <v>0</v>
      </c>
      <c r="Z188" s="180">
        <v>0</v>
      </c>
      <c r="AA188" s="180">
        <v>0</v>
      </c>
      <c r="AB188" s="180">
        <v>0</v>
      </c>
      <c r="AC188" s="180">
        <v>0</v>
      </c>
      <c r="AD188" s="180">
        <v>0</v>
      </c>
      <c r="AE188" s="180">
        <v>0</v>
      </c>
      <c r="AF188" s="180">
        <v>0</v>
      </c>
      <c r="AG188" s="180">
        <v>0</v>
      </c>
      <c r="AH188" s="180">
        <v>0</v>
      </c>
      <c r="AI188" s="180">
        <v>0</v>
      </c>
      <c r="AJ188" s="180">
        <v>0</v>
      </c>
      <c r="AK188" s="180"/>
      <c r="AL188" s="180"/>
      <c r="AM188" s="180">
        <v>0</v>
      </c>
      <c r="AN188" s="180">
        <v>0</v>
      </c>
      <c r="AO188" s="180">
        <v>0</v>
      </c>
      <c r="AP188" s="180">
        <v>0</v>
      </c>
      <c r="AQ188" s="180">
        <v>0</v>
      </c>
      <c r="AR188" s="180">
        <v>0</v>
      </c>
      <c r="AS188" s="180"/>
      <c r="AT188" s="180">
        <v>0</v>
      </c>
      <c r="AU188" s="180">
        <v>0</v>
      </c>
      <c r="AV188" s="180">
        <v>0</v>
      </c>
      <c r="AW188" s="180">
        <v>0</v>
      </c>
      <c r="AX188" s="180">
        <v>0</v>
      </c>
      <c r="AY188" s="180">
        <v>0</v>
      </c>
      <c r="AZ188" s="180">
        <v>0</v>
      </c>
      <c r="BA188" s="180">
        <v>0</v>
      </c>
      <c r="BB188" s="180">
        <v>0</v>
      </c>
      <c r="BC188" s="180">
        <v>0</v>
      </c>
      <c r="BD188" s="180">
        <v>0</v>
      </c>
      <c r="BE188" s="180">
        <v>0</v>
      </c>
      <c r="BF188" s="180">
        <v>0</v>
      </c>
      <c r="BG188" s="180">
        <v>0</v>
      </c>
      <c r="BH188" s="180">
        <v>0</v>
      </c>
      <c r="BI188" s="180">
        <v>0</v>
      </c>
      <c r="BJ188" s="180">
        <v>0</v>
      </c>
      <c r="BK188" s="180">
        <v>0</v>
      </c>
      <c r="BL188" s="180"/>
      <c r="BM188" s="180">
        <v>0</v>
      </c>
      <c r="BN188" s="180">
        <v>0</v>
      </c>
      <c r="BO188" s="180">
        <v>0</v>
      </c>
      <c r="BP188" s="180">
        <v>0</v>
      </c>
      <c r="BQ188" s="180">
        <v>0</v>
      </c>
      <c r="BR188" s="180">
        <v>0</v>
      </c>
      <c r="BS188" s="180">
        <v>0</v>
      </c>
      <c r="BT188" s="180">
        <v>0</v>
      </c>
      <c r="BU188" s="180">
        <v>0</v>
      </c>
      <c r="BV188" s="180">
        <v>0</v>
      </c>
      <c r="BW188" s="180">
        <v>0</v>
      </c>
      <c r="BX188" s="180">
        <v>0</v>
      </c>
      <c r="BY188" s="180">
        <v>0</v>
      </c>
      <c r="BZ188" s="180">
        <v>0</v>
      </c>
      <c r="CA188" s="180">
        <v>0</v>
      </c>
      <c r="CB188" s="180">
        <v>0</v>
      </c>
      <c r="CC188" s="180"/>
      <c r="CD188" s="180">
        <v>0</v>
      </c>
      <c r="CE188" s="180"/>
      <c r="CF188" s="180"/>
      <c r="CG188" s="180"/>
      <c r="CH188" s="180"/>
      <c r="CI188" s="180"/>
      <c r="CJ188" s="180"/>
      <c r="CK188" s="180"/>
      <c r="CL188" s="180"/>
      <c r="CM188" s="180"/>
      <c r="CN188" s="180"/>
      <c r="CO188" s="180"/>
      <c r="CP188" s="180"/>
      <c r="CQ188" s="180"/>
      <c r="CR188" s="180"/>
      <c r="CS188" s="180"/>
      <c r="CT188" s="180"/>
      <c r="CU188" s="180"/>
    </row>
    <row r="189" spans="1:99" s="562" customFormat="1" x14ac:dyDescent="0.3">
      <c r="A189" s="561">
        <v>645</v>
      </c>
      <c r="B189" s="562" t="s">
        <v>386</v>
      </c>
      <c r="E189" s="562">
        <v>0</v>
      </c>
      <c r="F189" s="562">
        <v>58514</v>
      </c>
      <c r="G189" s="562">
        <v>0</v>
      </c>
      <c r="H189" s="562">
        <v>2803960</v>
      </c>
      <c r="I189" s="562">
        <v>40869</v>
      </c>
      <c r="J189" s="562">
        <v>20231</v>
      </c>
      <c r="K189" s="562">
        <v>0</v>
      </c>
      <c r="L189" s="562">
        <v>217593</v>
      </c>
      <c r="M189" s="562">
        <v>484986</v>
      </c>
      <c r="N189" s="562">
        <v>0</v>
      </c>
      <c r="O189" s="562">
        <v>171275</v>
      </c>
      <c r="P189" s="562">
        <v>0</v>
      </c>
      <c r="Q189" s="562">
        <v>19347568</v>
      </c>
      <c r="R189" s="562">
        <v>34983</v>
      </c>
      <c r="S189" s="562">
        <v>0</v>
      </c>
      <c r="T189" s="562">
        <v>2315000</v>
      </c>
      <c r="U189" s="562">
        <v>1305293</v>
      </c>
      <c r="V189" s="562">
        <v>0</v>
      </c>
      <c r="W189" s="562">
        <v>1843887</v>
      </c>
      <c r="Y189" s="562">
        <v>915000</v>
      </c>
      <c r="Z189" s="562">
        <v>558119</v>
      </c>
      <c r="AA189" s="562">
        <v>1530397</v>
      </c>
      <c r="AB189" s="562">
        <v>0</v>
      </c>
      <c r="AC189" s="562">
        <v>70624</v>
      </c>
      <c r="AD189" s="562">
        <v>0</v>
      </c>
      <c r="AE189" s="562">
        <v>237100</v>
      </c>
      <c r="AF189" s="562">
        <v>3275000</v>
      </c>
      <c r="AG189" s="562">
        <v>912579</v>
      </c>
      <c r="AH189" s="562">
        <v>0</v>
      </c>
      <c r="AI189" s="562">
        <v>0</v>
      </c>
      <c r="AJ189" s="562">
        <v>0</v>
      </c>
      <c r="AM189" s="562">
        <v>946570</v>
      </c>
      <c r="AN189" s="562">
        <v>0</v>
      </c>
      <c r="AO189" s="562">
        <v>0</v>
      </c>
      <c r="AP189" s="562">
        <v>0</v>
      </c>
      <c r="AQ189" s="562">
        <v>0</v>
      </c>
      <c r="AR189" s="562">
        <v>0</v>
      </c>
      <c r="AT189" s="562">
        <v>301710</v>
      </c>
      <c r="AU189" s="562">
        <v>13334</v>
      </c>
      <c r="AV189" s="562">
        <v>0</v>
      </c>
      <c r="AW189" s="562">
        <v>1473565</v>
      </c>
      <c r="AX189" s="562">
        <v>0</v>
      </c>
      <c r="AY189" s="562">
        <v>0</v>
      </c>
      <c r="AZ189" s="562">
        <v>0</v>
      </c>
      <c r="BA189" s="562">
        <v>263998</v>
      </c>
      <c r="BB189" s="562">
        <v>0</v>
      </c>
      <c r="BC189" s="562">
        <v>0</v>
      </c>
      <c r="BD189" s="562">
        <v>230955</v>
      </c>
      <c r="BE189" s="562">
        <v>0</v>
      </c>
      <c r="BF189" s="562">
        <v>0</v>
      </c>
      <c r="BG189" s="562">
        <v>0</v>
      </c>
      <c r="BH189" s="562">
        <v>0</v>
      </c>
      <c r="BI189" s="562">
        <v>110028</v>
      </c>
      <c r="BJ189" s="562">
        <v>85534</v>
      </c>
      <c r="BK189" s="562">
        <v>210000</v>
      </c>
      <c r="BM189" s="562">
        <v>0</v>
      </c>
      <c r="BN189" s="562">
        <v>377000</v>
      </c>
      <c r="BO189" s="562">
        <v>0</v>
      </c>
      <c r="BP189" s="562">
        <v>365314</v>
      </c>
      <c r="BQ189" s="562">
        <v>0</v>
      </c>
      <c r="BR189" s="562">
        <v>0</v>
      </c>
      <c r="BS189" s="562">
        <v>0</v>
      </c>
      <c r="BT189" s="562">
        <v>174267</v>
      </c>
      <c r="BU189" s="562">
        <v>57083</v>
      </c>
      <c r="BV189" s="562">
        <v>0</v>
      </c>
      <c r="BW189" s="562">
        <v>194177</v>
      </c>
      <c r="BX189" s="562">
        <v>0</v>
      </c>
      <c r="BY189" s="562">
        <v>0</v>
      </c>
      <c r="BZ189" s="562">
        <v>23215</v>
      </c>
      <c r="CA189" s="562">
        <v>0</v>
      </c>
      <c r="CB189" s="562">
        <v>0</v>
      </c>
      <c r="CD189" s="562">
        <v>0</v>
      </c>
    </row>
    <row r="190" spans="1:99" s="562" customFormat="1" x14ac:dyDescent="0.3">
      <c r="A190" s="561">
        <v>646</v>
      </c>
      <c r="B190" s="562" t="s">
        <v>361</v>
      </c>
      <c r="E190" s="562">
        <v>138932</v>
      </c>
      <c r="F190" s="562">
        <v>825269</v>
      </c>
      <c r="G190" s="562">
        <v>2286997</v>
      </c>
      <c r="H190" s="562">
        <v>3762890</v>
      </c>
      <c r="I190" s="562">
        <v>5562127</v>
      </c>
      <c r="J190" s="562">
        <v>117322</v>
      </c>
      <c r="K190" s="562">
        <v>1050691</v>
      </c>
      <c r="L190" s="562">
        <v>738077</v>
      </c>
      <c r="M190" s="562">
        <v>5576947</v>
      </c>
      <c r="N190" s="562">
        <v>725910</v>
      </c>
      <c r="O190" s="562">
        <v>5727068</v>
      </c>
      <c r="P190" s="562">
        <v>0</v>
      </c>
      <c r="Q190" s="562">
        <v>2482625</v>
      </c>
      <c r="R190" s="562">
        <v>893598</v>
      </c>
      <c r="S190" s="562">
        <v>159766</v>
      </c>
      <c r="T190" s="562">
        <v>62220295</v>
      </c>
      <c r="U190" s="562">
        <v>5688488</v>
      </c>
      <c r="V190" s="562">
        <v>22786499</v>
      </c>
      <c r="W190" s="562">
        <v>13711989</v>
      </c>
      <c r="Y190" s="562">
        <v>10534305</v>
      </c>
      <c r="Z190" s="562">
        <v>497875</v>
      </c>
      <c r="AA190" s="562">
        <v>13728521</v>
      </c>
      <c r="AB190" s="562">
        <v>968988</v>
      </c>
      <c r="AC190" s="562">
        <v>2023253</v>
      </c>
      <c r="AD190" s="562">
        <v>1578931</v>
      </c>
      <c r="AE190" s="562">
        <v>3316022</v>
      </c>
      <c r="AF190" s="562">
        <v>6294383</v>
      </c>
      <c r="AG190" s="562">
        <v>3478925</v>
      </c>
      <c r="AH190" s="562">
        <v>1493729</v>
      </c>
      <c r="AI190" s="562">
        <v>13499590</v>
      </c>
      <c r="AJ190" s="562">
        <v>3483325</v>
      </c>
      <c r="AM190" s="562">
        <v>9094080</v>
      </c>
      <c r="AN190" s="562">
        <v>587089</v>
      </c>
      <c r="AO190" s="562">
        <v>717117</v>
      </c>
      <c r="AP190" s="562">
        <v>97797</v>
      </c>
      <c r="AQ190" s="562">
        <v>4385429</v>
      </c>
      <c r="AR190" s="562">
        <v>5623873</v>
      </c>
      <c r="AT190" s="562">
        <v>986636</v>
      </c>
      <c r="AU190" s="562">
        <v>196058</v>
      </c>
      <c r="AV190" s="562">
        <v>20894653</v>
      </c>
      <c r="AW190" s="562">
        <v>466951</v>
      </c>
      <c r="AX190" s="562">
        <v>910966</v>
      </c>
      <c r="AY190" s="562">
        <v>5146020</v>
      </c>
      <c r="AZ190" s="562">
        <v>2287333</v>
      </c>
      <c r="BA190" s="562">
        <v>731747</v>
      </c>
      <c r="BB190" s="562">
        <v>127262</v>
      </c>
      <c r="BC190" s="562">
        <v>479232</v>
      </c>
      <c r="BD190" s="562">
        <v>7505298</v>
      </c>
      <c r="BE190" s="562">
        <v>657864</v>
      </c>
      <c r="BF190" s="562">
        <v>795236</v>
      </c>
      <c r="BG190" s="562">
        <v>226872</v>
      </c>
      <c r="BH190" s="562">
        <v>298022</v>
      </c>
      <c r="BI190" s="562">
        <v>335570</v>
      </c>
      <c r="BJ190" s="562">
        <v>220411</v>
      </c>
      <c r="BK190" s="562">
        <v>1884792</v>
      </c>
      <c r="BM190" s="562">
        <v>236532</v>
      </c>
      <c r="BN190" s="562">
        <v>1291276</v>
      </c>
      <c r="BO190" s="562">
        <v>1341619</v>
      </c>
      <c r="BP190" s="562">
        <v>1619431</v>
      </c>
      <c r="BQ190" s="562">
        <v>4676778</v>
      </c>
      <c r="BR190" s="562">
        <v>351966</v>
      </c>
      <c r="BS190" s="562">
        <v>19319196</v>
      </c>
      <c r="BT190" s="562">
        <v>427978</v>
      </c>
      <c r="BU190" s="562">
        <v>5503076</v>
      </c>
      <c r="BV190" s="562">
        <v>632884</v>
      </c>
      <c r="BW190" s="562">
        <v>1014058</v>
      </c>
      <c r="BX190" s="562">
        <v>1953461</v>
      </c>
      <c r="BY190" s="562">
        <v>217016</v>
      </c>
      <c r="BZ190" s="562">
        <v>300008</v>
      </c>
      <c r="CA190" s="562">
        <v>162530</v>
      </c>
      <c r="CB190" s="562">
        <v>128142</v>
      </c>
      <c r="CD190" s="562">
        <v>391754</v>
      </c>
    </row>
    <row r="191" spans="1:99" x14ac:dyDescent="0.3">
      <c r="A191" s="155">
        <v>647</v>
      </c>
      <c r="B191" s="180" t="s">
        <v>968</v>
      </c>
      <c r="C191" s="180"/>
      <c r="D191" s="180"/>
      <c r="E191" s="180">
        <v>0</v>
      </c>
      <c r="F191" s="180">
        <v>0</v>
      </c>
      <c r="G191" s="180">
        <v>0</v>
      </c>
      <c r="H191" s="180">
        <v>0</v>
      </c>
      <c r="I191" s="180">
        <v>0</v>
      </c>
      <c r="J191" s="180">
        <v>0</v>
      </c>
      <c r="K191" s="180">
        <v>0</v>
      </c>
      <c r="L191" s="180">
        <v>0</v>
      </c>
      <c r="M191" s="180">
        <v>0</v>
      </c>
      <c r="N191" s="180">
        <v>0</v>
      </c>
      <c r="O191" s="180">
        <v>0</v>
      </c>
      <c r="P191" s="180">
        <v>0</v>
      </c>
      <c r="Q191" s="180">
        <v>0</v>
      </c>
      <c r="R191" s="180">
        <v>0</v>
      </c>
      <c r="S191" s="180">
        <v>0</v>
      </c>
      <c r="T191" s="180">
        <v>0</v>
      </c>
      <c r="U191" s="180">
        <v>0</v>
      </c>
      <c r="V191" s="180">
        <v>0</v>
      </c>
      <c r="W191" s="180">
        <v>993520</v>
      </c>
      <c r="X191" s="180"/>
      <c r="Y191" s="180">
        <v>0</v>
      </c>
      <c r="Z191" s="180">
        <v>0</v>
      </c>
      <c r="AA191" s="180">
        <v>0</v>
      </c>
      <c r="AB191" s="180">
        <v>0</v>
      </c>
      <c r="AC191" s="180">
        <v>0</v>
      </c>
      <c r="AD191" s="180">
        <v>0</v>
      </c>
      <c r="AE191" s="180">
        <v>0</v>
      </c>
      <c r="AF191" s="180">
        <v>0</v>
      </c>
      <c r="AG191" s="180">
        <v>0</v>
      </c>
      <c r="AH191" s="180">
        <v>0</v>
      </c>
      <c r="AI191" s="180">
        <v>0</v>
      </c>
      <c r="AJ191" s="180">
        <v>0</v>
      </c>
      <c r="AK191" s="180"/>
      <c r="AL191" s="180"/>
      <c r="AM191" s="180">
        <v>0</v>
      </c>
      <c r="AN191" s="180">
        <v>0</v>
      </c>
      <c r="AO191" s="180">
        <v>0</v>
      </c>
      <c r="AP191" s="180">
        <v>0</v>
      </c>
      <c r="AQ191" s="180">
        <v>0</v>
      </c>
      <c r="AR191" s="180">
        <v>0</v>
      </c>
      <c r="AS191" s="180"/>
      <c r="AT191" s="180">
        <v>0</v>
      </c>
      <c r="AU191" s="180">
        <v>0</v>
      </c>
      <c r="AV191" s="180">
        <v>0</v>
      </c>
      <c r="AW191" s="180">
        <v>0</v>
      </c>
      <c r="AX191" s="180">
        <v>0</v>
      </c>
      <c r="AY191" s="180">
        <v>0</v>
      </c>
      <c r="AZ191" s="180">
        <v>0</v>
      </c>
      <c r="BA191" s="180">
        <v>0</v>
      </c>
      <c r="BB191" s="180">
        <v>0</v>
      </c>
      <c r="BC191" s="180">
        <v>0</v>
      </c>
      <c r="BD191" s="180">
        <v>0</v>
      </c>
      <c r="BE191" s="180">
        <v>0</v>
      </c>
      <c r="BF191" s="180">
        <v>0</v>
      </c>
      <c r="BG191" s="180">
        <v>0</v>
      </c>
      <c r="BH191" s="180">
        <v>0</v>
      </c>
      <c r="BI191" s="180">
        <v>0</v>
      </c>
      <c r="BJ191" s="180">
        <v>0</v>
      </c>
      <c r="BK191" s="180">
        <v>0</v>
      </c>
      <c r="BL191" s="180"/>
      <c r="BM191" s="180">
        <v>0</v>
      </c>
      <c r="BN191" s="180">
        <v>0</v>
      </c>
      <c r="BO191" s="180">
        <v>0</v>
      </c>
      <c r="BP191" s="180">
        <v>0</v>
      </c>
      <c r="BQ191" s="180">
        <v>0</v>
      </c>
      <c r="BR191" s="180">
        <v>0</v>
      </c>
      <c r="BS191" s="180">
        <v>0</v>
      </c>
      <c r="BT191" s="180">
        <v>0</v>
      </c>
      <c r="BU191" s="180">
        <v>0</v>
      </c>
      <c r="BV191" s="180">
        <v>0</v>
      </c>
      <c r="BW191" s="180">
        <v>0</v>
      </c>
      <c r="BX191" s="180">
        <v>0</v>
      </c>
      <c r="BY191" s="180">
        <v>0</v>
      </c>
      <c r="BZ191" s="180">
        <v>0</v>
      </c>
      <c r="CA191" s="180">
        <v>0</v>
      </c>
      <c r="CB191" s="180">
        <v>0</v>
      </c>
      <c r="CC191" s="180"/>
      <c r="CD191" s="180">
        <v>0</v>
      </c>
      <c r="CE191" s="180"/>
      <c r="CF191" s="180"/>
      <c r="CG191" s="180"/>
      <c r="CH191" s="180"/>
      <c r="CI191" s="180"/>
      <c r="CJ191" s="180"/>
      <c r="CK191" s="180"/>
      <c r="CL191" s="180"/>
      <c r="CM191" s="180"/>
      <c r="CN191" s="180"/>
      <c r="CO191" s="180"/>
      <c r="CP191" s="180"/>
      <c r="CQ191" s="180"/>
      <c r="CR191" s="180"/>
      <c r="CS191" s="180"/>
      <c r="CT191" s="180"/>
      <c r="CU191" s="180"/>
    </row>
    <row r="192" spans="1:99" x14ac:dyDescent="0.3">
      <c r="A192" s="155">
        <v>648</v>
      </c>
      <c r="B192" s="180" t="s">
        <v>608</v>
      </c>
      <c r="C192" s="180"/>
      <c r="D192" s="180"/>
      <c r="E192" s="180">
        <v>0.4</v>
      </c>
      <c r="F192" s="180">
        <v>5.7000000000000002E-3</v>
      </c>
      <c r="G192" s="180">
        <v>0.22</v>
      </c>
      <c r="H192" s="180">
        <v>0</v>
      </c>
      <c r="I192" s="180">
        <v>0.19</v>
      </c>
      <c r="J192" s="180">
        <v>0</v>
      </c>
      <c r="K192" s="180">
        <v>2.1000000000000001E-2</v>
      </c>
      <c r="L192" s="180">
        <v>0.11</v>
      </c>
      <c r="M192" s="180">
        <v>0.255</v>
      </c>
      <c r="N192" s="180">
        <v>0.22</v>
      </c>
      <c r="O192" s="180">
        <v>0.28999999999999998</v>
      </c>
      <c r="P192" s="180">
        <v>0.13</v>
      </c>
      <c r="Q192" s="180">
        <v>0.50249999999999995</v>
      </c>
      <c r="R192" s="180">
        <v>0.43</v>
      </c>
      <c r="S192" s="180">
        <v>0</v>
      </c>
      <c r="T192" s="180">
        <v>0.57999999999999996</v>
      </c>
      <c r="U192" s="180">
        <v>0.38</v>
      </c>
      <c r="V192" s="180">
        <v>0.56999999999999995</v>
      </c>
      <c r="W192" s="180">
        <v>0.36</v>
      </c>
      <c r="X192" s="180"/>
      <c r="Y192" s="180">
        <v>0.6</v>
      </c>
      <c r="Z192" s="180">
        <v>0.56999999999999995</v>
      </c>
      <c r="AA192" s="180">
        <v>0.48499999999999999</v>
      </c>
      <c r="AB192" s="180">
        <v>0.64</v>
      </c>
      <c r="AC192" s="180">
        <v>0.505</v>
      </c>
      <c r="AD192" s="180">
        <v>0</v>
      </c>
      <c r="AE192" s="180">
        <v>0</v>
      </c>
      <c r="AF192" s="180">
        <v>0.28749999999999998</v>
      </c>
      <c r="AG192" s="180">
        <v>0.57999999999999996</v>
      </c>
      <c r="AH192" s="180">
        <v>0.2</v>
      </c>
      <c r="AI192" s="180">
        <v>0.48220000000000002</v>
      </c>
      <c r="AJ192" s="180">
        <v>0.16</v>
      </c>
      <c r="AK192" s="180"/>
      <c r="AL192" s="180"/>
      <c r="AM192" s="180">
        <v>0.54</v>
      </c>
      <c r="AN192" s="180">
        <v>0.38</v>
      </c>
      <c r="AO192" s="180">
        <v>0.7</v>
      </c>
      <c r="AP192" s="180">
        <v>0</v>
      </c>
      <c r="AQ192" s="180">
        <v>0</v>
      </c>
      <c r="AR192" s="180">
        <v>0.52</v>
      </c>
      <c r="AS192" s="180"/>
      <c r="AT192" s="180">
        <v>0.39</v>
      </c>
      <c r="AU192" s="180">
        <v>0.45</v>
      </c>
      <c r="AV192" s="180">
        <v>0</v>
      </c>
      <c r="AW192" s="180">
        <v>0.08</v>
      </c>
      <c r="AX192" s="180">
        <v>0</v>
      </c>
      <c r="AY192" s="180">
        <v>1.6400000000000001E-2</v>
      </c>
      <c r="AZ192" s="180">
        <v>0.32</v>
      </c>
      <c r="BA192" s="180">
        <v>0.22</v>
      </c>
      <c r="BB192" s="180">
        <v>0</v>
      </c>
      <c r="BC192" s="180">
        <v>0.21249999999999999</v>
      </c>
      <c r="BD192" s="180">
        <v>0.64</v>
      </c>
      <c r="BE192" s="180">
        <v>0</v>
      </c>
      <c r="BF192" s="180">
        <v>0.5</v>
      </c>
      <c r="BG192" s="180">
        <v>0.68</v>
      </c>
      <c r="BH192" s="180">
        <v>0.15</v>
      </c>
      <c r="BI192" s="180">
        <v>0.3</v>
      </c>
      <c r="BJ192" s="180">
        <v>5.5E-2</v>
      </c>
      <c r="BK192" s="180">
        <v>0.64</v>
      </c>
      <c r="BL192" s="180"/>
      <c r="BM192" s="180">
        <v>0.56999999999999995</v>
      </c>
      <c r="BN192" s="180">
        <v>0.20699999999999999</v>
      </c>
      <c r="BO192" s="180">
        <v>4.8000000000000001E-2</v>
      </c>
      <c r="BP192" s="180">
        <v>0.4</v>
      </c>
      <c r="BQ192" s="180">
        <v>0.315</v>
      </c>
      <c r="BR192" s="180">
        <v>0.46</v>
      </c>
      <c r="BS192" s="180">
        <v>0.33</v>
      </c>
      <c r="BT192" s="180">
        <v>0.55000000000000004</v>
      </c>
      <c r="BU192" s="180">
        <v>0.43330000000000002</v>
      </c>
      <c r="BV192" s="180">
        <v>0.8</v>
      </c>
      <c r="BW192" s="180">
        <v>0.54</v>
      </c>
      <c r="BX192" s="180">
        <v>0.3</v>
      </c>
      <c r="BY192" s="180">
        <v>0.05</v>
      </c>
      <c r="BZ192" s="180">
        <v>0.38</v>
      </c>
      <c r="CA192" s="180">
        <v>0</v>
      </c>
      <c r="CB192" s="180">
        <v>0</v>
      </c>
      <c r="CC192" s="180"/>
      <c r="CD192" s="180">
        <v>0.2</v>
      </c>
      <c r="CE192" s="180"/>
      <c r="CF192" s="180"/>
      <c r="CG192" s="180"/>
      <c r="CH192" s="180"/>
      <c r="CI192" s="180"/>
      <c r="CJ192" s="180"/>
      <c r="CK192" s="180"/>
      <c r="CL192" s="180"/>
      <c r="CM192" s="180"/>
      <c r="CN192" s="180"/>
      <c r="CO192" s="180"/>
      <c r="CP192" s="180"/>
      <c r="CQ192" s="180"/>
      <c r="CR192" s="180"/>
      <c r="CS192" s="180"/>
      <c r="CT192" s="180"/>
      <c r="CU192" s="180"/>
    </row>
    <row r="193" spans="1:99" x14ac:dyDescent="0.3">
      <c r="A193" s="155">
        <v>654</v>
      </c>
      <c r="B193" s="180" t="s">
        <v>416</v>
      </c>
      <c r="C193" s="180"/>
      <c r="D193" s="180"/>
      <c r="E193" s="180">
        <v>0</v>
      </c>
      <c r="F193" s="180">
        <v>849879</v>
      </c>
      <c r="G193" s="180">
        <v>0</v>
      </c>
      <c r="H193" s="180">
        <v>0</v>
      </c>
      <c r="I193" s="180">
        <v>0</v>
      </c>
      <c r="J193" s="180">
        <v>72259</v>
      </c>
      <c r="K193" s="180">
        <v>0</v>
      </c>
      <c r="L193" s="180">
        <v>0</v>
      </c>
      <c r="M193" s="180">
        <v>0</v>
      </c>
      <c r="N193" s="180">
        <v>0</v>
      </c>
      <c r="O193" s="180">
        <v>2915088</v>
      </c>
      <c r="P193" s="180">
        <v>0</v>
      </c>
      <c r="Q193" s="180">
        <v>57546904</v>
      </c>
      <c r="R193" s="180">
        <v>930207</v>
      </c>
      <c r="S193" s="180">
        <v>0</v>
      </c>
      <c r="T193" s="180">
        <v>69924070</v>
      </c>
      <c r="U193" s="180">
        <v>9710218</v>
      </c>
      <c r="V193" s="180">
        <v>22183251</v>
      </c>
      <c r="W193" s="180">
        <v>0</v>
      </c>
      <c r="X193" s="180"/>
      <c r="Y193" s="180">
        <v>9888569</v>
      </c>
      <c r="Z193" s="180">
        <v>1925340</v>
      </c>
      <c r="AA193" s="180">
        <v>22197759</v>
      </c>
      <c r="AB193" s="180">
        <v>2534092</v>
      </c>
      <c r="AC193" s="180">
        <v>1732440</v>
      </c>
      <c r="AD193" s="180">
        <v>1446259</v>
      </c>
      <c r="AE193" s="180">
        <v>2309130</v>
      </c>
      <c r="AF193" s="180">
        <v>5107960</v>
      </c>
      <c r="AG193" s="180">
        <v>1286108</v>
      </c>
      <c r="AH193" s="180">
        <v>0</v>
      </c>
      <c r="AI193" s="180">
        <v>24708352</v>
      </c>
      <c r="AJ193" s="180">
        <v>423614</v>
      </c>
      <c r="AK193" s="180"/>
      <c r="AL193" s="180"/>
      <c r="AM193" s="180">
        <v>4984160</v>
      </c>
      <c r="AN193" s="180">
        <v>91485</v>
      </c>
      <c r="AO193" s="180">
        <v>268186</v>
      </c>
      <c r="AP193" s="180">
        <v>0</v>
      </c>
      <c r="AQ193" s="180">
        <v>0</v>
      </c>
      <c r="AR193" s="180">
        <v>5737671</v>
      </c>
      <c r="AS193" s="180"/>
      <c r="AT193" s="180">
        <v>2177489</v>
      </c>
      <c r="AU193" s="180">
        <v>0</v>
      </c>
      <c r="AV193" s="180">
        <v>35468949</v>
      </c>
      <c r="AW193" s="180">
        <v>0</v>
      </c>
      <c r="AX193" s="180">
        <v>3134411</v>
      </c>
      <c r="AY193" s="180">
        <v>18393142</v>
      </c>
      <c r="AZ193" s="180">
        <v>1077305</v>
      </c>
      <c r="BA193" s="180">
        <v>334755</v>
      </c>
      <c r="BB193" s="180">
        <v>0</v>
      </c>
      <c r="BC193" s="180">
        <v>91403</v>
      </c>
      <c r="BD193" s="180">
        <v>9989134</v>
      </c>
      <c r="BE193" s="180">
        <v>0</v>
      </c>
      <c r="BF193" s="180">
        <v>298792</v>
      </c>
      <c r="BG193" s="180">
        <v>137974</v>
      </c>
      <c r="BH193" s="180">
        <v>0</v>
      </c>
      <c r="BI193" s="180">
        <v>379461</v>
      </c>
      <c r="BJ193" s="180">
        <v>0</v>
      </c>
      <c r="BK193" s="180">
        <v>2367135</v>
      </c>
      <c r="BL193" s="180"/>
      <c r="BM193" s="180">
        <v>727567</v>
      </c>
      <c r="BN193" s="180">
        <v>1169530</v>
      </c>
      <c r="BO193" s="180">
        <v>1017610</v>
      </c>
      <c r="BP193" s="180">
        <v>1304002</v>
      </c>
      <c r="BQ193" s="180">
        <v>0</v>
      </c>
      <c r="BR193" s="180">
        <v>1002253</v>
      </c>
      <c r="BS193" s="180">
        <v>0</v>
      </c>
      <c r="BT193" s="180">
        <v>715670</v>
      </c>
      <c r="BU193" s="180">
        <v>7185581</v>
      </c>
      <c r="BV193" s="180">
        <v>0</v>
      </c>
      <c r="BW193" s="180">
        <v>2070601</v>
      </c>
      <c r="BX193" s="180">
        <v>1474280</v>
      </c>
      <c r="BY193" s="180">
        <v>36114</v>
      </c>
      <c r="BZ193" s="180">
        <v>443104</v>
      </c>
      <c r="CA193" s="180">
        <v>79561</v>
      </c>
      <c r="CB193" s="180">
        <v>1647557</v>
      </c>
      <c r="CC193" s="180"/>
      <c r="CD193" s="180">
        <v>35503</v>
      </c>
      <c r="CE193" s="180"/>
      <c r="CF193" s="180"/>
      <c r="CG193" s="180"/>
      <c r="CH193" s="180"/>
      <c r="CI193" s="180"/>
      <c r="CJ193" s="180"/>
      <c r="CK193" s="180"/>
      <c r="CL193" s="180"/>
      <c r="CM193" s="180"/>
      <c r="CN193" s="180"/>
      <c r="CO193" s="180"/>
      <c r="CP193" s="180"/>
      <c r="CQ193" s="180"/>
      <c r="CR193" s="180"/>
      <c r="CS193" s="180"/>
      <c r="CT193" s="180"/>
      <c r="CU193" s="180"/>
    </row>
    <row r="194" spans="1:99" x14ac:dyDescent="0.3">
      <c r="A194" s="155">
        <v>655</v>
      </c>
      <c r="B194" s="180" t="s">
        <v>969</v>
      </c>
      <c r="C194" s="180"/>
      <c r="D194" s="180"/>
      <c r="E194" s="180">
        <v>0</v>
      </c>
      <c r="F194" s="180">
        <v>71277</v>
      </c>
      <c r="G194" s="180">
        <v>0</v>
      </c>
      <c r="H194" s="180">
        <v>0</v>
      </c>
      <c r="I194" s="180">
        <v>0</v>
      </c>
      <c r="J194" s="180">
        <v>10518</v>
      </c>
      <c r="K194" s="180">
        <v>0</v>
      </c>
      <c r="L194" s="180">
        <v>0</v>
      </c>
      <c r="M194" s="180">
        <v>0</v>
      </c>
      <c r="N194" s="180">
        <v>0</v>
      </c>
      <c r="O194" s="180">
        <v>124155</v>
      </c>
      <c r="P194" s="180">
        <v>0</v>
      </c>
      <c r="Q194" s="180">
        <v>70105</v>
      </c>
      <c r="R194" s="180">
        <v>7386</v>
      </c>
      <c r="S194" s="180">
        <v>0</v>
      </c>
      <c r="T194" s="180">
        <v>41049171</v>
      </c>
      <c r="U194" s="180">
        <v>213760</v>
      </c>
      <c r="V194" s="180">
        <v>248599</v>
      </c>
      <c r="W194" s="180">
        <v>0</v>
      </c>
      <c r="X194" s="180"/>
      <c r="Y194" s="180">
        <v>64459</v>
      </c>
      <c r="Z194" s="180">
        <v>161353</v>
      </c>
      <c r="AA194" s="180">
        <v>5184364</v>
      </c>
      <c r="AB194" s="180">
        <v>194915</v>
      </c>
      <c r="AC194" s="180">
        <v>205766</v>
      </c>
      <c r="AD194" s="180">
        <v>143655</v>
      </c>
      <c r="AE194" s="180">
        <v>127797</v>
      </c>
      <c r="AF194" s="180">
        <v>465321</v>
      </c>
      <c r="AG194" s="180">
        <v>164908</v>
      </c>
      <c r="AH194" s="180">
        <v>0</v>
      </c>
      <c r="AI194" s="180">
        <v>0</v>
      </c>
      <c r="AJ194" s="180">
        <v>13360</v>
      </c>
      <c r="AK194" s="180"/>
      <c r="AL194" s="180"/>
      <c r="AM194" s="180">
        <v>470370</v>
      </c>
      <c r="AN194" s="180">
        <v>25340</v>
      </c>
      <c r="AO194" s="180">
        <v>89154</v>
      </c>
      <c r="AP194" s="180">
        <v>0</v>
      </c>
      <c r="AQ194" s="180">
        <v>0</v>
      </c>
      <c r="AR194" s="180">
        <v>73126</v>
      </c>
      <c r="AS194" s="180"/>
      <c r="AT194" s="180">
        <v>42369</v>
      </c>
      <c r="AU194" s="180">
        <v>0</v>
      </c>
      <c r="AV194" s="180">
        <v>0</v>
      </c>
      <c r="AW194" s="180">
        <v>0</v>
      </c>
      <c r="AX194" s="180">
        <v>27357</v>
      </c>
      <c r="AY194" s="180">
        <v>0</v>
      </c>
      <c r="AZ194" s="180">
        <v>0</v>
      </c>
      <c r="BA194" s="180">
        <v>52099</v>
      </c>
      <c r="BB194" s="180">
        <v>0</v>
      </c>
      <c r="BC194" s="180">
        <v>9535</v>
      </c>
      <c r="BD194" s="180">
        <v>135787</v>
      </c>
      <c r="BE194" s="180">
        <v>0</v>
      </c>
      <c r="BF194" s="180">
        <v>0</v>
      </c>
      <c r="BG194" s="180">
        <v>5856</v>
      </c>
      <c r="BH194" s="180">
        <v>0</v>
      </c>
      <c r="BI194" s="180">
        <v>21180</v>
      </c>
      <c r="BJ194" s="180">
        <v>0</v>
      </c>
      <c r="BK194" s="180">
        <v>0</v>
      </c>
      <c r="BL194" s="180"/>
      <c r="BM194" s="180">
        <v>10088</v>
      </c>
      <c r="BN194" s="180">
        <v>4856</v>
      </c>
      <c r="BO194" s="180">
        <v>67704</v>
      </c>
      <c r="BP194" s="180">
        <v>91722</v>
      </c>
      <c r="BQ194" s="180">
        <v>0</v>
      </c>
      <c r="BR194" s="180">
        <v>47956</v>
      </c>
      <c r="BS194" s="180">
        <v>0</v>
      </c>
      <c r="BT194" s="180">
        <v>65242</v>
      </c>
      <c r="BU194" s="180">
        <v>123247</v>
      </c>
      <c r="BV194" s="180">
        <v>0</v>
      </c>
      <c r="BW194" s="180">
        <v>196619</v>
      </c>
      <c r="BX194" s="180">
        <v>39071</v>
      </c>
      <c r="BY194" s="180">
        <v>0</v>
      </c>
      <c r="BZ194" s="180">
        <v>47362</v>
      </c>
      <c r="CA194" s="180">
        <v>12375</v>
      </c>
      <c r="CB194" s="180">
        <v>106818</v>
      </c>
      <c r="CC194" s="180"/>
      <c r="CD194" s="180">
        <v>0</v>
      </c>
      <c r="CE194" s="180"/>
      <c r="CF194" s="180"/>
      <c r="CG194" s="180"/>
      <c r="CH194" s="180"/>
      <c r="CI194" s="180"/>
      <c r="CJ194" s="180"/>
      <c r="CK194" s="180"/>
      <c r="CL194" s="180"/>
      <c r="CM194" s="180"/>
      <c r="CN194" s="180"/>
      <c r="CO194" s="180"/>
      <c r="CP194" s="180"/>
      <c r="CQ194" s="180"/>
      <c r="CR194" s="180"/>
      <c r="CS194" s="180"/>
      <c r="CT194" s="180"/>
      <c r="CU194" s="180"/>
    </row>
    <row r="195" spans="1:99" x14ac:dyDescent="0.3">
      <c r="A195" s="155">
        <v>656</v>
      </c>
      <c r="B195" s="180" t="s">
        <v>422</v>
      </c>
      <c r="C195" s="180"/>
      <c r="D195" s="180"/>
      <c r="E195" s="180">
        <v>2</v>
      </c>
      <c r="F195" s="180">
        <v>2</v>
      </c>
      <c r="G195" s="180">
        <v>2</v>
      </c>
      <c r="H195" s="180">
        <v>0</v>
      </c>
      <c r="I195" s="180">
        <v>0</v>
      </c>
      <c r="J195" s="180">
        <v>2</v>
      </c>
      <c r="K195" s="180">
        <v>0</v>
      </c>
      <c r="L195" s="180">
        <v>2</v>
      </c>
      <c r="M195" s="180">
        <v>2</v>
      </c>
      <c r="N195" s="180">
        <v>2</v>
      </c>
      <c r="O195" s="180">
        <v>2</v>
      </c>
      <c r="P195" s="180">
        <v>0</v>
      </c>
      <c r="Q195" s="180">
        <v>1</v>
      </c>
      <c r="R195" s="180">
        <v>0</v>
      </c>
      <c r="S195" s="180">
        <v>0</v>
      </c>
      <c r="T195" s="180">
        <v>2</v>
      </c>
      <c r="U195" s="180">
        <v>2</v>
      </c>
      <c r="V195" s="180">
        <v>2</v>
      </c>
      <c r="W195" s="180">
        <v>2</v>
      </c>
      <c r="X195" s="180"/>
      <c r="Y195" s="180">
        <v>2</v>
      </c>
      <c r="Z195" s="180">
        <v>2</v>
      </c>
      <c r="AA195" s="180">
        <v>2</v>
      </c>
      <c r="AB195" s="180">
        <v>2</v>
      </c>
      <c r="AC195" s="180">
        <v>2</v>
      </c>
      <c r="AD195" s="180">
        <v>0</v>
      </c>
      <c r="AE195" s="180">
        <v>2</v>
      </c>
      <c r="AF195" s="180">
        <v>2</v>
      </c>
      <c r="AG195" s="180">
        <v>0</v>
      </c>
      <c r="AH195" s="180">
        <v>2</v>
      </c>
      <c r="AI195" s="180">
        <v>2</v>
      </c>
      <c r="AJ195" s="180">
        <v>2</v>
      </c>
      <c r="AK195" s="180"/>
      <c r="AL195" s="180"/>
      <c r="AM195" s="180">
        <v>2</v>
      </c>
      <c r="AN195" s="180">
        <v>2</v>
      </c>
      <c r="AO195" s="180">
        <v>2</v>
      </c>
      <c r="AP195" s="180">
        <v>2</v>
      </c>
      <c r="AQ195" s="180">
        <v>0</v>
      </c>
      <c r="AR195" s="180">
        <v>0</v>
      </c>
      <c r="AS195" s="180"/>
      <c r="AT195" s="180">
        <v>2</v>
      </c>
      <c r="AU195" s="180">
        <v>2</v>
      </c>
      <c r="AV195" s="180">
        <v>0</v>
      </c>
      <c r="AW195" s="180">
        <v>2</v>
      </c>
      <c r="AX195" s="180">
        <v>2</v>
      </c>
      <c r="AY195" s="180">
        <v>2</v>
      </c>
      <c r="AZ195" s="180">
        <v>2</v>
      </c>
      <c r="BA195" s="180">
        <v>2</v>
      </c>
      <c r="BB195" s="180">
        <v>0</v>
      </c>
      <c r="BC195" s="180">
        <v>0</v>
      </c>
      <c r="BD195" s="180">
        <v>2</v>
      </c>
      <c r="BE195" s="180">
        <v>2</v>
      </c>
      <c r="BF195" s="180">
        <v>2</v>
      </c>
      <c r="BG195" s="180">
        <v>2</v>
      </c>
      <c r="BH195" s="180">
        <v>0</v>
      </c>
      <c r="BI195" s="180">
        <v>0</v>
      </c>
      <c r="BJ195" s="180">
        <v>0</v>
      </c>
      <c r="BK195" s="180">
        <v>2</v>
      </c>
      <c r="BL195" s="180"/>
      <c r="BM195" s="180">
        <v>2</v>
      </c>
      <c r="BN195" s="180">
        <v>2</v>
      </c>
      <c r="BO195" s="180">
        <v>2</v>
      </c>
      <c r="BP195" s="180">
        <v>2</v>
      </c>
      <c r="BQ195" s="180">
        <v>2</v>
      </c>
      <c r="BR195" s="180">
        <v>2</v>
      </c>
      <c r="BS195" s="180">
        <v>2</v>
      </c>
      <c r="BT195" s="180">
        <v>2</v>
      </c>
      <c r="BU195" s="180">
        <v>2</v>
      </c>
      <c r="BV195" s="180">
        <v>2</v>
      </c>
      <c r="BW195" s="180">
        <v>0</v>
      </c>
      <c r="BX195" s="180">
        <v>0</v>
      </c>
      <c r="BY195" s="180">
        <v>0</v>
      </c>
      <c r="BZ195" s="180">
        <v>2</v>
      </c>
      <c r="CA195" s="180">
        <v>2</v>
      </c>
      <c r="CB195" s="180">
        <v>0</v>
      </c>
      <c r="CC195" s="180"/>
      <c r="CD195" s="180">
        <v>2</v>
      </c>
      <c r="CE195" s="180"/>
      <c r="CF195" s="180"/>
      <c r="CG195" s="180"/>
      <c r="CH195" s="180"/>
      <c r="CI195" s="180"/>
      <c r="CJ195" s="180"/>
      <c r="CK195" s="180"/>
      <c r="CL195" s="180"/>
      <c r="CM195" s="180"/>
      <c r="CN195" s="180"/>
      <c r="CO195" s="180"/>
      <c r="CP195" s="180"/>
      <c r="CQ195" s="180"/>
      <c r="CR195" s="180"/>
      <c r="CS195" s="180"/>
      <c r="CT195" s="180"/>
      <c r="CU195" s="180"/>
    </row>
    <row r="196" spans="1:99" x14ac:dyDescent="0.3">
      <c r="A196" s="155">
        <v>657</v>
      </c>
      <c r="B196" s="180" t="s">
        <v>970</v>
      </c>
      <c r="C196" s="180"/>
      <c r="D196" s="180"/>
      <c r="E196" s="180">
        <v>0</v>
      </c>
      <c r="F196" s="180">
        <v>0</v>
      </c>
      <c r="G196" s="180">
        <v>0</v>
      </c>
      <c r="H196" s="180">
        <v>0</v>
      </c>
      <c r="I196" s="180">
        <v>0</v>
      </c>
      <c r="J196" s="180">
        <v>0</v>
      </c>
      <c r="K196" s="180">
        <v>0</v>
      </c>
      <c r="L196" s="180">
        <v>0</v>
      </c>
      <c r="M196" s="180">
        <v>0</v>
      </c>
      <c r="N196" s="180">
        <v>0</v>
      </c>
      <c r="O196" s="180">
        <v>0</v>
      </c>
      <c r="P196" s="180">
        <v>0</v>
      </c>
      <c r="Q196" s="180">
        <v>99778542</v>
      </c>
      <c r="R196" s="180">
        <v>0</v>
      </c>
      <c r="S196" s="180">
        <v>0</v>
      </c>
      <c r="T196" s="180">
        <v>0</v>
      </c>
      <c r="U196" s="180">
        <v>0</v>
      </c>
      <c r="V196" s="180">
        <v>23765124</v>
      </c>
      <c r="W196" s="180">
        <v>0</v>
      </c>
      <c r="X196" s="180"/>
      <c r="Y196" s="180">
        <v>0</v>
      </c>
      <c r="Z196" s="180">
        <v>0</v>
      </c>
      <c r="AA196" s="180">
        <v>0</v>
      </c>
      <c r="AB196" s="180">
        <v>0</v>
      </c>
      <c r="AC196" s="180">
        <v>0</v>
      </c>
      <c r="AD196" s="180">
        <v>0</v>
      </c>
      <c r="AE196" s="180">
        <v>0</v>
      </c>
      <c r="AF196" s="180">
        <v>0</v>
      </c>
      <c r="AG196" s="180">
        <v>0</v>
      </c>
      <c r="AH196" s="180">
        <v>0</v>
      </c>
      <c r="AI196" s="180">
        <v>29324318</v>
      </c>
      <c r="AJ196" s="180">
        <v>0</v>
      </c>
      <c r="AK196" s="180"/>
      <c r="AL196" s="180"/>
      <c r="AM196" s="180">
        <v>15237672</v>
      </c>
      <c r="AN196" s="180">
        <v>0</v>
      </c>
      <c r="AO196" s="180">
        <v>0</v>
      </c>
      <c r="AP196" s="180">
        <v>0</v>
      </c>
      <c r="AQ196" s="180">
        <v>0</v>
      </c>
      <c r="AR196" s="180">
        <v>0</v>
      </c>
      <c r="AS196" s="180"/>
      <c r="AT196" s="180">
        <v>0</v>
      </c>
      <c r="AU196" s="180">
        <v>789558</v>
      </c>
      <c r="AV196" s="180">
        <v>0</v>
      </c>
      <c r="AW196" s="180">
        <v>0</v>
      </c>
      <c r="AX196" s="180">
        <v>0</v>
      </c>
      <c r="AY196" s="180">
        <v>0</v>
      </c>
      <c r="AZ196" s="180">
        <v>0</v>
      </c>
      <c r="BA196" s="180">
        <v>0</v>
      </c>
      <c r="BB196" s="180">
        <v>0</v>
      </c>
      <c r="BC196" s="180">
        <v>0</v>
      </c>
      <c r="BD196" s="180">
        <v>0</v>
      </c>
      <c r="BE196" s="180">
        <v>0</v>
      </c>
      <c r="BF196" s="180">
        <v>0</v>
      </c>
      <c r="BG196" s="180">
        <v>0</v>
      </c>
      <c r="BH196" s="180">
        <v>0</v>
      </c>
      <c r="BI196" s="180">
        <v>0</v>
      </c>
      <c r="BJ196" s="180">
        <v>0</v>
      </c>
      <c r="BK196" s="180">
        <v>0</v>
      </c>
      <c r="BL196" s="180"/>
      <c r="BM196" s="180">
        <v>0</v>
      </c>
      <c r="BN196" s="180">
        <v>0</v>
      </c>
      <c r="BO196" s="180">
        <v>0</v>
      </c>
      <c r="BP196" s="180">
        <v>0</v>
      </c>
      <c r="BQ196" s="180">
        <v>0</v>
      </c>
      <c r="BR196" s="180">
        <v>2235439</v>
      </c>
      <c r="BS196" s="180">
        <v>6736969</v>
      </c>
      <c r="BT196" s="180">
        <v>0</v>
      </c>
      <c r="BU196" s="180">
        <v>0</v>
      </c>
      <c r="BV196" s="180">
        <v>0</v>
      </c>
      <c r="BW196" s="180">
        <v>0</v>
      </c>
      <c r="BX196" s="180">
        <v>0</v>
      </c>
      <c r="BY196" s="180">
        <v>0</v>
      </c>
      <c r="BZ196" s="180">
        <v>0</v>
      </c>
      <c r="CA196" s="180">
        <v>0</v>
      </c>
      <c r="CB196" s="180">
        <v>0</v>
      </c>
      <c r="CC196" s="180"/>
      <c r="CD196" s="180">
        <v>0</v>
      </c>
      <c r="CE196" s="180"/>
      <c r="CF196" s="180"/>
      <c r="CG196" s="180"/>
      <c r="CH196" s="180"/>
      <c r="CI196" s="180"/>
      <c r="CJ196" s="180"/>
      <c r="CK196" s="180"/>
      <c r="CL196" s="180"/>
      <c r="CM196" s="180"/>
      <c r="CN196" s="180"/>
      <c r="CO196" s="180"/>
      <c r="CP196" s="180"/>
      <c r="CQ196" s="180"/>
      <c r="CR196" s="180"/>
      <c r="CS196" s="180"/>
      <c r="CT196" s="180"/>
      <c r="CU196" s="180"/>
    </row>
    <row r="197" spans="1:99" x14ac:dyDescent="0.3">
      <c r="A197" s="155">
        <v>658</v>
      </c>
      <c r="B197" s="180" t="s">
        <v>971</v>
      </c>
      <c r="C197" s="180"/>
      <c r="D197" s="180"/>
      <c r="E197" s="180">
        <v>0</v>
      </c>
      <c r="F197" s="180">
        <v>0</v>
      </c>
      <c r="G197" s="180">
        <v>0</v>
      </c>
      <c r="H197" s="180">
        <v>0</v>
      </c>
      <c r="I197" s="180">
        <v>0</v>
      </c>
      <c r="J197" s="180">
        <v>0</v>
      </c>
      <c r="K197" s="180">
        <v>0</v>
      </c>
      <c r="L197" s="180">
        <v>0</v>
      </c>
      <c r="M197" s="180">
        <v>0</v>
      </c>
      <c r="N197" s="180">
        <v>0</v>
      </c>
      <c r="O197" s="180">
        <v>0</v>
      </c>
      <c r="P197" s="180">
        <v>0</v>
      </c>
      <c r="Q197" s="180">
        <v>0</v>
      </c>
      <c r="R197" s="180">
        <v>0</v>
      </c>
      <c r="S197" s="180">
        <v>0</v>
      </c>
      <c r="T197" s="180">
        <v>0</v>
      </c>
      <c r="U197" s="180">
        <v>0</v>
      </c>
      <c r="V197" s="180">
        <v>663773</v>
      </c>
      <c r="W197" s="180">
        <v>0</v>
      </c>
      <c r="X197" s="180"/>
      <c r="Y197" s="180">
        <v>0</v>
      </c>
      <c r="Z197" s="180">
        <v>0</v>
      </c>
      <c r="AA197" s="180">
        <v>0</v>
      </c>
      <c r="AB197" s="180">
        <v>0</v>
      </c>
      <c r="AC197" s="180">
        <v>0</v>
      </c>
      <c r="AD197" s="180">
        <v>0</v>
      </c>
      <c r="AE197" s="180">
        <v>0</v>
      </c>
      <c r="AF197" s="180">
        <v>0</v>
      </c>
      <c r="AG197" s="180">
        <v>0</v>
      </c>
      <c r="AH197" s="180">
        <v>0</v>
      </c>
      <c r="AI197" s="180">
        <v>2634889</v>
      </c>
      <c r="AJ197" s="180">
        <v>0</v>
      </c>
      <c r="AK197" s="180"/>
      <c r="AL197" s="180"/>
      <c r="AM197" s="180">
        <v>1282270</v>
      </c>
      <c r="AN197" s="180">
        <v>0</v>
      </c>
      <c r="AO197" s="180">
        <v>0</v>
      </c>
      <c r="AP197" s="180">
        <v>0</v>
      </c>
      <c r="AQ197" s="180">
        <v>0</v>
      </c>
      <c r="AR197" s="180">
        <v>0</v>
      </c>
      <c r="AS197" s="180"/>
      <c r="AT197" s="180">
        <v>0</v>
      </c>
      <c r="AU197" s="180">
        <v>33338</v>
      </c>
      <c r="AV197" s="180">
        <v>0</v>
      </c>
      <c r="AW197" s="180">
        <v>0</v>
      </c>
      <c r="AX197" s="180">
        <v>0</v>
      </c>
      <c r="AY197" s="180">
        <v>0</v>
      </c>
      <c r="AZ197" s="180">
        <v>0</v>
      </c>
      <c r="BA197" s="180">
        <v>0</v>
      </c>
      <c r="BB197" s="180">
        <v>0</v>
      </c>
      <c r="BC197" s="180">
        <v>0</v>
      </c>
      <c r="BD197" s="180">
        <v>0</v>
      </c>
      <c r="BE197" s="180">
        <v>0</v>
      </c>
      <c r="BF197" s="180">
        <v>0</v>
      </c>
      <c r="BG197" s="180">
        <v>0</v>
      </c>
      <c r="BH197" s="180">
        <v>0</v>
      </c>
      <c r="BI197" s="180">
        <v>0</v>
      </c>
      <c r="BJ197" s="180">
        <v>0</v>
      </c>
      <c r="BK197" s="180">
        <v>0</v>
      </c>
      <c r="BL197" s="180"/>
      <c r="BM197" s="180">
        <v>0</v>
      </c>
      <c r="BN197" s="180">
        <v>0</v>
      </c>
      <c r="BO197" s="180">
        <v>0</v>
      </c>
      <c r="BP197" s="180">
        <v>0</v>
      </c>
      <c r="BQ197" s="180">
        <v>0</v>
      </c>
      <c r="BR197" s="180">
        <v>79721</v>
      </c>
      <c r="BS197" s="180">
        <v>268250</v>
      </c>
      <c r="BT197" s="180">
        <v>0</v>
      </c>
      <c r="BU197" s="180">
        <v>0</v>
      </c>
      <c r="BV197" s="180">
        <v>0</v>
      </c>
      <c r="BW197" s="180">
        <v>0</v>
      </c>
      <c r="BX197" s="180">
        <v>0</v>
      </c>
      <c r="BY197" s="180">
        <v>0</v>
      </c>
      <c r="BZ197" s="180">
        <v>0</v>
      </c>
      <c r="CA197" s="180">
        <v>0</v>
      </c>
      <c r="CB197" s="180">
        <v>0</v>
      </c>
      <c r="CC197" s="180"/>
      <c r="CD197" s="180">
        <v>0</v>
      </c>
      <c r="CE197" s="180"/>
      <c r="CF197" s="180"/>
      <c r="CG197" s="180"/>
      <c r="CH197" s="180"/>
      <c r="CI197" s="180"/>
      <c r="CJ197" s="180"/>
      <c r="CK197" s="180"/>
      <c r="CL197" s="180"/>
      <c r="CM197" s="180"/>
      <c r="CN197" s="180"/>
      <c r="CO197" s="180"/>
      <c r="CP197" s="180"/>
      <c r="CQ197" s="180"/>
      <c r="CR197" s="180"/>
      <c r="CS197" s="180"/>
      <c r="CT197" s="180"/>
      <c r="CU197" s="180"/>
    </row>
    <row r="198" spans="1:99" x14ac:dyDescent="0.3">
      <c r="A198" s="155">
        <v>659</v>
      </c>
      <c r="B198" s="180" t="s">
        <v>972</v>
      </c>
      <c r="C198" s="180"/>
      <c r="D198" s="180"/>
      <c r="E198" s="180">
        <v>0</v>
      </c>
      <c r="F198" s="180">
        <v>0</v>
      </c>
      <c r="G198" s="180">
        <v>0</v>
      </c>
      <c r="H198" s="180">
        <v>0</v>
      </c>
      <c r="I198" s="180">
        <v>0</v>
      </c>
      <c r="J198" s="180">
        <v>0</v>
      </c>
      <c r="K198" s="180">
        <v>0</v>
      </c>
      <c r="L198" s="180">
        <v>0</v>
      </c>
      <c r="M198" s="180">
        <v>0</v>
      </c>
      <c r="N198" s="180">
        <v>0</v>
      </c>
      <c r="O198" s="180">
        <v>839594</v>
      </c>
      <c r="P198" s="180">
        <v>0</v>
      </c>
      <c r="Q198" s="180">
        <v>54275980</v>
      </c>
      <c r="R198" s="180">
        <v>0</v>
      </c>
      <c r="S198" s="180">
        <v>0</v>
      </c>
      <c r="T198" s="180">
        <v>73614702</v>
      </c>
      <c r="U198" s="180">
        <v>5132263</v>
      </c>
      <c r="V198" s="180">
        <v>16814190</v>
      </c>
      <c r="W198" s="180">
        <v>6252466</v>
      </c>
      <c r="X198" s="180"/>
      <c r="Y198" s="180">
        <v>0</v>
      </c>
      <c r="Z198" s="180">
        <v>0</v>
      </c>
      <c r="AA198" s="180">
        <v>5402263</v>
      </c>
      <c r="AB198" s="180">
        <v>0</v>
      </c>
      <c r="AC198" s="180">
        <v>61008</v>
      </c>
      <c r="AD198" s="180">
        <v>0</v>
      </c>
      <c r="AE198" s="180">
        <v>0</v>
      </c>
      <c r="AF198" s="180">
        <v>5013869</v>
      </c>
      <c r="AG198" s="180">
        <v>741793</v>
      </c>
      <c r="AH198" s="180">
        <v>0</v>
      </c>
      <c r="AI198" s="180">
        <v>46544047</v>
      </c>
      <c r="AJ198" s="180">
        <v>0</v>
      </c>
      <c r="AK198" s="180"/>
      <c r="AL198" s="180"/>
      <c r="AM198" s="180">
        <v>1223195</v>
      </c>
      <c r="AN198" s="180">
        <v>0</v>
      </c>
      <c r="AO198" s="180">
        <v>0</v>
      </c>
      <c r="AP198" s="180">
        <v>0</v>
      </c>
      <c r="AQ198" s="180">
        <v>0</v>
      </c>
      <c r="AR198" s="180">
        <v>2071950</v>
      </c>
      <c r="AS198" s="180"/>
      <c r="AT198" s="180">
        <v>457524</v>
      </c>
      <c r="AU198" s="180">
        <v>0</v>
      </c>
      <c r="AV198" s="180">
        <v>4600155</v>
      </c>
      <c r="AW198" s="180">
        <v>0</v>
      </c>
      <c r="AX198" s="180">
        <v>0</v>
      </c>
      <c r="AY198" s="180">
        <v>0</v>
      </c>
      <c r="AZ198" s="180">
        <v>0</v>
      </c>
      <c r="BA198" s="180">
        <v>0</v>
      </c>
      <c r="BB198" s="180">
        <v>0</v>
      </c>
      <c r="BC198" s="180">
        <v>0</v>
      </c>
      <c r="BD198" s="180">
        <v>7521290</v>
      </c>
      <c r="BE198" s="180">
        <v>0</v>
      </c>
      <c r="BF198" s="180">
        <v>0</v>
      </c>
      <c r="BG198" s="180">
        <v>0</v>
      </c>
      <c r="BH198" s="180">
        <v>0</v>
      </c>
      <c r="BI198" s="180">
        <v>0</v>
      </c>
      <c r="BJ198" s="180">
        <v>0</v>
      </c>
      <c r="BK198" s="180">
        <v>2626546</v>
      </c>
      <c r="BL198" s="180"/>
      <c r="BM198" s="180">
        <v>0</v>
      </c>
      <c r="BN198" s="180">
        <v>0</v>
      </c>
      <c r="BO198" s="180">
        <v>0</v>
      </c>
      <c r="BP198" s="180">
        <v>0</v>
      </c>
      <c r="BQ198" s="180">
        <v>0</v>
      </c>
      <c r="BR198" s="180">
        <v>52566</v>
      </c>
      <c r="BS198" s="180">
        <v>3292520</v>
      </c>
      <c r="BT198" s="180">
        <v>0</v>
      </c>
      <c r="BU198" s="180">
        <v>1107018</v>
      </c>
      <c r="BV198" s="180">
        <v>0</v>
      </c>
      <c r="BW198" s="180">
        <v>0</v>
      </c>
      <c r="BX198" s="180">
        <v>794028</v>
      </c>
      <c r="BY198" s="180">
        <v>0</v>
      </c>
      <c r="BZ198" s="180">
        <v>0</v>
      </c>
      <c r="CA198" s="180">
        <v>0</v>
      </c>
      <c r="CB198" s="180">
        <v>0</v>
      </c>
      <c r="CC198" s="180"/>
      <c r="CD198" s="180">
        <v>0</v>
      </c>
      <c r="CE198" s="180"/>
      <c r="CF198" s="180"/>
      <c r="CG198" s="180"/>
      <c r="CH198" s="180"/>
      <c r="CI198" s="180"/>
      <c r="CJ198" s="180"/>
      <c r="CK198" s="180"/>
      <c r="CL198" s="180"/>
      <c r="CM198" s="180"/>
      <c r="CN198" s="180"/>
      <c r="CO198" s="180"/>
      <c r="CP198" s="180"/>
      <c r="CQ198" s="180"/>
      <c r="CR198" s="180"/>
      <c r="CS198" s="180"/>
      <c r="CT198" s="180"/>
      <c r="CU198" s="180"/>
    </row>
    <row r="199" spans="1:99" x14ac:dyDescent="0.3">
      <c r="A199" s="155">
        <v>660</v>
      </c>
      <c r="B199" s="180" t="s">
        <v>973</v>
      </c>
      <c r="C199" s="180"/>
      <c r="D199" s="180"/>
      <c r="E199" s="180">
        <v>0</v>
      </c>
      <c r="F199" s="180">
        <v>0</v>
      </c>
      <c r="G199" s="180">
        <v>0</v>
      </c>
      <c r="H199" s="180">
        <v>0</v>
      </c>
      <c r="I199" s="180">
        <v>0</v>
      </c>
      <c r="J199" s="180">
        <v>0</v>
      </c>
      <c r="K199" s="180">
        <v>0</v>
      </c>
      <c r="L199" s="180">
        <v>0</v>
      </c>
      <c r="M199" s="180">
        <v>0</v>
      </c>
      <c r="N199" s="180">
        <v>0</v>
      </c>
      <c r="O199" s="180">
        <v>0</v>
      </c>
      <c r="P199" s="180">
        <v>0</v>
      </c>
      <c r="Q199" s="180">
        <v>0</v>
      </c>
      <c r="R199" s="180">
        <v>0</v>
      </c>
      <c r="S199" s="180">
        <v>0</v>
      </c>
      <c r="T199" s="180">
        <v>0</v>
      </c>
      <c r="U199" s="180">
        <v>0</v>
      </c>
      <c r="V199" s="180">
        <v>229342</v>
      </c>
      <c r="W199" s="180">
        <v>0</v>
      </c>
      <c r="X199" s="180"/>
      <c r="Y199" s="180">
        <v>0</v>
      </c>
      <c r="Z199" s="180">
        <v>0</v>
      </c>
      <c r="AA199" s="180">
        <v>0</v>
      </c>
      <c r="AB199" s="180">
        <v>0</v>
      </c>
      <c r="AC199" s="180">
        <v>0</v>
      </c>
      <c r="AD199" s="180">
        <v>0</v>
      </c>
      <c r="AE199" s="180">
        <v>0</v>
      </c>
      <c r="AF199" s="180">
        <v>0</v>
      </c>
      <c r="AG199" s="180">
        <v>0</v>
      </c>
      <c r="AH199" s="180">
        <v>0</v>
      </c>
      <c r="AI199" s="180">
        <v>0</v>
      </c>
      <c r="AJ199" s="180">
        <v>0</v>
      </c>
      <c r="AK199" s="180"/>
      <c r="AL199" s="180"/>
      <c r="AM199" s="180">
        <v>0</v>
      </c>
      <c r="AN199" s="180">
        <v>0</v>
      </c>
      <c r="AO199" s="180">
        <v>0</v>
      </c>
      <c r="AP199" s="180">
        <v>0</v>
      </c>
      <c r="AQ199" s="180">
        <v>0</v>
      </c>
      <c r="AR199" s="180">
        <v>0</v>
      </c>
      <c r="AS199" s="180"/>
      <c r="AT199" s="180">
        <v>0</v>
      </c>
      <c r="AU199" s="180">
        <v>0</v>
      </c>
      <c r="AV199" s="180">
        <v>0</v>
      </c>
      <c r="AW199" s="180">
        <v>0</v>
      </c>
      <c r="AX199" s="180">
        <v>0</v>
      </c>
      <c r="AY199" s="180">
        <v>0</v>
      </c>
      <c r="AZ199" s="180">
        <v>0</v>
      </c>
      <c r="BA199" s="180">
        <v>0</v>
      </c>
      <c r="BB199" s="180">
        <v>0</v>
      </c>
      <c r="BC199" s="180">
        <v>0</v>
      </c>
      <c r="BD199" s="180">
        <v>0</v>
      </c>
      <c r="BE199" s="180">
        <v>0</v>
      </c>
      <c r="BF199" s="180">
        <v>0</v>
      </c>
      <c r="BG199" s="180">
        <v>0</v>
      </c>
      <c r="BH199" s="180">
        <v>0</v>
      </c>
      <c r="BI199" s="180">
        <v>0</v>
      </c>
      <c r="BJ199" s="180">
        <v>0</v>
      </c>
      <c r="BK199" s="180">
        <v>0</v>
      </c>
      <c r="BL199" s="180"/>
      <c r="BM199" s="180">
        <v>0</v>
      </c>
      <c r="BN199" s="180">
        <v>0</v>
      </c>
      <c r="BO199" s="180">
        <v>0</v>
      </c>
      <c r="BP199" s="180">
        <v>0</v>
      </c>
      <c r="BQ199" s="180">
        <v>0</v>
      </c>
      <c r="BR199" s="180">
        <v>0</v>
      </c>
      <c r="BS199" s="180">
        <v>0</v>
      </c>
      <c r="BT199" s="180">
        <v>0</v>
      </c>
      <c r="BU199" s="180">
        <v>0</v>
      </c>
      <c r="BV199" s="180">
        <v>0</v>
      </c>
      <c r="BW199" s="180">
        <v>0</v>
      </c>
      <c r="BX199" s="180">
        <v>0</v>
      </c>
      <c r="BY199" s="180">
        <v>0</v>
      </c>
      <c r="BZ199" s="180">
        <v>0</v>
      </c>
      <c r="CA199" s="180">
        <v>0</v>
      </c>
      <c r="CB199" s="180">
        <v>0</v>
      </c>
      <c r="CC199" s="180"/>
      <c r="CD199" s="180">
        <v>0</v>
      </c>
      <c r="CE199" s="180"/>
      <c r="CF199" s="180"/>
      <c r="CG199" s="180"/>
      <c r="CH199" s="180"/>
      <c r="CI199" s="180"/>
      <c r="CJ199" s="180"/>
      <c r="CK199" s="180"/>
      <c r="CL199" s="180"/>
      <c r="CM199" s="180"/>
      <c r="CN199" s="180"/>
      <c r="CO199" s="180"/>
      <c r="CP199" s="180"/>
      <c r="CQ199" s="180"/>
      <c r="CR199" s="180"/>
      <c r="CS199" s="180"/>
      <c r="CT199" s="180"/>
      <c r="CU199" s="180"/>
    </row>
    <row r="200" spans="1:99" s="562" customFormat="1" x14ac:dyDescent="0.3">
      <c r="A200" s="561">
        <v>661</v>
      </c>
      <c r="B200" s="562" t="s">
        <v>421</v>
      </c>
      <c r="E200" s="562">
        <v>0</v>
      </c>
      <c r="F200" s="562">
        <v>0</v>
      </c>
      <c r="G200" s="562">
        <v>0</v>
      </c>
      <c r="H200" s="562">
        <v>0</v>
      </c>
      <c r="I200" s="562">
        <v>0</v>
      </c>
      <c r="J200" s="562">
        <v>0</v>
      </c>
      <c r="K200" s="562">
        <v>0</v>
      </c>
      <c r="L200" s="562">
        <v>0</v>
      </c>
      <c r="M200" s="562">
        <v>0</v>
      </c>
      <c r="N200" s="562">
        <v>0</v>
      </c>
      <c r="O200" s="562">
        <v>0</v>
      </c>
      <c r="P200" s="562">
        <v>0</v>
      </c>
      <c r="Q200" s="562">
        <v>0</v>
      </c>
      <c r="R200" s="562">
        <v>0</v>
      </c>
      <c r="S200" s="562">
        <v>0</v>
      </c>
      <c r="T200" s="562">
        <v>0</v>
      </c>
      <c r="U200" s="562">
        <v>0</v>
      </c>
      <c r="V200" s="562">
        <v>1.4</v>
      </c>
      <c r="W200" s="562">
        <v>0</v>
      </c>
      <c r="Y200" s="562">
        <v>0</v>
      </c>
      <c r="Z200" s="562">
        <v>0</v>
      </c>
      <c r="AA200" s="562">
        <v>0</v>
      </c>
      <c r="AB200" s="562">
        <v>0</v>
      </c>
      <c r="AC200" s="562">
        <v>0</v>
      </c>
      <c r="AD200" s="562">
        <v>0</v>
      </c>
      <c r="AE200" s="562">
        <v>0</v>
      </c>
      <c r="AF200" s="562">
        <v>0</v>
      </c>
      <c r="AG200" s="562">
        <v>0</v>
      </c>
      <c r="AH200" s="562">
        <v>0</v>
      </c>
      <c r="AI200" s="562">
        <v>0</v>
      </c>
      <c r="AJ200" s="562">
        <v>0</v>
      </c>
      <c r="AM200" s="562">
        <v>0</v>
      </c>
      <c r="AN200" s="562">
        <v>0</v>
      </c>
      <c r="AO200" s="562">
        <v>0</v>
      </c>
      <c r="AP200" s="562">
        <v>0</v>
      </c>
      <c r="AQ200" s="562">
        <v>0</v>
      </c>
      <c r="AR200" s="562">
        <v>0</v>
      </c>
      <c r="AT200" s="562">
        <v>0</v>
      </c>
      <c r="AU200" s="562">
        <v>0</v>
      </c>
      <c r="AV200" s="562">
        <v>0</v>
      </c>
      <c r="AW200" s="562">
        <v>0</v>
      </c>
      <c r="AX200" s="562">
        <v>0</v>
      </c>
      <c r="AY200" s="562">
        <v>0</v>
      </c>
      <c r="AZ200" s="562">
        <v>0</v>
      </c>
      <c r="BA200" s="562">
        <v>0</v>
      </c>
      <c r="BB200" s="562">
        <v>0</v>
      </c>
      <c r="BC200" s="562">
        <v>0</v>
      </c>
      <c r="BD200" s="562">
        <v>0</v>
      </c>
      <c r="BE200" s="562">
        <v>0</v>
      </c>
      <c r="BF200" s="562">
        <v>0</v>
      </c>
      <c r="BG200" s="562">
        <v>0</v>
      </c>
      <c r="BH200" s="562">
        <v>0</v>
      </c>
      <c r="BI200" s="562">
        <v>0</v>
      </c>
      <c r="BJ200" s="562">
        <v>0</v>
      </c>
      <c r="BK200" s="562">
        <v>0</v>
      </c>
      <c r="BM200" s="562">
        <v>0</v>
      </c>
      <c r="BN200" s="562">
        <v>0</v>
      </c>
      <c r="BO200" s="562">
        <v>0</v>
      </c>
      <c r="BP200" s="562">
        <v>0</v>
      </c>
      <c r="BQ200" s="562">
        <v>0</v>
      </c>
      <c r="BR200" s="562">
        <v>0</v>
      </c>
      <c r="BS200" s="562">
        <v>0</v>
      </c>
      <c r="BT200" s="562">
        <v>0</v>
      </c>
      <c r="BU200" s="562">
        <v>0</v>
      </c>
      <c r="BV200" s="562">
        <v>0</v>
      </c>
      <c r="BW200" s="562">
        <v>0</v>
      </c>
      <c r="BX200" s="562">
        <v>0</v>
      </c>
      <c r="BY200" s="562">
        <v>0</v>
      </c>
      <c r="BZ200" s="562">
        <v>0</v>
      </c>
      <c r="CA200" s="562">
        <v>0</v>
      </c>
      <c r="CB200" s="562">
        <v>0</v>
      </c>
      <c r="CD200" s="562">
        <v>0</v>
      </c>
    </row>
    <row r="201" spans="1:99" s="555" customFormat="1" x14ac:dyDescent="0.3">
      <c r="A201" s="558">
        <v>662</v>
      </c>
      <c r="B201" s="555" t="s">
        <v>451</v>
      </c>
      <c r="M201" s="555">
        <v>0</v>
      </c>
      <c r="O201" s="555">
        <v>0</v>
      </c>
      <c r="Q201" s="555">
        <v>0</v>
      </c>
      <c r="T201" s="555">
        <v>0</v>
      </c>
      <c r="U201" s="555">
        <v>0</v>
      </c>
      <c r="V201" s="555">
        <v>0</v>
      </c>
      <c r="W201" s="555">
        <v>0</v>
      </c>
      <c r="Y201" s="555">
        <v>0</v>
      </c>
      <c r="AA201" s="555">
        <v>0</v>
      </c>
      <c r="AB201" s="555">
        <v>0</v>
      </c>
      <c r="AF201" s="555">
        <v>0</v>
      </c>
      <c r="AI201" s="555">
        <v>0</v>
      </c>
      <c r="AM201" s="555">
        <v>87972</v>
      </c>
      <c r="AQ201" s="555">
        <v>0</v>
      </c>
      <c r="AR201" s="555">
        <v>0</v>
      </c>
      <c r="AT201" s="555">
        <v>0</v>
      </c>
      <c r="AV201" s="555">
        <v>76778</v>
      </c>
      <c r="AY201" s="555">
        <v>0</v>
      </c>
      <c r="BD201" s="555">
        <v>0</v>
      </c>
      <c r="BG201" s="555">
        <v>0</v>
      </c>
      <c r="BK201" s="555">
        <v>0</v>
      </c>
      <c r="BM201" s="555">
        <v>0</v>
      </c>
      <c r="BQ201" s="555">
        <v>0</v>
      </c>
      <c r="BR201" s="555">
        <v>11000</v>
      </c>
      <c r="BZ201" s="555">
        <v>265</v>
      </c>
      <c r="CB201" s="555">
        <v>0</v>
      </c>
    </row>
    <row r="202" spans="1:99" s="555" customFormat="1" x14ac:dyDescent="0.3">
      <c r="A202" s="558">
        <v>663</v>
      </c>
      <c r="B202" s="555" t="s">
        <v>974</v>
      </c>
      <c r="M202" s="555">
        <v>0</v>
      </c>
      <c r="O202" s="555">
        <v>0</v>
      </c>
      <c r="Q202" s="555">
        <v>624606</v>
      </c>
      <c r="T202" s="555">
        <v>0</v>
      </c>
      <c r="U202" s="555">
        <v>0</v>
      </c>
      <c r="V202" s="555">
        <v>0</v>
      </c>
      <c r="W202" s="555">
        <v>0</v>
      </c>
      <c r="Y202" s="555">
        <v>0</v>
      </c>
      <c r="AA202" s="555">
        <v>0</v>
      </c>
      <c r="AB202" s="555">
        <v>0</v>
      </c>
      <c r="AF202" s="555">
        <v>0</v>
      </c>
      <c r="AI202" s="555">
        <v>37981</v>
      </c>
      <c r="AM202" s="555">
        <v>0</v>
      </c>
      <c r="AQ202" s="555">
        <v>0</v>
      </c>
      <c r="AR202" s="555">
        <v>0</v>
      </c>
      <c r="AT202" s="555">
        <v>0</v>
      </c>
      <c r="AV202" s="555">
        <v>0</v>
      </c>
      <c r="AY202" s="555">
        <v>0</v>
      </c>
      <c r="BD202" s="555">
        <v>0</v>
      </c>
      <c r="BG202" s="555">
        <v>0</v>
      </c>
      <c r="BK202" s="555">
        <v>0</v>
      </c>
      <c r="BM202" s="555">
        <v>0</v>
      </c>
      <c r="BQ202" s="555">
        <v>0</v>
      </c>
      <c r="BR202" s="555">
        <v>0</v>
      </c>
      <c r="BZ202" s="555">
        <v>0</v>
      </c>
      <c r="CB202" s="555">
        <v>0</v>
      </c>
    </row>
    <row r="203" spans="1:99" s="557" customFormat="1" x14ac:dyDescent="0.3">
      <c r="A203" s="556">
        <v>906</v>
      </c>
      <c r="B203" s="557" t="s">
        <v>975</v>
      </c>
      <c r="E203" s="557">
        <v>1</v>
      </c>
      <c r="F203" s="557">
        <v>1</v>
      </c>
      <c r="G203" s="557">
        <v>1</v>
      </c>
      <c r="H203" s="557">
        <v>1</v>
      </c>
      <c r="I203" s="557">
        <v>1</v>
      </c>
      <c r="J203" s="557">
        <v>1</v>
      </c>
      <c r="K203" s="557">
        <v>1</v>
      </c>
      <c r="L203" s="557">
        <v>1</v>
      </c>
      <c r="M203" s="557">
        <v>1</v>
      </c>
      <c r="N203" s="557">
        <v>1</v>
      </c>
      <c r="O203" s="557">
        <v>1</v>
      </c>
      <c r="P203" s="557">
        <v>1</v>
      </c>
      <c r="Q203" s="557">
        <v>1</v>
      </c>
      <c r="R203" s="557">
        <v>1</v>
      </c>
      <c r="S203" s="557">
        <v>1</v>
      </c>
      <c r="T203" s="557">
        <v>1</v>
      </c>
      <c r="U203" s="557">
        <v>1</v>
      </c>
      <c r="V203" s="557">
        <v>1</v>
      </c>
      <c r="W203" s="557">
        <v>1</v>
      </c>
      <c r="Y203" s="557">
        <v>1</v>
      </c>
      <c r="Z203" s="557">
        <v>1</v>
      </c>
      <c r="AA203" s="557">
        <v>1</v>
      </c>
      <c r="AB203" s="557">
        <v>1</v>
      </c>
      <c r="AC203" s="557">
        <v>1</v>
      </c>
      <c r="AD203" s="557">
        <v>1</v>
      </c>
      <c r="AE203" s="557">
        <v>1</v>
      </c>
      <c r="AF203" s="557">
        <v>1</v>
      </c>
      <c r="AG203" s="557">
        <v>1</v>
      </c>
      <c r="AH203" s="557">
        <v>1</v>
      </c>
      <c r="AI203" s="557">
        <v>1</v>
      </c>
      <c r="AJ203" s="557">
        <v>1</v>
      </c>
      <c r="AM203" s="557">
        <v>1</v>
      </c>
      <c r="AN203" s="557">
        <v>1</v>
      </c>
      <c r="AO203" s="557">
        <v>1</v>
      </c>
      <c r="AP203" s="557">
        <v>1</v>
      </c>
      <c r="AQ203" s="557">
        <v>1</v>
      </c>
      <c r="AR203" s="557">
        <v>1</v>
      </c>
      <c r="AT203" s="557">
        <v>1</v>
      </c>
      <c r="AU203" s="557">
        <v>1</v>
      </c>
      <c r="AV203" s="557">
        <v>1</v>
      </c>
      <c r="AW203" s="557">
        <v>1</v>
      </c>
      <c r="AX203" s="557">
        <v>1</v>
      </c>
      <c r="AY203" s="557">
        <v>1</v>
      </c>
      <c r="AZ203" s="557">
        <v>1</v>
      </c>
      <c r="BA203" s="557">
        <v>1</v>
      </c>
      <c r="BB203" s="557">
        <v>1</v>
      </c>
      <c r="BC203" s="557">
        <v>1</v>
      </c>
      <c r="BD203" s="557">
        <v>1</v>
      </c>
      <c r="BE203" s="557">
        <v>1</v>
      </c>
      <c r="BF203" s="557">
        <v>1</v>
      </c>
      <c r="BG203" s="557">
        <v>1</v>
      </c>
      <c r="BH203" s="557">
        <v>1</v>
      </c>
      <c r="BI203" s="557">
        <v>1</v>
      </c>
      <c r="BJ203" s="557">
        <v>1</v>
      </c>
      <c r="BK203" s="557">
        <v>1</v>
      </c>
      <c r="BM203" s="557">
        <v>1</v>
      </c>
      <c r="BN203" s="557">
        <v>1</v>
      </c>
      <c r="BO203" s="557">
        <v>1</v>
      </c>
      <c r="BP203" s="557">
        <v>1</v>
      </c>
      <c r="BQ203" s="557">
        <v>1</v>
      </c>
      <c r="BR203" s="557">
        <v>1</v>
      </c>
      <c r="BS203" s="557">
        <v>1</v>
      </c>
      <c r="BT203" s="557">
        <v>1</v>
      </c>
      <c r="BU203" s="557">
        <v>1</v>
      </c>
      <c r="BV203" s="557">
        <v>1</v>
      </c>
      <c r="BW203" s="557">
        <v>1</v>
      </c>
      <c r="BX203" s="557">
        <v>1</v>
      </c>
      <c r="BY203" s="557">
        <v>1</v>
      </c>
      <c r="BZ203" s="557">
        <v>1</v>
      </c>
      <c r="CA203" s="557">
        <v>1</v>
      </c>
      <c r="CB203" s="557">
        <v>1</v>
      </c>
      <c r="CD203" s="557">
        <v>1</v>
      </c>
    </row>
    <row r="204" spans="1:99" s="557" customFormat="1" x14ac:dyDescent="0.3">
      <c r="A204" s="556">
        <v>907</v>
      </c>
      <c r="B204" s="557" t="s">
        <v>976</v>
      </c>
      <c r="E204" s="557">
        <v>2</v>
      </c>
      <c r="F204" s="557">
        <v>2</v>
      </c>
      <c r="G204" s="557">
        <v>2</v>
      </c>
      <c r="H204" s="557">
        <v>1</v>
      </c>
      <c r="I204" s="557">
        <v>2</v>
      </c>
      <c r="J204" s="557">
        <v>1</v>
      </c>
      <c r="K204" s="557">
        <v>2</v>
      </c>
      <c r="L204" s="557">
        <v>2</v>
      </c>
      <c r="M204" s="557">
        <v>1</v>
      </c>
      <c r="N204" s="557">
        <v>2</v>
      </c>
      <c r="O204" s="557">
        <v>2</v>
      </c>
      <c r="P204" s="557">
        <v>1</v>
      </c>
      <c r="Q204" s="557">
        <v>2</v>
      </c>
      <c r="R204" s="557">
        <v>2</v>
      </c>
      <c r="S204" s="557">
        <v>1</v>
      </c>
      <c r="T204" s="557">
        <v>2</v>
      </c>
      <c r="U204" s="557">
        <v>2</v>
      </c>
      <c r="V204" s="557">
        <v>2</v>
      </c>
      <c r="W204" s="557">
        <v>2</v>
      </c>
      <c r="Y204" s="557">
        <v>2</v>
      </c>
      <c r="Z204" s="557">
        <v>1</v>
      </c>
      <c r="AA204" s="557">
        <v>2</v>
      </c>
      <c r="AB204" s="557">
        <v>2</v>
      </c>
      <c r="AC204" s="557">
        <v>1</v>
      </c>
      <c r="AD204" s="557">
        <v>2</v>
      </c>
      <c r="AE204" s="557">
        <v>2</v>
      </c>
      <c r="AF204" s="557">
        <v>2</v>
      </c>
      <c r="AG204" s="557">
        <v>2</v>
      </c>
      <c r="AH204" s="557">
        <v>1</v>
      </c>
      <c r="AI204" s="557">
        <v>2</v>
      </c>
      <c r="AJ204" s="557">
        <v>2</v>
      </c>
      <c r="AM204" s="557">
        <v>2</v>
      </c>
      <c r="AN204" s="557">
        <v>2</v>
      </c>
      <c r="AO204" s="557">
        <v>2</v>
      </c>
      <c r="AP204" s="557">
        <v>1</v>
      </c>
      <c r="AQ204" s="557">
        <v>2</v>
      </c>
      <c r="AR204" s="557">
        <v>2</v>
      </c>
      <c r="AT204" s="557">
        <v>1</v>
      </c>
      <c r="AU204" s="557">
        <v>1</v>
      </c>
      <c r="AV204" s="557">
        <v>2</v>
      </c>
      <c r="AW204" s="557">
        <v>2</v>
      </c>
      <c r="AX204" s="557">
        <v>2</v>
      </c>
      <c r="AY204" s="557">
        <v>2</v>
      </c>
      <c r="AZ204" s="557">
        <v>1</v>
      </c>
      <c r="BA204" s="557">
        <v>2</v>
      </c>
      <c r="BB204" s="557">
        <v>1</v>
      </c>
      <c r="BC204" s="557">
        <v>1</v>
      </c>
      <c r="BD204" s="557">
        <v>1</v>
      </c>
      <c r="BE204" s="557">
        <v>1</v>
      </c>
      <c r="BF204" s="557">
        <v>1</v>
      </c>
      <c r="BG204" s="557">
        <v>2</v>
      </c>
      <c r="BH204" s="557">
        <v>1</v>
      </c>
      <c r="BI204" s="557">
        <v>1</v>
      </c>
      <c r="BJ204" s="557">
        <v>1</v>
      </c>
      <c r="BK204" s="557">
        <v>2</v>
      </c>
      <c r="BM204" s="557">
        <v>2</v>
      </c>
      <c r="BN204" s="557">
        <v>1</v>
      </c>
      <c r="BO204" s="557">
        <v>1</v>
      </c>
      <c r="BP204" s="557">
        <v>2</v>
      </c>
      <c r="BQ204" s="557">
        <v>2</v>
      </c>
      <c r="BR204" s="557">
        <v>2</v>
      </c>
      <c r="BS204" s="557">
        <v>2</v>
      </c>
      <c r="BT204" s="557">
        <v>1</v>
      </c>
      <c r="BU204" s="557">
        <v>2</v>
      </c>
      <c r="BV204" s="557">
        <v>2</v>
      </c>
      <c r="BW204" s="557">
        <v>2</v>
      </c>
      <c r="BX204" s="557">
        <v>1</v>
      </c>
      <c r="BY204" s="557">
        <v>1</v>
      </c>
      <c r="BZ204" s="557">
        <v>2</v>
      </c>
      <c r="CA204" s="557">
        <v>1</v>
      </c>
      <c r="CB204" s="557">
        <v>1</v>
      </c>
      <c r="CD204" s="557">
        <v>2</v>
      </c>
    </row>
    <row r="205" spans="1:99" x14ac:dyDescent="0.3">
      <c r="A205" s="155">
        <v>947</v>
      </c>
      <c r="B205" s="180" t="s">
        <v>977</v>
      </c>
      <c r="C205" s="180"/>
      <c r="D205" s="180"/>
      <c r="E205" s="180" t="s">
        <v>2124</v>
      </c>
      <c r="F205" s="180" t="s">
        <v>2144</v>
      </c>
      <c r="G205" s="180" t="s">
        <v>2033</v>
      </c>
      <c r="H205" s="180" t="s">
        <v>2145</v>
      </c>
      <c r="I205" s="180" t="s">
        <v>2146</v>
      </c>
      <c r="J205" s="180" t="s">
        <v>2029</v>
      </c>
      <c r="K205" s="180" t="s">
        <v>2147</v>
      </c>
      <c r="L205" s="180" t="s">
        <v>1679</v>
      </c>
      <c r="M205" s="180" t="s">
        <v>2038</v>
      </c>
      <c r="N205" s="180" t="s">
        <v>2148</v>
      </c>
      <c r="O205" s="180" t="s">
        <v>2091</v>
      </c>
      <c r="P205" s="180" t="s">
        <v>2031</v>
      </c>
      <c r="Q205" s="180" t="s">
        <v>2092</v>
      </c>
      <c r="R205" s="180" t="s">
        <v>2557</v>
      </c>
      <c r="S205" s="180" t="s">
        <v>2088</v>
      </c>
      <c r="T205" s="180" t="s">
        <v>2558</v>
      </c>
      <c r="U205" s="180" t="s">
        <v>2151</v>
      </c>
      <c r="V205" s="180" t="s">
        <v>2152</v>
      </c>
      <c r="W205" s="180" t="s">
        <v>2153</v>
      </c>
      <c r="X205" s="180"/>
      <c r="Y205" s="180" t="s">
        <v>1629</v>
      </c>
      <c r="Z205" s="180" t="s">
        <v>978</v>
      </c>
      <c r="AA205" s="180" t="s">
        <v>2035</v>
      </c>
      <c r="AB205" s="180" t="s">
        <v>2095</v>
      </c>
      <c r="AC205" s="180" t="s">
        <v>978</v>
      </c>
      <c r="AD205" s="180" t="s">
        <v>2089</v>
      </c>
      <c r="AE205" s="180" t="s">
        <v>2036</v>
      </c>
      <c r="AF205" s="180" t="s">
        <v>978</v>
      </c>
      <c r="AG205" s="180" t="s">
        <v>2039</v>
      </c>
      <c r="AH205" s="180" t="s">
        <v>2559</v>
      </c>
      <c r="AI205" s="180" t="s">
        <v>2085</v>
      </c>
      <c r="AJ205" s="180" t="s">
        <v>979</v>
      </c>
      <c r="AK205" s="180"/>
      <c r="AL205" s="180"/>
      <c r="AM205" s="180" t="s">
        <v>2560</v>
      </c>
      <c r="AN205" s="180" t="s">
        <v>2156</v>
      </c>
      <c r="AO205" s="180" t="s">
        <v>2561</v>
      </c>
      <c r="AP205" s="180" t="s">
        <v>2125</v>
      </c>
      <c r="AQ205" s="180" t="s">
        <v>2034</v>
      </c>
      <c r="AR205" s="180" t="s">
        <v>2159</v>
      </c>
      <c r="AS205" s="180"/>
      <c r="AT205" s="180" t="s">
        <v>2160</v>
      </c>
      <c r="AU205" s="180" t="s">
        <v>2146</v>
      </c>
      <c r="AV205" s="180" t="s">
        <v>1679</v>
      </c>
      <c r="AW205" s="180" t="s">
        <v>2160</v>
      </c>
      <c r="AX205" s="180" t="s">
        <v>2161</v>
      </c>
      <c r="AY205" s="180" t="s">
        <v>2562</v>
      </c>
      <c r="AZ205" s="180" t="s">
        <v>2163</v>
      </c>
      <c r="BA205" s="180" t="s">
        <v>2164</v>
      </c>
      <c r="BB205" s="180" t="s">
        <v>2165</v>
      </c>
      <c r="BC205" s="180" t="s">
        <v>2037</v>
      </c>
      <c r="BD205" s="180" t="s">
        <v>2166</v>
      </c>
      <c r="BE205" s="180" t="s">
        <v>2167</v>
      </c>
      <c r="BF205" s="180" t="s">
        <v>2030</v>
      </c>
      <c r="BG205" s="180" t="s">
        <v>2168</v>
      </c>
      <c r="BH205" s="180" t="s">
        <v>2169</v>
      </c>
      <c r="BI205" s="180" t="s">
        <v>2126</v>
      </c>
      <c r="BJ205" s="180" t="s">
        <v>2563</v>
      </c>
      <c r="BK205" s="180" t="s">
        <v>2172</v>
      </c>
      <c r="BL205" s="180"/>
      <c r="BM205" s="180" t="s">
        <v>2126</v>
      </c>
      <c r="BN205" s="180" t="s">
        <v>2094</v>
      </c>
      <c r="BO205" s="180" t="s">
        <v>2159</v>
      </c>
      <c r="BP205" s="180" t="s">
        <v>2564</v>
      </c>
      <c r="BQ205" s="180" t="s">
        <v>2173</v>
      </c>
      <c r="BR205" s="180" t="s">
        <v>2565</v>
      </c>
      <c r="BS205" s="180" t="s">
        <v>2566</v>
      </c>
      <c r="BT205" s="180" t="s">
        <v>2092</v>
      </c>
      <c r="BU205" s="180" t="s">
        <v>2030</v>
      </c>
      <c r="BV205" s="180" t="s">
        <v>2167</v>
      </c>
      <c r="BW205" s="180" t="s">
        <v>2175</v>
      </c>
      <c r="BX205" s="180" t="s">
        <v>2176</v>
      </c>
      <c r="BY205" s="180" t="s">
        <v>2177</v>
      </c>
      <c r="BZ205" s="180" t="s">
        <v>2178</v>
      </c>
      <c r="CA205" s="180" t="s">
        <v>2179</v>
      </c>
      <c r="CB205" s="180" t="s">
        <v>2086</v>
      </c>
      <c r="CC205" s="180"/>
      <c r="CD205" s="180" t="s">
        <v>2354</v>
      </c>
      <c r="CE205" s="180"/>
      <c r="CF205" s="180"/>
      <c r="CG205" s="180"/>
      <c r="CH205" s="180"/>
      <c r="CI205" s="180"/>
      <c r="CJ205" s="180"/>
      <c r="CK205" s="180"/>
      <c r="CL205" s="180"/>
      <c r="CM205" s="180"/>
      <c r="CN205" s="180"/>
      <c r="CO205" s="180"/>
      <c r="CP205" s="180"/>
      <c r="CQ205" s="180"/>
      <c r="CR205" s="180"/>
      <c r="CS205" s="180"/>
      <c r="CT205" s="180"/>
      <c r="CU205" s="180"/>
    </row>
    <row r="206" spans="1:99" x14ac:dyDescent="0.3">
      <c r="A206" s="155">
        <v>948</v>
      </c>
      <c r="B206" s="180" t="s">
        <v>980</v>
      </c>
      <c r="C206" s="180"/>
      <c r="D206" s="180"/>
      <c r="E206" s="180" t="s">
        <v>2182</v>
      </c>
      <c r="F206" s="180" t="s">
        <v>2045</v>
      </c>
      <c r="G206" s="180" t="s">
        <v>2183</v>
      </c>
      <c r="H206" s="180" t="s">
        <v>2184</v>
      </c>
      <c r="I206" s="180" t="s">
        <v>2185</v>
      </c>
      <c r="J206" s="180" t="s">
        <v>1627</v>
      </c>
      <c r="K206" s="180" t="s">
        <v>2186</v>
      </c>
      <c r="L206" s="180" t="s">
        <v>2187</v>
      </c>
      <c r="M206" s="180" t="s">
        <v>2188</v>
      </c>
      <c r="N206" s="180" t="s">
        <v>2189</v>
      </c>
      <c r="O206" s="180" t="s">
        <v>2190</v>
      </c>
      <c r="P206" s="180" t="s">
        <v>2191</v>
      </c>
      <c r="Q206" s="180" t="s">
        <v>1994</v>
      </c>
      <c r="R206" s="180" t="s">
        <v>2567</v>
      </c>
      <c r="S206" s="180" t="s">
        <v>2065</v>
      </c>
      <c r="T206" s="180" t="s">
        <v>2568</v>
      </c>
      <c r="U206" s="180" t="s">
        <v>2194</v>
      </c>
      <c r="V206" s="180" t="s">
        <v>2195</v>
      </c>
      <c r="W206" s="180" t="s">
        <v>2196</v>
      </c>
      <c r="X206" s="180"/>
      <c r="Y206" s="180" t="s">
        <v>2197</v>
      </c>
      <c r="Z206" s="180" t="s">
        <v>2127</v>
      </c>
      <c r="AA206" s="180" t="s">
        <v>2198</v>
      </c>
      <c r="AB206" s="180" t="s">
        <v>2569</v>
      </c>
      <c r="AC206" s="180" t="s">
        <v>2200</v>
      </c>
      <c r="AD206" s="180" t="s">
        <v>2042</v>
      </c>
      <c r="AE206" s="180" t="s">
        <v>2201</v>
      </c>
      <c r="AF206" s="180" t="s">
        <v>2044</v>
      </c>
      <c r="AG206" s="180" t="s">
        <v>2202</v>
      </c>
      <c r="AH206" s="180" t="s">
        <v>2570</v>
      </c>
      <c r="AI206" s="180" t="s">
        <v>2204</v>
      </c>
      <c r="AJ206" s="180" t="s">
        <v>2205</v>
      </c>
      <c r="AK206" s="180"/>
      <c r="AL206" s="180"/>
      <c r="AM206" s="180" t="s">
        <v>2571</v>
      </c>
      <c r="AN206" s="180" t="s">
        <v>2206</v>
      </c>
      <c r="AO206" s="180" t="s">
        <v>2572</v>
      </c>
      <c r="AP206" s="180" t="s">
        <v>2573</v>
      </c>
      <c r="AQ206" s="180" t="s">
        <v>2209</v>
      </c>
      <c r="AR206" s="180" t="s">
        <v>2210</v>
      </c>
      <c r="AS206" s="180"/>
      <c r="AT206" s="180" t="s">
        <v>2574</v>
      </c>
      <c r="AU206" s="180" t="s">
        <v>1995</v>
      </c>
      <c r="AV206" s="180" t="s">
        <v>2212</v>
      </c>
      <c r="AW206" s="180" t="s">
        <v>2213</v>
      </c>
      <c r="AX206" s="180" t="s">
        <v>2214</v>
      </c>
      <c r="AY206" s="180" t="s">
        <v>2575</v>
      </c>
      <c r="AZ206" s="180" t="s">
        <v>2041</v>
      </c>
      <c r="BA206" s="180" t="s">
        <v>2044</v>
      </c>
      <c r="BB206" s="180" t="s">
        <v>2216</v>
      </c>
      <c r="BC206" s="180" t="s">
        <v>2217</v>
      </c>
      <c r="BD206" s="180" t="s">
        <v>2218</v>
      </c>
      <c r="BE206" s="180" t="s">
        <v>2219</v>
      </c>
      <c r="BF206" s="180" t="s">
        <v>2576</v>
      </c>
      <c r="BG206" s="180" t="s">
        <v>2221</v>
      </c>
      <c r="BH206" s="180" t="s">
        <v>2222</v>
      </c>
      <c r="BI206" s="180" t="s">
        <v>518</v>
      </c>
      <c r="BJ206" s="180" t="s">
        <v>2577</v>
      </c>
      <c r="BK206" s="180" t="s">
        <v>2040</v>
      </c>
      <c r="BL206" s="180"/>
      <c r="BM206" s="180" t="s">
        <v>2226</v>
      </c>
      <c r="BN206" s="180" t="s">
        <v>2096</v>
      </c>
      <c r="BO206" s="180" t="s">
        <v>2227</v>
      </c>
      <c r="BP206" s="180" t="s">
        <v>2578</v>
      </c>
      <c r="BQ206" s="180" t="s">
        <v>2229</v>
      </c>
      <c r="BR206" s="180" t="s">
        <v>2579</v>
      </c>
      <c r="BS206" s="180" t="s">
        <v>2580</v>
      </c>
      <c r="BT206" s="180" t="s">
        <v>2581</v>
      </c>
      <c r="BU206" s="180" t="s">
        <v>2233</v>
      </c>
      <c r="BV206" s="180" t="s">
        <v>2234</v>
      </c>
      <c r="BW206" s="180" t="s">
        <v>1100</v>
      </c>
      <c r="BX206" s="180" t="s">
        <v>2235</v>
      </c>
      <c r="BY206" s="180" t="s">
        <v>2236</v>
      </c>
      <c r="BZ206" s="180" t="s">
        <v>2237</v>
      </c>
      <c r="CA206" s="180" t="s">
        <v>2238</v>
      </c>
      <c r="CB206" s="180" t="s">
        <v>1333</v>
      </c>
      <c r="CC206" s="180"/>
      <c r="CD206" s="180" t="s">
        <v>995</v>
      </c>
      <c r="CE206" s="180"/>
      <c r="CF206" s="180"/>
      <c r="CG206" s="180"/>
      <c r="CH206" s="180"/>
      <c r="CI206" s="180"/>
      <c r="CJ206" s="180"/>
      <c r="CK206" s="180"/>
      <c r="CL206" s="180"/>
      <c r="CM206" s="180"/>
      <c r="CN206" s="180"/>
      <c r="CO206" s="180"/>
      <c r="CP206" s="180"/>
      <c r="CQ206" s="180"/>
      <c r="CR206" s="180"/>
      <c r="CS206" s="180"/>
      <c r="CT206" s="180"/>
      <c r="CU206" s="180"/>
    </row>
    <row r="207" spans="1:99" x14ac:dyDescent="0.3">
      <c r="A207" s="155">
        <v>949</v>
      </c>
      <c r="B207" s="180" t="s">
        <v>981</v>
      </c>
      <c r="C207" s="180"/>
      <c r="D207" s="180"/>
      <c r="E207" s="180" t="s">
        <v>413</v>
      </c>
      <c r="F207" s="180" t="s">
        <v>413</v>
      </c>
      <c r="G207" s="180" t="s">
        <v>413</v>
      </c>
      <c r="H207" s="180" t="s">
        <v>413</v>
      </c>
      <c r="I207" s="180" t="s">
        <v>413</v>
      </c>
      <c r="J207" s="180" t="s">
        <v>413</v>
      </c>
      <c r="K207" s="180" t="s">
        <v>413</v>
      </c>
      <c r="L207" s="180" t="s">
        <v>413</v>
      </c>
      <c r="M207" s="180" t="s">
        <v>413</v>
      </c>
      <c r="N207" s="180" t="s">
        <v>413</v>
      </c>
      <c r="O207" s="180" t="s">
        <v>413</v>
      </c>
      <c r="P207" s="180" t="s">
        <v>413</v>
      </c>
      <c r="Q207" s="180" t="s">
        <v>413</v>
      </c>
      <c r="R207" s="180" t="s">
        <v>2582</v>
      </c>
      <c r="S207" s="180" t="s">
        <v>413</v>
      </c>
      <c r="T207" s="180" t="s">
        <v>2582</v>
      </c>
      <c r="U207" s="180" t="s">
        <v>413</v>
      </c>
      <c r="V207" s="180" t="s">
        <v>413</v>
      </c>
      <c r="W207" s="180" t="s">
        <v>413</v>
      </c>
      <c r="X207" s="180"/>
      <c r="Y207" s="180" t="s">
        <v>413</v>
      </c>
      <c r="Z207" s="180" t="s">
        <v>413</v>
      </c>
      <c r="AA207" s="180" t="s">
        <v>413</v>
      </c>
      <c r="AB207" s="180" t="s">
        <v>413</v>
      </c>
      <c r="AC207" s="180" t="s">
        <v>413</v>
      </c>
      <c r="AD207" s="180" t="s">
        <v>413</v>
      </c>
      <c r="AE207" s="180" t="s">
        <v>413</v>
      </c>
      <c r="AF207" s="180" t="s">
        <v>413</v>
      </c>
      <c r="AG207" s="180" t="s">
        <v>413</v>
      </c>
      <c r="AH207" s="180" t="s">
        <v>413</v>
      </c>
      <c r="AI207" s="180" t="s">
        <v>413</v>
      </c>
      <c r="AJ207" s="180" t="s">
        <v>413</v>
      </c>
      <c r="AK207" s="180"/>
      <c r="AL207" s="180"/>
      <c r="AM207" s="180" t="s">
        <v>413</v>
      </c>
      <c r="AN207" s="180" t="s">
        <v>413</v>
      </c>
      <c r="AO207" s="180" t="s">
        <v>2241</v>
      </c>
      <c r="AP207" s="180" t="s">
        <v>413</v>
      </c>
      <c r="AQ207" s="180" t="s">
        <v>413</v>
      </c>
      <c r="AR207" s="180" t="s">
        <v>413</v>
      </c>
      <c r="AS207" s="180"/>
      <c r="AT207" s="180" t="s">
        <v>413</v>
      </c>
      <c r="AU207" s="180" t="s">
        <v>413</v>
      </c>
      <c r="AV207" s="180" t="s">
        <v>413</v>
      </c>
      <c r="AW207" s="180" t="s">
        <v>413</v>
      </c>
      <c r="AX207" s="180" t="s">
        <v>413</v>
      </c>
      <c r="AY207" s="180" t="s">
        <v>413</v>
      </c>
      <c r="AZ207" s="180" t="s">
        <v>413</v>
      </c>
      <c r="BA207" s="180" t="s">
        <v>413</v>
      </c>
      <c r="BB207" s="180" t="s">
        <v>413</v>
      </c>
      <c r="BC207" s="180" t="s">
        <v>413</v>
      </c>
      <c r="BD207" s="180" t="s">
        <v>413</v>
      </c>
      <c r="BE207" s="180" t="s">
        <v>413</v>
      </c>
      <c r="BF207" s="180" t="s">
        <v>413</v>
      </c>
      <c r="BG207" s="180" t="s">
        <v>413</v>
      </c>
      <c r="BH207" s="180" t="s">
        <v>413</v>
      </c>
      <c r="BI207" s="180" t="s">
        <v>413</v>
      </c>
      <c r="BJ207" s="180" t="s">
        <v>413</v>
      </c>
      <c r="BK207" s="180" t="s">
        <v>413</v>
      </c>
      <c r="BL207" s="180"/>
      <c r="BM207" s="180" t="s">
        <v>1996</v>
      </c>
      <c r="BN207" s="180" t="s">
        <v>413</v>
      </c>
      <c r="BO207" s="180" t="s">
        <v>413</v>
      </c>
      <c r="BP207" s="180" t="s">
        <v>413</v>
      </c>
      <c r="BQ207" s="180" t="s">
        <v>413</v>
      </c>
      <c r="BR207" s="180" t="s">
        <v>413</v>
      </c>
      <c r="BS207" s="180" t="s">
        <v>413</v>
      </c>
      <c r="BT207" s="180" t="s">
        <v>413</v>
      </c>
      <c r="BU207" s="180" t="s">
        <v>413</v>
      </c>
      <c r="BV207" s="180" t="s">
        <v>413</v>
      </c>
      <c r="BW207" s="180" t="s">
        <v>413</v>
      </c>
      <c r="BX207" s="180" t="s">
        <v>413</v>
      </c>
      <c r="BY207" s="180" t="s">
        <v>413</v>
      </c>
      <c r="BZ207" s="180" t="s">
        <v>413</v>
      </c>
      <c r="CA207" s="180" t="s">
        <v>413</v>
      </c>
      <c r="CB207" s="180" t="s">
        <v>413</v>
      </c>
      <c r="CC207" s="180"/>
      <c r="CD207" s="180" t="s">
        <v>413</v>
      </c>
      <c r="CE207" s="180"/>
      <c r="CF207" s="180"/>
      <c r="CG207" s="180"/>
      <c r="CH207" s="180"/>
      <c r="CI207" s="180"/>
      <c r="CJ207" s="180"/>
      <c r="CK207" s="180"/>
      <c r="CL207" s="180"/>
      <c r="CM207" s="180"/>
      <c r="CN207" s="180"/>
      <c r="CO207" s="180"/>
      <c r="CP207" s="180"/>
      <c r="CQ207" s="180"/>
      <c r="CR207" s="180"/>
      <c r="CS207" s="180"/>
      <c r="CT207" s="180"/>
      <c r="CU207" s="180"/>
    </row>
    <row r="208" spans="1:99" x14ac:dyDescent="0.3">
      <c r="A208" s="155">
        <v>950</v>
      </c>
      <c r="B208" s="180" t="s">
        <v>982</v>
      </c>
      <c r="C208" s="180"/>
      <c r="D208" s="180"/>
      <c r="E208" s="180" t="s">
        <v>50</v>
      </c>
      <c r="F208" s="180" t="s">
        <v>50</v>
      </c>
      <c r="G208" s="180" t="s">
        <v>50</v>
      </c>
      <c r="H208" s="180" t="s">
        <v>50</v>
      </c>
      <c r="I208" s="180" t="s">
        <v>50</v>
      </c>
      <c r="J208" s="180" t="s">
        <v>50</v>
      </c>
      <c r="K208" s="180" t="s">
        <v>50</v>
      </c>
      <c r="L208" s="180" t="s">
        <v>50</v>
      </c>
      <c r="M208" s="180" t="s">
        <v>50</v>
      </c>
      <c r="N208" s="180" t="s">
        <v>50</v>
      </c>
      <c r="O208" s="180" t="s">
        <v>50</v>
      </c>
      <c r="P208" s="180" t="s">
        <v>50</v>
      </c>
      <c r="Q208" s="180" t="s">
        <v>50</v>
      </c>
      <c r="R208" s="180" t="s">
        <v>50</v>
      </c>
      <c r="S208" s="180" t="s">
        <v>50</v>
      </c>
      <c r="T208" s="180" t="s">
        <v>50</v>
      </c>
      <c r="U208" s="180" t="s">
        <v>50</v>
      </c>
      <c r="V208" s="180" t="s">
        <v>50</v>
      </c>
      <c r="W208" s="180" t="s">
        <v>50</v>
      </c>
      <c r="X208" s="180"/>
      <c r="Y208" s="180" t="s">
        <v>50</v>
      </c>
      <c r="Z208" s="180" t="s">
        <v>50</v>
      </c>
      <c r="AA208" s="180" t="s">
        <v>50</v>
      </c>
      <c r="AB208" s="180" t="s">
        <v>50</v>
      </c>
      <c r="AC208" s="180" t="s">
        <v>50</v>
      </c>
      <c r="AD208" s="180" t="s">
        <v>50</v>
      </c>
      <c r="AE208" s="180" t="s">
        <v>50</v>
      </c>
      <c r="AF208" s="180" t="s">
        <v>50</v>
      </c>
      <c r="AG208" s="180" t="s">
        <v>50</v>
      </c>
      <c r="AH208" s="180" t="s">
        <v>50</v>
      </c>
      <c r="AI208" s="180" t="s">
        <v>50</v>
      </c>
      <c r="AJ208" s="180" t="s">
        <v>50</v>
      </c>
      <c r="AK208" s="180"/>
      <c r="AL208" s="180"/>
      <c r="AM208" s="180" t="s">
        <v>50</v>
      </c>
      <c r="AN208" s="180" t="s">
        <v>50</v>
      </c>
      <c r="AO208" s="180" t="s">
        <v>2102</v>
      </c>
      <c r="AP208" s="180" t="s">
        <v>50</v>
      </c>
      <c r="AQ208" s="180" t="s">
        <v>50</v>
      </c>
      <c r="AR208" s="180" t="s">
        <v>50</v>
      </c>
      <c r="AS208" s="180"/>
      <c r="AT208" s="180" t="s">
        <v>50</v>
      </c>
      <c r="AU208" s="180" t="s">
        <v>50</v>
      </c>
      <c r="AV208" s="180" t="s">
        <v>50</v>
      </c>
      <c r="AW208" s="180" t="s">
        <v>50</v>
      </c>
      <c r="AX208" s="180" t="s">
        <v>50</v>
      </c>
      <c r="AY208" s="180" t="s">
        <v>50</v>
      </c>
      <c r="AZ208" s="180" t="s">
        <v>50</v>
      </c>
      <c r="BA208" s="180" t="s">
        <v>50</v>
      </c>
      <c r="BB208" s="180" t="s">
        <v>50</v>
      </c>
      <c r="BC208" s="180" t="s">
        <v>50</v>
      </c>
      <c r="BD208" s="180" t="s">
        <v>50</v>
      </c>
      <c r="BE208" s="180" t="s">
        <v>50</v>
      </c>
      <c r="BF208" s="180" t="s">
        <v>50</v>
      </c>
      <c r="BG208" s="180" t="s">
        <v>50</v>
      </c>
      <c r="BH208" s="180" t="s">
        <v>50</v>
      </c>
      <c r="BI208" s="180" t="s">
        <v>50</v>
      </c>
      <c r="BJ208" s="180" t="s">
        <v>50</v>
      </c>
      <c r="BK208" s="180" t="s">
        <v>50</v>
      </c>
      <c r="BL208" s="180"/>
      <c r="BM208" s="180" t="s">
        <v>50</v>
      </c>
      <c r="BN208" s="180" t="s">
        <v>50</v>
      </c>
      <c r="BO208" s="180" t="s">
        <v>50</v>
      </c>
      <c r="BP208" s="180" t="s">
        <v>50</v>
      </c>
      <c r="BQ208" s="180" t="s">
        <v>50</v>
      </c>
      <c r="BR208" s="180" t="s">
        <v>50</v>
      </c>
      <c r="BS208" s="180" t="s">
        <v>50</v>
      </c>
      <c r="BT208" s="180" t="s">
        <v>50</v>
      </c>
      <c r="BU208" s="180" t="s">
        <v>50</v>
      </c>
      <c r="BV208" s="180" t="s">
        <v>50</v>
      </c>
      <c r="BW208" s="180" t="s">
        <v>50</v>
      </c>
      <c r="BX208" s="180" t="s">
        <v>50</v>
      </c>
      <c r="BY208" s="180" t="s">
        <v>50</v>
      </c>
      <c r="BZ208" s="180" t="s">
        <v>50</v>
      </c>
      <c r="CA208" s="180" t="s">
        <v>50</v>
      </c>
      <c r="CB208" s="180" t="s">
        <v>50</v>
      </c>
      <c r="CC208" s="180"/>
      <c r="CD208" s="180" t="s">
        <v>50</v>
      </c>
      <c r="CE208" s="180"/>
      <c r="CF208" s="180"/>
      <c r="CG208" s="180"/>
      <c r="CH208" s="180"/>
      <c r="CI208" s="180"/>
      <c r="CJ208" s="180"/>
      <c r="CK208" s="180"/>
      <c r="CL208" s="180"/>
      <c r="CM208" s="180"/>
      <c r="CN208" s="180"/>
      <c r="CO208" s="180"/>
      <c r="CP208" s="180"/>
      <c r="CQ208" s="180"/>
      <c r="CR208" s="180"/>
      <c r="CS208" s="180"/>
      <c r="CT208" s="180"/>
      <c r="CU208" s="180"/>
    </row>
    <row r="209" spans="1:99" s="557" customFormat="1" x14ac:dyDescent="0.3">
      <c r="A209" s="556">
        <v>951</v>
      </c>
      <c r="B209" s="557" t="s">
        <v>983</v>
      </c>
      <c r="E209" s="557">
        <v>2</v>
      </c>
      <c r="F209" s="557">
        <v>2</v>
      </c>
      <c r="G209" s="557">
        <v>2</v>
      </c>
      <c r="H209" s="557">
        <v>2</v>
      </c>
      <c r="I209" s="557">
        <v>2</v>
      </c>
      <c r="J209" s="557">
        <v>1</v>
      </c>
      <c r="K209" s="557">
        <v>2</v>
      </c>
      <c r="L209" s="557">
        <v>2</v>
      </c>
      <c r="M209" s="557">
        <v>2</v>
      </c>
      <c r="N209" s="557">
        <v>2</v>
      </c>
      <c r="O209" s="557">
        <v>2</v>
      </c>
      <c r="P209" s="557">
        <v>2</v>
      </c>
      <c r="Q209" s="557">
        <v>2</v>
      </c>
      <c r="R209" s="557">
        <v>2</v>
      </c>
      <c r="S209" s="557">
        <v>2</v>
      </c>
      <c r="T209" s="557">
        <v>2</v>
      </c>
      <c r="U209" s="557">
        <v>2</v>
      </c>
      <c r="V209" s="557">
        <v>2</v>
      </c>
      <c r="W209" s="557">
        <v>2</v>
      </c>
      <c r="Y209" s="557">
        <v>2</v>
      </c>
      <c r="Z209" s="557">
        <v>2</v>
      </c>
      <c r="AA209" s="557">
        <v>2</v>
      </c>
      <c r="AB209" s="557">
        <v>1</v>
      </c>
      <c r="AC209" s="557">
        <v>2</v>
      </c>
      <c r="AD209" s="557">
        <v>2</v>
      </c>
      <c r="AE209" s="557">
        <v>2</v>
      </c>
      <c r="AF209" s="557">
        <v>2</v>
      </c>
      <c r="AG209" s="557">
        <v>2</v>
      </c>
      <c r="AH209" s="557">
        <v>2</v>
      </c>
      <c r="AI209" s="557">
        <v>2</v>
      </c>
      <c r="AJ209" s="557">
        <v>2</v>
      </c>
      <c r="AM209" s="557">
        <v>2</v>
      </c>
      <c r="AN209" s="557">
        <v>2</v>
      </c>
      <c r="AO209" s="557">
        <v>2</v>
      </c>
      <c r="AP209" s="557">
        <v>2</v>
      </c>
      <c r="AQ209" s="557">
        <v>2</v>
      </c>
      <c r="AR209" s="557">
        <v>2</v>
      </c>
      <c r="AT209" s="557">
        <v>2</v>
      </c>
      <c r="AU209" s="557">
        <v>2</v>
      </c>
      <c r="AV209" s="557">
        <v>2</v>
      </c>
      <c r="AW209" s="557">
        <v>2</v>
      </c>
      <c r="AX209" s="557">
        <v>2</v>
      </c>
      <c r="AY209" s="557">
        <v>2</v>
      </c>
      <c r="AZ209" s="557">
        <v>2</v>
      </c>
      <c r="BA209" s="557">
        <v>2</v>
      </c>
      <c r="BB209" s="557">
        <v>1</v>
      </c>
      <c r="BC209" s="557">
        <v>1</v>
      </c>
      <c r="BD209" s="557">
        <v>2</v>
      </c>
      <c r="BE209" s="557">
        <v>2</v>
      </c>
      <c r="BF209" s="557">
        <v>2</v>
      </c>
      <c r="BG209" s="557">
        <v>2</v>
      </c>
      <c r="BH209" s="557">
        <v>1</v>
      </c>
      <c r="BI209" s="557">
        <v>1</v>
      </c>
      <c r="BJ209" s="557">
        <v>2</v>
      </c>
      <c r="BK209" s="557">
        <v>2</v>
      </c>
      <c r="BM209" s="557">
        <v>2</v>
      </c>
      <c r="BN209" s="557">
        <v>2</v>
      </c>
      <c r="BO209" s="557">
        <v>2</v>
      </c>
      <c r="BP209" s="557">
        <v>2</v>
      </c>
      <c r="BQ209" s="557">
        <v>2</v>
      </c>
      <c r="BR209" s="557">
        <v>2</v>
      </c>
      <c r="BS209" s="557">
        <v>2</v>
      </c>
      <c r="BT209" s="557">
        <v>2</v>
      </c>
      <c r="BU209" s="557">
        <v>2</v>
      </c>
      <c r="BV209" s="557">
        <v>2</v>
      </c>
      <c r="BW209" s="557">
        <v>2</v>
      </c>
      <c r="BX209" s="557">
        <v>1</v>
      </c>
      <c r="BY209" s="557">
        <v>2</v>
      </c>
      <c r="BZ209" s="557">
        <v>2</v>
      </c>
      <c r="CA209" s="557">
        <v>1</v>
      </c>
      <c r="CB209" s="557">
        <v>2</v>
      </c>
      <c r="CD209" s="557">
        <v>2</v>
      </c>
    </row>
    <row r="210" spans="1:99" s="562" customFormat="1" x14ac:dyDescent="0.3">
      <c r="A210" s="561">
        <v>952</v>
      </c>
      <c r="B210" s="562" t="s">
        <v>984</v>
      </c>
      <c r="G210" s="562" t="s">
        <v>2242</v>
      </c>
      <c r="H210" s="562" t="s">
        <v>2000</v>
      </c>
      <c r="I210" s="562" t="s">
        <v>2243</v>
      </c>
      <c r="J210" s="562" t="s">
        <v>2000</v>
      </c>
      <c r="L210" s="562" t="s">
        <v>2244</v>
      </c>
      <c r="M210" s="562" t="s">
        <v>2245</v>
      </c>
      <c r="O210" s="562" t="s">
        <v>2097</v>
      </c>
      <c r="P210" s="562" t="s">
        <v>2246</v>
      </c>
      <c r="Q210" s="562" t="s">
        <v>2048</v>
      </c>
      <c r="S210" s="562" t="s">
        <v>2247</v>
      </c>
      <c r="T210" s="562" t="s">
        <v>2256</v>
      </c>
      <c r="U210" s="562" t="s">
        <v>2100</v>
      </c>
      <c r="W210" s="562" t="s">
        <v>2249</v>
      </c>
      <c r="Y210" s="562" t="s">
        <v>2250</v>
      </c>
      <c r="Z210" s="562" t="s">
        <v>2251</v>
      </c>
      <c r="AA210" s="562" t="s">
        <v>2252</v>
      </c>
      <c r="AB210" s="562" t="s">
        <v>2062</v>
      </c>
      <c r="AC210" s="562" t="s">
        <v>2266</v>
      </c>
      <c r="AE210" s="562" t="s">
        <v>2254</v>
      </c>
      <c r="AF210" s="562" t="s">
        <v>2255</v>
      </c>
      <c r="AG210" s="562" t="s">
        <v>2098</v>
      </c>
      <c r="AH210" s="562" t="s">
        <v>1680</v>
      </c>
      <c r="AI210" s="562" t="s">
        <v>2113</v>
      </c>
      <c r="AM210" s="562" t="s">
        <v>2583</v>
      </c>
      <c r="AN210" s="562" t="s">
        <v>2258</v>
      </c>
      <c r="AO210" s="562" t="s">
        <v>2259</v>
      </c>
      <c r="AP210" s="562" t="s">
        <v>2001</v>
      </c>
      <c r="AQ210" s="562" t="s">
        <v>2261</v>
      </c>
      <c r="AR210" s="562" t="s">
        <v>2262</v>
      </c>
      <c r="AT210" s="562" t="s">
        <v>2379</v>
      </c>
      <c r="AU210" s="562" t="s">
        <v>2263</v>
      </c>
      <c r="AV210" s="562" t="s">
        <v>2264</v>
      </c>
      <c r="AW210" s="562" t="s">
        <v>2265</v>
      </c>
      <c r="AX210" s="562" t="s">
        <v>2266</v>
      </c>
      <c r="AY210" s="562" t="s">
        <v>2267</v>
      </c>
      <c r="AZ210" s="562" t="s">
        <v>2046</v>
      </c>
      <c r="BA210" s="562" t="s">
        <v>2268</v>
      </c>
      <c r="BB210" s="562" t="s">
        <v>2262</v>
      </c>
      <c r="BC210" s="562" t="s">
        <v>2266</v>
      </c>
      <c r="BD210" s="562" t="s">
        <v>2584</v>
      </c>
      <c r="BE210" s="562" t="s">
        <v>2269</v>
      </c>
      <c r="BF210" s="562" t="s">
        <v>2585</v>
      </c>
      <c r="BG210" s="562" t="s">
        <v>2243</v>
      </c>
      <c r="BH210" s="562" t="s">
        <v>2049</v>
      </c>
      <c r="BI210" s="562" t="s">
        <v>2586</v>
      </c>
      <c r="BJ210" s="562" t="s">
        <v>2244</v>
      </c>
      <c r="BK210" s="562" t="s">
        <v>2066</v>
      </c>
      <c r="BM210" s="562" t="s">
        <v>2587</v>
      </c>
      <c r="BN210" s="562" t="s">
        <v>1997</v>
      </c>
      <c r="BO210" s="562" t="s">
        <v>2273</v>
      </c>
      <c r="BQ210" s="562" t="s">
        <v>2051</v>
      </c>
      <c r="BS210" s="562" t="s">
        <v>2119</v>
      </c>
      <c r="BT210" s="562" t="s">
        <v>1689</v>
      </c>
      <c r="BU210" s="562" t="s">
        <v>2097</v>
      </c>
      <c r="BV210" s="562" t="s">
        <v>2275</v>
      </c>
      <c r="BW210" s="562" t="s">
        <v>986</v>
      </c>
      <c r="BX210" s="562" t="s">
        <v>2276</v>
      </c>
      <c r="BY210" s="562" t="s">
        <v>1998</v>
      </c>
      <c r="CA210" s="562" t="s">
        <v>2277</v>
      </c>
      <c r="CD210" s="562" t="s">
        <v>986</v>
      </c>
    </row>
    <row r="211" spans="1:99" s="557" customFormat="1" x14ac:dyDescent="0.3">
      <c r="A211" s="556">
        <v>953</v>
      </c>
      <c r="B211" s="557" t="s">
        <v>987</v>
      </c>
      <c r="E211" s="557">
        <v>2</v>
      </c>
      <c r="F211" s="557">
        <v>2</v>
      </c>
      <c r="G211" s="557">
        <v>2</v>
      </c>
      <c r="H211" s="557">
        <v>2</v>
      </c>
      <c r="I211" s="557">
        <v>2</v>
      </c>
      <c r="J211" s="557">
        <v>2</v>
      </c>
      <c r="K211" s="557">
        <v>2</v>
      </c>
      <c r="L211" s="557">
        <v>2</v>
      </c>
      <c r="M211" s="557">
        <v>2</v>
      </c>
      <c r="N211" s="557">
        <v>2</v>
      </c>
      <c r="O211" s="557">
        <v>2</v>
      </c>
      <c r="P211" s="557">
        <v>2</v>
      </c>
      <c r="Q211" s="557">
        <v>2</v>
      </c>
      <c r="R211" s="557">
        <v>2</v>
      </c>
      <c r="S211" s="557">
        <v>2</v>
      </c>
      <c r="T211" s="557">
        <v>2</v>
      </c>
      <c r="U211" s="557">
        <v>2</v>
      </c>
      <c r="V211" s="557">
        <v>2</v>
      </c>
      <c r="W211" s="557">
        <v>2</v>
      </c>
      <c r="Y211" s="557">
        <v>2</v>
      </c>
      <c r="Z211" s="557">
        <v>2</v>
      </c>
      <c r="AA211" s="557">
        <v>2</v>
      </c>
      <c r="AB211" s="557">
        <v>2</v>
      </c>
      <c r="AC211" s="557">
        <v>2</v>
      </c>
      <c r="AD211" s="557">
        <v>2</v>
      </c>
      <c r="AE211" s="557">
        <v>2</v>
      </c>
      <c r="AF211" s="557">
        <v>2</v>
      </c>
      <c r="AG211" s="557">
        <v>2</v>
      </c>
      <c r="AH211" s="557">
        <v>2</v>
      </c>
      <c r="AI211" s="557">
        <v>2</v>
      </c>
      <c r="AJ211" s="557">
        <v>2</v>
      </c>
      <c r="AM211" s="557">
        <v>2</v>
      </c>
      <c r="AN211" s="557">
        <v>2</v>
      </c>
      <c r="AO211" s="557">
        <v>2</v>
      </c>
      <c r="AP211" s="557">
        <v>2</v>
      </c>
      <c r="AQ211" s="557">
        <v>2</v>
      </c>
      <c r="AR211" s="557">
        <v>2</v>
      </c>
      <c r="AT211" s="557">
        <v>2</v>
      </c>
      <c r="AU211" s="557">
        <v>2</v>
      </c>
      <c r="AV211" s="557">
        <v>2</v>
      </c>
      <c r="AW211" s="557">
        <v>2</v>
      </c>
      <c r="AX211" s="557">
        <v>2</v>
      </c>
      <c r="AY211" s="557">
        <v>2</v>
      </c>
      <c r="AZ211" s="557">
        <v>2</v>
      </c>
      <c r="BA211" s="557">
        <v>2</v>
      </c>
      <c r="BB211" s="557">
        <v>2</v>
      </c>
      <c r="BC211" s="557">
        <v>2</v>
      </c>
      <c r="BD211" s="557">
        <v>2</v>
      </c>
      <c r="BE211" s="557">
        <v>2</v>
      </c>
      <c r="BF211" s="557">
        <v>2</v>
      </c>
      <c r="BG211" s="557">
        <v>2</v>
      </c>
      <c r="BH211" s="557">
        <v>2</v>
      </c>
      <c r="BI211" s="557">
        <v>2</v>
      </c>
      <c r="BJ211" s="557">
        <v>2</v>
      </c>
      <c r="BK211" s="557">
        <v>2</v>
      </c>
      <c r="BM211" s="557">
        <v>2</v>
      </c>
      <c r="BN211" s="557">
        <v>2</v>
      </c>
      <c r="BO211" s="557">
        <v>2</v>
      </c>
      <c r="BP211" s="557">
        <v>2</v>
      </c>
      <c r="BQ211" s="557">
        <v>2</v>
      </c>
      <c r="BR211" s="557">
        <v>2</v>
      </c>
      <c r="BS211" s="557">
        <v>2</v>
      </c>
      <c r="BT211" s="557">
        <v>2</v>
      </c>
      <c r="BU211" s="557">
        <v>2</v>
      </c>
      <c r="BV211" s="557">
        <v>2</v>
      </c>
      <c r="BW211" s="557">
        <v>2</v>
      </c>
      <c r="BX211" s="557">
        <v>2</v>
      </c>
      <c r="BY211" s="557">
        <v>2</v>
      </c>
      <c r="BZ211" s="557">
        <v>2</v>
      </c>
      <c r="CA211" s="557">
        <v>2</v>
      </c>
      <c r="CB211" s="557">
        <v>2</v>
      </c>
      <c r="CD211" s="557">
        <v>2</v>
      </c>
    </row>
    <row r="212" spans="1:99" s="562" customFormat="1" x14ac:dyDescent="0.3">
      <c r="A212" s="561">
        <v>954</v>
      </c>
      <c r="B212" s="562" t="s">
        <v>411</v>
      </c>
      <c r="E212" s="562" t="s">
        <v>50</v>
      </c>
      <c r="F212" s="562" t="s">
        <v>50</v>
      </c>
      <c r="G212" s="562" t="s">
        <v>50</v>
      </c>
      <c r="H212" s="562" t="s">
        <v>50</v>
      </c>
      <c r="I212" s="562" t="s">
        <v>50</v>
      </c>
      <c r="J212" s="562" t="s">
        <v>50</v>
      </c>
      <c r="K212" s="562" t="s">
        <v>50</v>
      </c>
      <c r="L212" s="562" t="s">
        <v>50</v>
      </c>
      <c r="M212" s="562" t="s">
        <v>50</v>
      </c>
      <c r="N212" s="562" t="s">
        <v>50</v>
      </c>
      <c r="O212" s="562" t="s">
        <v>50</v>
      </c>
      <c r="P212" s="562" t="s">
        <v>50</v>
      </c>
      <c r="Q212" s="562" t="s">
        <v>50</v>
      </c>
      <c r="R212" s="562" t="s">
        <v>50</v>
      </c>
      <c r="S212" s="562" t="s">
        <v>50</v>
      </c>
      <c r="T212" s="562" t="s">
        <v>50</v>
      </c>
      <c r="U212" s="562" t="s">
        <v>50</v>
      </c>
      <c r="V212" s="562" t="s">
        <v>50</v>
      </c>
      <c r="W212" s="562" t="s">
        <v>50</v>
      </c>
      <c r="Y212" s="562" t="s">
        <v>50</v>
      </c>
      <c r="Z212" s="562" t="s">
        <v>50</v>
      </c>
      <c r="AA212" s="562" t="s">
        <v>50</v>
      </c>
      <c r="AB212" s="562" t="s">
        <v>50</v>
      </c>
      <c r="AC212" s="562" t="s">
        <v>50</v>
      </c>
      <c r="AD212" s="562" t="s">
        <v>50</v>
      </c>
      <c r="AE212" s="562" t="s">
        <v>50</v>
      </c>
      <c r="AF212" s="562" t="s">
        <v>1681</v>
      </c>
      <c r="AG212" s="562" t="s">
        <v>50</v>
      </c>
      <c r="AH212" s="562" t="s">
        <v>50</v>
      </c>
      <c r="AI212" s="562" t="s">
        <v>50</v>
      </c>
      <c r="AJ212" s="562" t="s">
        <v>50</v>
      </c>
      <c r="AM212" s="562" t="s">
        <v>50</v>
      </c>
      <c r="AN212" s="562" t="s">
        <v>50</v>
      </c>
      <c r="AO212" s="562" t="s">
        <v>2102</v>
      </c>
      <c r="AP212" s="562" t="s">
        <v>50</v>
      </c>
      <c r="AQ212" s="562" t="s">
        <v>50</v>
      </c>
      <c r="AR212" s="562" t="s">
        <v>50</v>
      </c>
      <c r="AT212" s="562" t="s">
        <v>50</v>
      </c>
      <c r="AU212" s="562" t="s">
        <v>50</v>
      </c>
      <c r="AV212" s="562" t="s">
        <v>50</v>
      </c>
      <c r="AW212" s="562" t="s">
        <v>50</v>
      </c>
      <c r="AX212" s="562" t="s">
        <v>50</v>
      </c>
      <c r="AY212" s="562" t="s">
        <v>50</v>
      </c>
      <c r="AZ212" s="562" t="s">
        <v>50</v>
      </c>
      <c r="BA212" s="562" t="s">
        <v>50</v>
      </c>
      <c r="BB212" s="562" t="s">
        <v>50</v>
      </c>
      <c r="BC212" s="562" t="s">
        <v>50</v>
      </c>
      <c r="BD212" s="562" t="s">
        <v>50</v>
      </c>
      <c r="BE212" s="562" t="s">
        <v>50</v>
      </c>
      <c r="BF212" s="562" t="s">
        <v>50</v>
      </c>
      <c r="BG212" s="562" t="s">
        <v>50</v>
      </c>
      <c r="BH212" s="562" t="s">
        <v>50</v>
      </c>
      <c r="BI212" s="562" t="s">
        <v>50</v>
      </c>
      <c r="BJ212" s="562" t="s">
        <v>50</v>
      </c>
      <c r="BK212" s="562" t="s">
        <v>50</v>
      </c>
      <c r="BM212" s="562" t="s">
        <v>50</v>
      </c>
      <c r="BN212" s="562" t="s">
        <v>50</v>
      </c>
      <c r="BO212" s="562" t="s">
        <v>50</v>
      </c>
      <c r="BP212" s="562" t="s">
        <v>50</v>
      </c>
      <c r="BQ212" s="562" t="s">
        <v>50</v>
      </c>
      <c r="BR212" s="562" t="s">
        <v>50</v>
      </c>
      <c r="BS212" s="562" t="s">
        <v>50</v>
      </c>
      <c r="BT212" s="562" t="s">
        <v>50</v>
      </c>
      <c r="BU212" s="562" t="s">
        <v>50</v>
      </c>
      <c r="BV212" s="562" t="s">
        <v>50</v>
      </c>
      <c r="BW212" s="562" t="s">
        <v>50</v>
      </c>
      <c r="BX212" s="562" t="s">
        <v>50</v>
      </c>
      <c r="BY212" s="562" t="s">
        <v>50</v>
      </c>
      <c r="BZ212" s="562" t="s">
        <v>50</v>
      </c>
      <c r="CA212" s="562" t="s">
        <v>50</v>
      </c>
      <c r="CB212" s="562" t="s">
        <v>50</v>
      </c>
      <c r="CD212" s="562" t="s">
        <v>50</v>
      </c>
    </row>
    <row r="213" spans="1:99" s="557" customFormat="1" x14ac:dyDescent="0.3">
      <c r="A213" s="556">
        <v>955</v>
      </c>
      <c r="B213" s="557" t="s">
        <v>988</v>
      </c>
      <c r="E213" s="557">
        <v>0</v>
      </c>
      <c r="F213" s="557">
        <v>0</v>
      </c>
      <c r="G213" s="557">
        <v>0</v>
      </c>
      <c r="H213" s="557">
        <v>0</v>
      </c>
      <c r="I213" s="557">
        <v>0</v>
      </c>
      <c r="J213" s="557">
        <v>1</v>
      </c>
      <c r="K213" s="557">
        <v>0</v>
      </c>
      <c r="L213" s="557">
        <v>0</v>
      </c>
      <c r="M213" s="557">
        <v>0</v>
      </c>
      <c r="N213" s="557">
        <v>0</v>
      </c>
      <c r="O213" s="557">
        <v>0</v>
      </c>
      <c r="P213" s="557">
        <v>0</v>
      </c>
      <c r="Q213" s="557">
        <v>0</v>
      </c>
      <c r="R213" s="557">
        <v>0</v>
      </c>
      <c r="S213" s="557">
        <v>0</v>
      </c>
      <c r="T213" s="557">
        <v>0</v>
      </c>
      <c r="U213" s="557">
        <v>0</v>
      </c>
      <c r="V213" s="557">
        <v>1</v>
      </c>
      <c r="W213" s="557">
        <v>0</v>
      </c>
      <c r="Y213" s="557">
        <v>0</v>
      </c>
      <c r="Z213" s="557">
        <v>0</v>
      </c>
      <c r="AA213" s="557">
        <v>0</v>
      </c>
      <c r="AB213" s="557">
        <v>0</v>
      </c>
      <c r="AC213" s="557">
        <v>0</v>
      </c>
      <c r="AD213" s="557">
        <v>0</v>
      </c>
      <c r="AE213" s="557">
        <v>0</v>
      </c>
      <c r="AF213" s="557">
        <v>0</v>
      </c>
      <c r="AG213" s="557">
        <v>0</v>
      </c>
      <c r="AH213" s="557">
        <v>1</v>
      </c>
      <c r="AI213" s="557">
        <v>2</v>
      </c>
      <c r="AJ213" s="557">
        <v>0</v>
      </c>
      <c r="AM213" s="557">
        <v>0</v>
      </c>
      <c r="AN213" s="557">
        <v>0</v>
      </c>
      <c r="AO213" s="557">
        <v>0</v>
      </c>
      <c r="AP213" s="557">
        <v>0</v>
      </c>
      <c r="AQ213" s="557">
        <v>0</v>
      </c>
      <c r="AR213" s="557">
        <v>0</v>
      </c>
      <c r="AT213" s="557">
        <v>0</v>
      </c>
      <c r="AU213" s="557">
        <v>0</v>
      </c>
      <c r="AV213" s="557">
        <v>0</v>
      </c>
      <c r="AW213" s="557">
        <v>0</v>
      </c>
      <c r="AX213" s="557">
        <v>0</v>
      </c>
      <c r="AY213" s="557">
        <v>0</v>
      </c>
      <c r="AZ213" s="557">
        <v>2</v>
      </c>
      <c r="BA213" s="557">
        <v>1</v>
      </c>
      <c r="BB213" s="557">
        <v>0</v>
      </c>
      <c r="BC213" s="557">
        <v>0</v>
      </c>
      <c r="BD213" s="557">
        <v>0</v>
      </c>
      <c r="BE213" s="557">
        <v>0</v>
      </c>
      <c r="BF213" s="557">
        <v>0</v>
      </c>
      <c r="BG213" s="557">
        <v>0</v>
      </c>
      <c r="BH213" s="557">
        <v>1</v>
      </c>
      <c r="BI213" s="557">
        <v>0</v>
      </c>
      <c r="BJ213" s="557">
        <v>0</v>
      </c>
      <c r="BK213" s="557">
        <v>1</v>
      </c>
      <c r="BM213" s="557">
        <v>0</v>
      </c>
      <c r="BN213" s="557">
        <v>1</v>
      </c>
      <c r="BO213" s="557">
        <v>2</v>
      </c>
      <c r="BP213" s="557">
        <v>0</v>
      </c>
      <c r="BQ213" s="557">
        <v>0</v>
      </c>
      <c r="BR213" s="557">
        <v>0</v>
      </c>
      <c r="BS213" s="557">
        <v>0</v>
      </c>
      <c r="BT213" s="557">
        <v>2</v>
      </c>
      <c r="BU213" s="557">
        <v>0</v>
      </c>
      <c r="BV213" s="557">
        <v>0</v>
      </c>
      <c r="BW213" s="557">
        <v>1</v>
      </c>
      <c r="BX213" s="557">
        <v>1</v>
      </c>
      <c r="BY213" s="557">
        <v>0</v>
      </c>
      <c r="BZ213" s="557">
        <v>0</v>
      </c>
      <c r="CA213" s="557">
        <v>0</v>
      </c>
      <c r="CB213" s="557">
        <v>2</v>
      </c>
      <c r="CD213" s="557">
        <v>0</v>
      </c>
    </row>
    <row r="214" spans="1:99" s="562" customFormat="1" x14ac:dyDescent="0.3">
      <c r="A214" s="561">
        <v>956</v>
      </c>
      <c r="B214" s="562" t="s">
        <v>412</v>
      </c>
      <c r="E214" s="562" t="s">
        <v>50</v>
      </c>
      <c r="F214" s="562" t="s">
        <v>50</v>
      </c>
      <c r="G214" s="562" t="s">
        <v>50</v>
      </c>
      <c r="H214" s="562" t="s">
        <v>50</v>
      </c>
      <c r="I214" s="562" t="s">
        <v>50</v>
      </c>
      <c r="J214" s="562" t="s">
        <v>50</v>
      </c>
      <c r="K214" s="562" t="s">
        <v>50</v>
      </c>
      <c r="L214" s="562" t="s">
        <v>50</v>
      </c>
      <c r="M214" s="562" t="s">
        <v>50</v>
      </c>
      <c r="N214" s="562" t="s">
        <v>50</v>
      </c>
      <c r="O214" s="562" t="s">
        <v>50</v>
      </c>
      <c r="P214" s="562" t="s">
        <v>50</v>
      </c>
      <c r="Q214" s="562" t="s">
        <v>50</v>
      </c>
      <c r="R214" s="562" t="s">
        <v>50</v>
      </c>
      <c r="S214" s="562" t="s">
        <v>50</v>
      </c>
      <c r="T214" s="562" t="s">
        <v>50</v>
      </c>
      <c r="U214" s="562" t="s">
        <v>50</v>
      </c>
      <c r="V214" s="562" t="s">
        <v>50</v>
      </c>
      <c r="W214" s="562" t="s">
        <v>50</v>
      </c>
      <c r="Y214" s="562" t="s">
        <v>51</v>
      </c>
      <c r="Z214" s="562" t="s">
        <v>50</v>
      </c>
      <c r="AA214" s="562" t="s">
        <v>50</v>
      </c>
      <c r="AB214" s="562" t="s">
        <v>50</v>
      </c>
      <c r="AC214" s="562" t="s">
        <v>50</v>
      </c>
      <c r="AD214" s="562" t="s">
        <v>50</v>
      </c>
      <c r="AE214" s="562" t="s">
        <v>50</v>
      </c>
      <c r="AF214" s="562" t="s">
        <v>1681</v>
      </c>
      <c r="AG214" s="562" t="s">
        <v>50</v>
      </c>
      <c r="AH214" s="562" t="s">
        <v>51</v>
      </c>
      <c r="AI214" s="562" t="s">
        <v>50</v>
      </c>
      <c r="AJ214" s="562" t="s">
        <v>50</v>
      </c>
      <c r="AM214" s="562" t="s">
        <v>50</v>
      </c>
      <c r="AN214" s="562" t="s">
        <v>50</v>
      </c>
      <c r="AO214" s="562" t="s">
        <v>2102</v>
      </c>
      <c r="AP214" s="562" t="s">
        <v>50</v>
      </c>
      <c r="AQ214" s="562" t="s">
        <v>50</v>
      </c>
      <c r="AR214" s="562" t="s">
        <v>50</v>
      </c>
      <c r="AT214" s="562" t="s">
        <v>50</v>
      </c>
      <c r="AU214" s="562" t="s">
        <v>50</v>
      </c>
      <c r="AV214" s="562" t="s">
        <v>50</v>
      </c>
      <c r="AW214" s="562" t="s">
        <v>50</v>
      </c>
      <c r="AX214" s="562" t="s">
        <v>50</v>
      </c>
      <c r="AY214" s="562" t="s">
        <v>50</v>
      </c>
      <c r="AZ214" s="562" t="s">
        <v>50</v>
      </c>
      <c r="BA214" s="562" t="s">
        <v>50</v>
      </c>
      <c r="BB214" s="562" t="s">
        <v>50</v>
      </c>
      <c r="BC214" s="562" t="s">
        <v>50</v>
      </c>
      <c r="BD214" s="562" t="s">
        <v>50</v>
      </c>
      <c r="BE214" s="562" t="s">
        <v>50</v>
      </c>
      <c r="BF214" s="562" t="s">
        <v>50</v>
      </c>
      <c r="BG214" s="562" t="s">
        <v>50</v>
      </c>
      <c r="BH214" s="562" t="s">
        <v>50</v>
      </c>
      <c r="BI214" s="562" t="s">
        <v>50</v>
      </c>
      <c r="BJ214" s="562" t="s">
        <v>50</v>
      </c>
      <c r="BK214" s="562" t="s">
        <v>50</v>
      </c>
      <c r="BM214" s="562" t="s">
        <v>50</v>
      </c>
      <c r="BN214" s="562" t="s">
        <v>50</v>
      </c>
      <c r="BO214" s="562" t="s">
        <v>50</v>
      </c>
      <c r="BP214" s="562" t="s">
        <v>50</v>
      </c>
      <c r="BQ214" s="562" t="s">
        <v>50</v>
      </c>
      <c r="BR214" s="562" t="s">
        <v>50</v>
      </c>
      <c r="BS214" s="562" t="s">
        <v>50</v>
      </c>
      <c r="BT214" s="562" t="s">
        <v>50</v>
      </c>
      <c r="BU214" s="562" t="s">
        <v>50</v>
      </c>
      <c r="BV214" s="562" t="s">
        <v>50</v>
      </c>
      <c r="BW214" s="562" t="s">
        <v>50</v>
      </c>
      <c r="BX214" s="562" t="s">
        <v>50</v>
      </c>
      <c r="BY214" s="562" t="s">
        <v>50</v>
      </c>
      <c r="BZ214" s="562" t="s">
        <v>50</v>
      </c>
      <c r="CA214" s="562" t="s">
        <v>50</v>
      </c>
      <c r="CB214" s="562" t="s">
        <v>50</v>
      </c>
      <c r="CD214" s="562" t="s">
        <v>50</v>
      </c>
    </row>
    <row r="215" spans="1:99" s="557" customFormat="1" x14ac:dyDescent="0.3">
      <c r="A215" s="556">
        <v>957</v>
      </c>
      <c r="B215" s="557" t="s">
        <v>989</v>
      </c>
      <c r="E215" s="557">
        <v>0</v>
      </c>
      <c r="F215" s="557">
        <v>0</v>
      </c>
      <c r="G215" s="557">
        <v>0</v>
      </c>
      <c r="H215" s="557">
        <v>0</v>
      </c>
      <c r="I215" s="557">
        <v>0</v>
      </c>
      <c r="J215" s="557">
        <v>0</v>
      </c>
      <c r="K215" s="557">
        <v>0</v>
      </c>
      <c r="L215" s="557">
        <v>0</v>
      </c>
      <c r="M215" s="557">
        <v>0</v>
      </c>
      <c r="N215" s="557">
        <v>0</v>
      </c>
      <c r="O215" s="557">
        <v>0</v>
      </c>
      <c r="P215" s="557">
        <v>0</v>
      </c>
      <c r="Q215" s="557">
        <v>0</v>
      </c>
      <c r="R215" s="557">
        <v>0</v>
      </c>
      <c r="S215" s="557">
        <v>0</v>
      </c>
      <c r="T215" s="557">
        <v>0</v>
      </c>
      <c r="U215" s="557">
        <v>0</v>
      </c>
      <c r="V215" s="557">
        <v>0</v>
      </c>
      <c r="W215" s="557">
        <v>0</v>
      </c>
      <c r="Y215" s="557">
        <v>0</v>
      </c>
      <c r="Z215" s="557">
        <v>0</v>
      </c>
      <c r="AA215" s="557">
        <v>0</v>
      </c>
      <c r="AB215" s="557">
        <v>1</v>
      </c>
      <c r="AC215" s="557">
        <v>0</v>
      </c>
      <c r="AD215" s="557">
        <v>0</v>
      </c>
      <c r="AE215" s="557">
        <v>0</v>
      </c>
      <c r="AF215" s="557">
        <v>0</v>
      </c>
      <c r="AG215" s="557">
        <v>0</v>
      </c>
      <c r="AH215" s="557">
        <v>1</v>
      </c>
      <c r="AI215" s="557">
        <v>0</v>
      </c>
      <c r="AJ215" s="557">
        <v>0</v>
      </c>
      <c r="AM215" s="557">
        <v>0</v>
      </c>
      <c r="AN215" s="557">
        <v>0</v>
      </c>
      <c r="AO215" s="557">
        <v>0</v>
      </c>
      <c r="AP215" s="557">
        <v>0</v>
      </c>
      <c r="AQ215" s="557">
        <v>0</v>
      </c>
      <c r="AR215" s="557">
        <v>0</v>
      </c>
      <c r="AT215" s="557">
        <v>2</v>
      </c>
      <c r="AU215" s="557">
        <v>0</v>
      </c>
      <c r="AV215" s="557">
        <v>1</v>
      </c>
      <c r="AW215" s="557">
        <v>0</v>
      </c>
      <c r="AX215" s="557">
        <v>0</v>
      </c>
      <c r="AY215" s="557">
        <v>0</v>
      </c>
      <c r="AZ215" s="557">
        <v>0</v>
      </c>
      <c r="BA215" s="557">
        <v>0</v>
      </c>
      <c r="BB215" s="557">
        <v>0</v>
      </c>
      <c r="BC215" s="557">
        <v>0</v>
      </c>
      <c r="BD215" s="557">
        <v>0</v>
      </c>
      <c r="BE215" s="557">
        <v>0</v>
      </c>
      <c r="BF215" s="557">
        <v>0</v>
      </c>
      <c r="BG215" s="557">
        <v>1</v>
      </c>
      <c r="BH215" s="557">
        <v>0</v>
      </c>
      <c r="BI215" s="557">
        <v>0</v>
      </c>
      <c r="BJ215" s="557">
        <v>0</v>
      </c>
      <c r="BK215" s="557">
        <v>0</v>
      </c>
      <c r="BM215" s="557">
        <v>0</v>
      </c>
      <c r="BN215" s="557">
        <v>0</v>
      </c>
      <c r="BO215" s="557">
        <v>0</v>
      </c>
      <c r="BP215" s="557">
        <v>0</v>
      </c>
      <c r="BQ215" s="557">
        <v>0</v>
      </c>
      <c r="BR215" s="557">
        <v>0</v>
      </c>
      <c r="BS215" s="557">
        <v>1</v>
      </c>
      <c r="BT215" s="557">
        <v>0</v>
      </c>
      <c r="BU215" s="557">
        <v>0</v>
      </c>
      <c r="BV215" s="557">
        <v>0</v>
      </c>
      <c r="BW215" s="557">
        <v>5</v>
      </c>
      <c r="BX215" s="557">
        <v>1</v>
      </c>
      <c r="BY215" s="557">
        <v>0</v>
      </c>
      <c r="BZ215" s="557">
        <v>3</v>
      </c>
      <c r="CA215" s="557">
        <v>0</v>
      </c>
      <c r="CB215" s="557">
        <v>0</v>
      </c>
      <c r="CD215" s="557">
        <v>0</v>
      </c>
    </row>
    <row r="216" spans="1:99" s="562" customFormat="1" x14ac:dyDescent="0.3">
      <c r="A216" s="561">
        <v>958</v>
      </c>
      <c r="B216" s="562" t="s">
        <v>990</v>
      </c>
      <c r="E216" s="562" t="s">
        <v>50</v>
      </c>
      <c r="F216" s="562" t="s">
        <v>50</v>
      </c>
      <c r="G216" s="562" t="s">
        <v>50</v>
      </c>
      <c r="H216" s="562" t="s">
        <v>50</v>
      </c>
      <c r="I216" s="562" t="s">
        <v>50</v>
      </c>
      <c r="J216" s="562" t="s">
        <v>50</v>
      </c>
      <c r="K216" s="562" t="s">
        <v>50</v>
      </c>
      <c r="L216" s="562" t="s">
        <v>50</v>
      </c>
      <c r="M216" s="562" t="s">
        <v>50</v>
      </c>
      <c r="N216" s="562" t="s">
        <v>50</v>
      </c>
      <c r="O216" s="562" t="s">
        <v>50</v>
      </c>
      <c r="P216" s="562" t="s">
        <v>50</v>
      </c>
      <c r="Q216" s="562" t="s">
        <v>50</v>
      </c>
      <c r="R216" s="562" t="s">
        <v>50</v>
      </c>
      <c r="S216" s="562" t="s">
        <v>50</v>
      </c>
      <c r="T216" s="562" t="s">
        <v>50</v>
      </c>
      <c r="U216" s="562" t="s">
        <v>50</v>
      </c>
      <c r="V216" s="562" t="s">
        <v>50</v>
      </c>
      <c r="W216" s="562" t="s">
        <v>50</v>
      </c>
      <c r="Y216" s="562" t="s">
        <v>50</v>
      </c>
      <c r="Z216" s="562" t="s">
        <v>50</v>
      </c>
      <c r="AA216" s="562" t="s">
        <v>50</v>
      </c>
      <c r="AB216" s="562" t="s">
        <v>50</v>
      </c>
      <c r="AC216" s="562" t="s">
        <v>50</v>
      </c>
      <c r="AD216" s="562" t="s">
        <v>50</v>
      </c>
      <c r="AE216" s="562" t="s">
        <v>50</v>
      </c>
      <c r="AF216" s="562" t="s">
        <v>1681</v>
      </c>
      <c r="AG216" s="562" t="s">
        <v>50</v>
      </c>
      <c r="AH216" s="562" t="s">
        <v>50</v>
      </c>
      <c r="AI216" s="562" t="s">
        <v>50</v>
      </c>
      <c r="AJ216" s="562" t="s">
        <v>50</v>
      </c>
      <c r="AM216" s="562" t="s">
        <v>50</v>
      </c>
      <c r="AN216" s="562" t="s">
        <v>50</v>
      </c>
      <c r="AO216" s="562" t="s">
        <v>2102</v>
      </c>
      <c r="AP216" s="562" t="s">
        <v>50</v>
      </c>
      <c r="AQ216" s="562" t="s">
        <v>50</v>
      </c>
      <c r="AR216" s="562" t="s">
        <v>50</v>
      </c>
      <c r="AT216" s="562" t="s">
        <v>50</v>
      </c>
      <c r="AU216" s="562" t="s">
        <v>50</v>
      </c>
      <c r="AV216" s="562" t="s">
        <v>50</v>
      </c>
      <c r="AW216" s="562" t="s">
        <v>50</v>
      </c>
      <c r="AX216" s="562" t="s">
        <v>50</v>
      </c>
      <c r="AY216" s="562" t="s">
        <v>50</v>
      </c>
      <c r="AZ216" s="562" t="s">
        <v>50</v>
      </c>
      <c r="BA216" s="562" t="s">
        <v>50</v>
      </c>
      <c r="BB216" s="562" t="s">
        <v>50</v>
      </c>
      <c r="BC216" s="562" t="s">
        <v>50</v>
      </c>
      <c r="BD216" s="562" t="s">
        <v>50</v>
      </c>
      <c r="BE216" s="562" t="s">
        <v>50</v>
      </c>
      <c r="BF216" s="562" t="s">
        <v>50</v>
      </c>
      <c r="BG216" s="562" t="s">
        <v>50</v>
      </c>
      <c r="BH216" s="562" t="s">
        <v>50</v>
      </c>
      <c r="BI216" s="562" t="s">
        <v>50</v>
      </c>
      <c r="BJ216" s="562" t="s">
        <v>50</v>
      </c>
      <c r="BK216" s="562" t="s">
        <v>50</v>
      </c>
      <c r="BM216" s="562" t="s">
        <v>50</v>
      </c>
      <c r="BN216" s="562" t="s">
        <v>50</v>
      </c>
      <c r="BO216" s="562" t="s">
        <v>50</v>
      </c>
      <c r="BP216" s="562" t="s">
        <v>50</v>
      </c>
      <c r="BQ216" s="562" t="s">
        <v>50</v>
      </c>
      <c r="BR216" s="562" t="s">
        <v>50</v>
      </c>
      <c r="BS216" s="562" t="s">
        <v>50</v>
      </c>
      <c r="BT216" s="562" t="s">
        <v>50</v>
      </c>
      <c r="BU216" s="562" t="s">
        <v>50</v>
      </c>
      <c r="BV216" s="562" t="s">
        <v>50</v>
      </c>
      <c r="BW216" s="562" t="s">
        <v>50</v>
      </c>
      <c r="BX216" s="562" t="s">
        <v>50</v>
      </c>
      <c r="BY216" s="562" t="s">
        <v>50</v>
      </c>
      <c r="BZ216" s="562" t="s">
        <v>50</v>
      </c>
      <c r="CA216" s="562" t="s">
        <v>50</v>
      </c>
      <c r="CB216" s="562" t="s">
        <v>50</v>
      </c>
      <c r="CD216" s="562" t="s">
        <v>50</v>
      </c>
    </row>
    <row r="217" spans="1:99" s="557" customFormat="1" x14ac:dyDescent="0.3">
      <c r="A217" s="556">
        <v>959</v>
      </c>
      <c r="B217" s="557" t="s">
        <v>991</v>
      </c>
      <c r="E217" s="557">
        <v>2</v>
      </c>
      <c r="F217" s="557">
        <v>2</v>
      </c>
      <c r="G217" s="557">
        <v>2</v>
      </c>
      <c r="H217" s="557">
        <v>2</v>
      </c>
      <c r="I217" s="557">
        <v>3</v>
      </c>
      <c r="J217" s="557">
        <v>2</v>
      </c>
      <c r="K217" s="557">
        <v>2</v>
      </c>
      <c r="L217" s="557">
        <v>3</v>
      </c>
      <c r="M217" s="557">
        <v>2</v>
      </c>
      <c r="N217" s="557">
        <v>2</v>
      </c>
      <c r="O217" s="557">
        <v>3</v>
      </c>
      <c r="P217" s="557">
        <v>3</v>
      </c>
      <c r="Q217" s="557">
        <v>2</v>
      </c>
      <c r="R217" s="557">
        <v>2</v>
      </c>
      <c r="S217" s="557">
        <v>3</v>
      </c>
      <c r="T217" s="557">
        <v>2</v>
      </c>
      <c r="U217" s="557">
        <v>2</v>
      </c>
      <c r="V217" s="557">
        <v>2</v>
      </c>
      <c r="W217" s="557">
        <v>2</v>
      </c>
      <c r="Y217" s="557">
        <v>2</v>
      </c>
      <c r="Z217" s="557">
        <v>2</v>
      </c>
      <c r="AA217" s="557">
        <v>2</v>
      </c>
      <c r="AB217" s="557">
        <v>2</v>
      </c>
      <c r="AC217" s="557">
        <v>3</v>
      </c>
      <c r="AD217" s="557">
        <v>2</v>
      </c>
      <c r="AE217" s="557">
        <v>2</v>
      </c>
      <c r="AF217" s="557">
        <v>3</v>
      </c>
      <c r="AG217" s="557">
        <v>2</v>
      </c>
      <c r="AH217" s="557">
        <v>2</v>
      </c>
      <c r="AI217" s="557">
        <v>2</v>
      </c>
      <c r="AJ217" s="557">
        <v>3</v>
      </c>
      <c r="AM217" s="557">
        <v>2</v>
      </c>
      <c r="AN217" s="557">
        <v>2</v>
      </c>
      <c r="AO217" s="557">
        <v>2</v>
      </c>
      <c r="AP217" s="557">
        <v>2</v>
      </c>
      <c r="AQ217" s="557">
        <v>2</v>
      </c>
      <c r="AR217" s="557">
        <v>2</v>
      </c>
      <c r="AT217" s="557">
        <v>2</v>
      </c>
      <c r="AU217" s="557">
        <v>3</v>
      </c>
      <c r="AV217" s="557">
        <v>2</v>
      </c>
      <c r="AW217" s="557">
        <v>2</v>
      </c>
      <c r="AX217" s="557">
        <v>2</v>
      </c>
      <c r="AY217" s="557">
        <v>2</v>
      </c>
      <c r="AZ217" s="557">
        <v>2</v>
      </c>
      <c r="BA217" s="557">
        <v>3</v>
      </c>
      <c r="BB217" s="557">
        <v>3</v>
      </c>
      <c r="BC217" s="557">
        <v>2</v>
      </c>
      <c r="BD217" s="557">
        <v>2</v>
      </c>
      <c r="BE217" s="557">
        <v>2</v>
      </c>
      <c r="BF217" s="557">
        <v>2</v>
      </c>
      <c r="BG217" s="557">
        <v>3</v>
      </c>
      <c r="BH217" s="557">
        <v>3</v>
      </c>
      <c r="BI217" s="557">
        <v>2</v>
      </c>
      <c r="BJ217" s="557">
        <v>2</v>
      </c>
      <c r="BK217" s="557">
        <v>2</v>
      </c>
      <c r="BM217" s="557">
        <v>2</v>
      </c>
      <c r="BN217" s="557">
        <v>2</v>
      </c>
      <c r="BO217" s="557">
        <v>2</v>
      </c>
      <c r="BP217" s="557">
        <v>2</v>
      </c>
      <c r="BQ217" s="557">
        <v>2</v>
      </c>
      <c r="BR217" s="557">
        <v>2</v>
      </c>
      <c r="BS217" s="557">
        <v>2</v>
      </c>
      <c r="BT217" s="557">
        <v>2</v>
      </c>
      <c r="BU217" s="557">
        <v>2</v>
      </c>
      <c r="BV217" s="557">
        <v>3</v>
      </c>
      <c r="BW217" s="557">
        <v>2</v>
      </c>
      <c r="BX217" s="557">
        <v>2</v>
      </c>
      <c r="BY217" s="557">
        <v>3</v>
      </c>
      <c r="BZ217" s="557">
        <v>2</v>
      </c>
      <c r="CA217" s="557">
        <v>2</v>
      </c>
      <c r="CB217" s="557">
        <v>2</v>
      </c>
      <c r="CD217" s="557">
        <v>2</v>
      </c>
    </row>
    <row r="218" spans="1:99" x14ac:dyDescent="0.3">
      <c r="A218" s="155">
        <v>960</v>
      </c>
      <c r="B218" s="180" t="s">
        <v>992</v>
      </c>
      <c r="C218" s="180"/>
      <c r="D218" s="180"/>
      <c r="E218" s="180" t="s">
        <v>2588</v>
      </c>
      <c r="F218" s="180" t="s">
        <v>2589</v>
      </c>
      <c r="G218" s="180" t="s">
        <v>2282</v>
      </c>
      <c r="H218" s="180" t="s">
        <v>2283</v>
      </c>
      <c r="I218" s="180" t="s">
        <v>2590</v>
      </c>
      <c r="J218" s="180" t="s">
        <v>2285</v>
      </c>
      <c r="K218" s="180" t="s">
        <v>2591</v>
      </c>
      <c r="L218" s="180" t="s">
        <v>2287</v>
      </c>
      <c r="M218" s="180" t="s">
        <v>2288</v>
      </c>
      <c r="N218" s="180" t="s">
        <v>2289</v>
      </c>
      <c r="O218" s="180" t="s">
        <v>2290</v>
      </c>
      <c r="P218" s="180" t="s">
        <v>2291</v>
      </c>
      <c r="Q218" s="180" t="s">
        <v>2292</v>
      </c>
      <c r="R218" s="180" t="s">
        <v>2592</v>
      </c>
      <c r="S218" s="180" t="s">
        <v>2294</v>
      </c>
      <c r="T218" s="180" t="s">
        <v>2593</v>
      </c>
      <c r="U218" s="180" t="s">
        <v>2296</v>
      </c>
      <c r="V218" s="180" t="s">
        <v>2297</v>
      </c>
      <c r="W218" s="180" t="s">
        <v>2594</v>
      </c>
      <c r="X218" s="180"/>
      <c r="Y218" s="180" t="s">
        <v>2299</v>
      </c>
      <c r="Z218" s="180" t="s">
        <v>2300</v>
      </c>
      <c r="AA218" s="180" t="s">
        <v>2301</v>
      </c>
      <c r="AB218" s="180" t="s">
        <v>2595</v>
      </c>
      <c r="AC218" s="180" t="s">
        <v>2303</v>
      </c>
      <c r="AD218" s="180" t="s">
        <v>2304</v>
      </c>
      <c r="AE218" s="180" t="s">
        <v>2305</v>
      </c>
      <c r="AF218" s="180" t="s">
        <v>2306</v>
      </c>
      <c r="AG218" s="180" t="s">
        <v>2307</v>
      </c>
      <c r="AH218" s="180" t="s">
        <v>2596</v>
      </c>
      <c r="AI218" s="180" t="s">
        <v>2597</v>
      </c>
      <c r="AJ218" s="180" t="s">
        <v>2310</v>
      </c>
      <c r="AK218" s="180"/>
      <c r="AL218" s="180"/>
      <c r="AM218" s="180" t="s">
        <v>2598</v>
      </c>
      <c r="AN218" s="180" t="s">
        <v>2313</v>
      </c>
      <c r="AO218" s="180" t="s">
        <v>2599</v>
      </c>
      <c r="AP218" s="180" t="s">
        <v>2600</v>
      </c>
      <c r="AQ218" s="180" t="s">
        <v>2316</v>
      </c>
      <c r="AR218" s="180" t="s">
        <v>2601</v>
      </c>
      <c r="AS218" s="180"/>
      <c r="AT218" s="180" t="s">
        <v>2602</v>
      </c>
      <c r="AU218" s="180" t="s">
        <v>2320</v>
      </c>
      <c r="AV218" s="180" t="s">
        <v>2321</v>
      </c>
      <c r="AW218" s="180" t="s">
        <v>2322</v>
      </c>
      <c r="AX218" s="180" t="s">
        <v>2323</v>
      </c>
      <c r="AY218" s="180" t="s">
        <v>2603</v>
      </c>
      <c r="AZ218" s="180" t="s">
        <v>2325</v>
      </c>
      <c r="BA218" s="180" t="s">
        <v>2326</v>
      </c>
      <c r="BB218" s="180" t="s">
        <v>2327</v>
      </c>
      <c r="BC218" s="180" t="s">
        <v>2328</v>
      </c>
      <c r="BD218" s="180" t="s">
        <v>2604</v>
      </c>
      <c r="BE218" s="180" t="s">
        <v>2330</v>
      </c>
      <c r="BF218" s="180" t="s">
        <v>2605</v>
      </c>
      <c r="BG218" s="180" t="s">
        <v>2332</v>
      </c>
      <c r="BH218" s="180" t="s">
        <v>2333</v>
      </c>
      <c r="BI218" s="180" t="s">
        <v>2606</v>
      </c>
      <c r="BJ218" s="180" t="s">
        <v>2607</v>
      </c>
      <c r="BK218" s="180" t="s">
        <v>2336</v>
      </c>
      <c r="BL218" s="180"/>
      <c r="BM218" s="180" t="s">
        <v>2608</v>
      </c>
      <c r="BN218" s="180" t="s">
        <v>2609</v>
      </c>
      <c r="BO218" s="180" t="s">
        <v>2340</v>
      </c>
      <c r="BP218" s="180" t="s">
        <v>2610</v>
      </c>
      <c r="BQ218" s="180" t="s">
        <v>2342</v>
      </c>
      <c r="BR218" s="180" t="s">
        <v>2611</v>
      </c>
      <c r="BS218" s="180" t="s">
        <v>2612</v>
      </c>
      <c r="BT218" s="180" t="s">
        <v>2613</v>
      </c>
      <c r="BU218" s="180" t="s">
        <v>2346</v>
      </c>
      <c r="BV218" s="180" t="s">
        <v>2347</v>
      </c>
      <c r="BW218" s="180" t="s">
        <v>2348</v>
      </c>
      <c r="BX218" s="180" t="s">
        <v>2349</v>
      </c>
      <c r="BY218" s="180" t="s">
        <v>2350</v>
      </c>
      <c r="BZ218" s="180" t="s">
        <v>2351</v>
      </c>
      <c r="CA218" s="180" t="s">
        <v>2614</v>
      </c>
      <c r="CB218" s="180" t="s">
        <v>2615</v>
      </c>
      <c r="CC218" s="180"/>
      <c r="CD218" s="180" t="s">
        <v>2354</v>
      </c>
      <c r="CE218" s="180"/>
      <c r="CF218" s="180"/>
      <c r="CG218" s="180"/>
      <c r="CH218" s="180"/>
      <c r="CI218" s="180"/>
      <c r="CJ218" s="180"/>
      <c r="CK218" s="180"/>
      <c r="CL218" s="180"/>
      <c r="CM218" s="180"/>
      <c r="CN218" s="180"/>
      <c r="CO218" s="180"/>
      <c r="CP218" s="180"/>
      <c r="CQ218" s="180"/>
      <c r="CR218" s="180"/>
      <c r="CS218" s="180"/>
      <c r="CT218" s="180"/>
      <c r="CU218" s="180"/>
    </row>
    <row r="219" spans="1:99" x14ac:dyDescent="0.3">
      <c r="A219" s="155">
        <v>962</v>
      </c>
      <c r="B219" s="180" t="s">
        <v>993</v>
      </c>
      <c r="C219" s="180"/>
      <c r="D219" s="180"/>
      <c r="E219" s="180" t="s">
        <v>997</v>
      </c>
      <c r="F219" s="180" t="s">
        <v>2616</v>
      </c>
      <c r="G219" s="180" t="s">
        <v>995</v>
      </c>
      <c r="H219" s="180" t="s">
        <v>995</v>
      </c>
      <c r="I219" s="180" t="s">
        <v>995</v>
      </c>
      <c r="J219" s="180" t="s">
        <v>995</v>
      </c>
      <c r="K219" s="180" t="s">
        <v>995</v>
      </c>
      <c r="L219" s="180" t="s">
        <v>995</v>
      </c>
      <c r="M219" s="180" t="s">
        <v>2103</v>
      </c>
      <c r="N219" s="180" t="s">
        <v>995</v>
      </c>
      <c r="O219" s="180" t="s">
        <v>995</v>
      </c>
      <c r="P219" s="180" t="s">
        <v>995</v>
      </c>
      <c r="Q219" s="180" t="s">
        <v>994</v>
      </c>
      <c r="R219" s="180" t="s">
        <v>2617</v>
      </c>
      <c r="S219" s="180" t="s">
        <v>994</v>
      </c>
      <c r="T219" s="180" t="s">
        <v>2618</v>
      </c>
      <c r="U219" s="180" t="s">
        <v>994</v>
      </c>
      <c r="V219" s="180" t="s">
        <v>994</v>
      </c>
      <c r="W219" s="180" t="s">
        <v>994</v>
      </c>
      <c r="X219" s="180"/>
      <c r="Y219" s="180" t="s">
        <v>994</v>
      </c>
      <c r="Z219" s="180" t="s">
        <v>998</v>
      </c>
      <c r="AA219" s="180" t="s">
        <v>994</v>
      </c>
      <c r="AB219" s="180" t="s">
        <v>995</v>
      </c>
      <c r="AC219" s="180" t="s">
        <v>995</v>
      </c>
      <c r="AD219" s="180" t="s">
        <v>1136</v>
      </c>
      <c r="AE219" s="180" t="s">
        <v>995</v>
      </c>
      <c r="AF219" s="180" t="s">
        <v>2619</v>
      </c>
      <c r="AG219" s="180" t="s">
        <v>994</v>
      </c>
      <c r="AH219" s="180" t="s">
        <v>2620</v>
      </c>
      <c r="AI219" s="180" t="s">
        <v>2128</v>
      </c>
      <c r="AJ219" s="180" t="s">
        <v>995</v>
      </c>
      <c r="AK219" s="180"/>
      <c r="AL219" s="180"/>
      <c r="AM219" s="180" t="s">
        <v>994</v>
      </c>
      <c r="AN219" s="180" t="s">
        <v>998</v>
      </c>
      <c r="AO219" s="180" t="s">
        <v>996</v>
      </c>
      <c r="AP219" s="180" t="s">
        <v>995</v>
      </c>
      <c r="AQ219" s="180" t="s">
        <v>995</v>
      </c>
      <c r="AR219" s="180" t="s">
        <v>995</v>
      </c>
      <c r="AS219" s="180"/>
      <c r="AT219" s="180" t="s">
        <v>995</v>
      </c>
      <c r="AU219" s="180" t="s">
        <v>2360</v>
      </c>
      <c r="AV219" s="180" t="s">
        <v>994</v>
      </c>
      <c r="AW219" s="180" t="s">
        <v>995</v>
      </c>
      <c r="AX219" s="180" t="s">
        <v>995</v>
      </c>
      <c r="AY219" s="180" t="s">
        <v>995</v>
      </c>
      <c r="AZ219" s="180" t="s">
        <v>2621</v>
      </c>
      <c r="BA219" s="180" t="s">
        <v>2103</v>
      </c>
      <c r="BB219" s="180" t="s">
        <v>998</v>
      </c>
      <c r="BC219" s="180" t="s">
        <v>995</v>
      </c>
      <c r="BD219" s="180" t="s">
        <v>994</v>
      </c>
      <c r="BE219" s="180" t="s">
        <v>997</v>
      </c>
      <c r="BF219" s="180" t="s">
        <v>995</v>
      </c>
      <c r="BG219" s="180" t="s">
        <v>998</v>
      </c>
      <c r="BH219" s="180" t="s">
        <v>995</v>
      </c>
      <c r="BI219" s="180" t="s">
        <v>995</v>
      </c>
      <c r="BJ219" s="180" t="s">
        <v>995</v>
      </c>
      <c r="BK219" s="180" t="s">
        <v>995</v>
      </c>
      <c r="BL219" s="180"/>
      <c r="BM219" s="180" t="s">
        <v>2622</v>
      </c>
      <c r="BN219" s="180" t="s">
        <v>2362</v>
      </c>
      <c r="BO219" s="180" t="s">
        <v>997</v>
      </c>
      <c r="BP219" s="180" t="s">
        <v>995</v>
      </c>
      <c r="BQ219" s="180" t="s">
        <v>2052</v>
      </c>
      <c r="BR219" s="180" t="s">
        <v>995</v>
      </c>
      <c r="BS219" s="180" t="s">
        <v>994</v>
      </c>
      <c r="BT219" s="180" t="s">
        <v>997</v>
      </c>
      <c r="BU219" s="180" t="s">
        <v>995</v>
      </c>
      <c r="BV219" s="180" t="s">
        <v>995</v>
      </c>
      <c r="BW219" s="180" t="s">
        <v>2623</v>
      </c>
      <c r="BX219" s="180" t="s">
        <v>998</v>
      </c>
      <c r="BY219" s="180" t="s">
        <v>2624</v>
      </c>
      <c r="BZ219" s="180" t="s">
        <v>995</v>
      </c>
      <c r="CA219" s="180" t="s">
        <v>2625</v>
      </c>
      <c r="CB219" s="180" t="s">
        <v>1136</v>
      </c>
      <c r="CC219" s="180"/>
      <c r="CD219" s="180" t="s">
        <v>995</v>
      </c>
      <c r="CE219" s="180"/>
      <c r="CF219" s="180"/>
      <c r="CG219" s="180"/>
      <c r="CH219" s="180"/>
      <c r="CI219" s="180"/>
      <c r="CJ219" s="180"/>
      <c r="CK219" s="180"/>
      <c r="CL219" s="180"/>
      <c r="CM219" s="180"/>
      <c r="CN219" s="180"/>
      <c r="CO219" s="180"/>
      <c r="CP219" s="180"/>
      <c r="CQ219" s="180"/>
      <c r="CR219" s="180"/>
      <c r="CS219" s="180"/>
      <c r="CT219" s="180"/>
      <c r="CU219" s="180"/>
    </row>
    <row r="220" spans="1:99" x14ac:dyDescent="0.3">
      <c r="A220" s="155">
        <v>964</v>
      </c>
      <c r="B220" s="180" t="s">
        <v>999</v>
      </c>
      <c r="C220" s="180"/>
      <c r="D220" s="180"/>
      <c r="E220" s="180" t="s">
        <v>2020</v>
      </c>
      <c r="F220" s="180" t="s">
        <v>2626</v>
      </c>
      <c r="G220" s="180" t="s">
        <v>2075</v>
      </c>
      <c r="H220" s="180" t="s">
        <v>2627</v>
      </c>
      <c r="I220" s="180" t="s">
        <v>1691</v>
      </c>
      <c r="J220" s="180" t="s">
        <v>1684</v>
      </c>
      <c r="K220" s="180" t="s">
        <v>1683</v>
      </c>
      <c r="L220" s="180" t="s">
        <v>2075</v>
      </c>
      <c r="M220" s="180" t="s">
        <v>1689</v>
      </c>
      <c r="N220" s="180" t="s">
        <v>1689</v>
      </c>
      <c r="O220" s="180" t="s">
        <v>1692</v>
      </c>
      <c r="P220" s="180" t="s">
        <v>1690</v>
      </c>
      <c r="Q220" s="180" t="s">
        <v>2068</v>
      </c>
      <c r="R220" s="180" t="s">
        <v>2135</v>
      </c>
      <c r="S220" s="180" t="s">
        <v>2131</v>
      </c>
      <c r="T220" s="180" t="s">
        <v>1690</v>
      </c>
      <c r="U220" s="180" t="s">
        <v>2077</v>
      </c>
      <c r="V220" s="180" t="s">
        <v>1689</v>
      </c>
      <c r="W220" s="180" t="s">
        <v>2628</v>
      </c>
      <c r="X220" s="180"/>
      <c r="Y220" s="180" t="s">
        <v>2629</v>
      </c>
      <c r="Z220" s="180" t="s">
        <v>2585</v>
      </c>
      <c r="AA220" s="180" t="s">
        <v>2132</v>
      </c>
      <c r="AB220" s="180" t="s">
        <v>2079</v>
      </c>
      <c r="AC220" s="180" t="s">
        <v>1703</v>
      </c>
      <c r="AD220" s="180" t="s">
        <v>2630</v>
      </c>
      <c r="AE220" s="180" t="s">
        <v>1699</v>
      </c>
      <c r="AF220" s="180" t="s">
        <v>1682</v>
      </c>
      <c r="AG220" s="180" t="s">
        <v>2631</v>
      </c>
      <c r="AH220" s="180" t="s">
        <v>2632</v>
      </c>
      <c r="AI220" s="180" t="s">
        <v>1692</v>
      </c>
      <c r="AJ220" s="180" t="s">
        <v>2134</v>
      </c>
      <c r="AK220" s="180"/>
      <c r="AL220" s="180"/>
      <c r="AM220" s="180" t="s">
        <v>1692</v>
      </c>
      <c r="AN220" s="180" t="s">
        <v>1688</v>
      </c>
      <c r="AO220" s="180" t="s">
        <v>2633</v>
      </c>
      <c r="AP220" s="180" t="s">
        <v>1703</v>
      </c>
      <c r="AQ220" s="180" t="s">
        <v>2106</v>
      </c>
      <c r="AR220" s="180" t="s">
        <v>2634</v>
      </c>
      <c r="AS220" s="180"/>
      <c r="AT220" s="180" t="s">
        <v>2635</v>
      </c>
      <c r="AU220" s="180" t="s">
        <v>1688</v>
      </c>
      <c r="AV220" s="180" t="s">
        <v>1020</v>
      </c>
      <c r="AW220" s="180" t="s">
        <v>1685</v>
      </c>
      <c r="AX220" s="180" t="s">
        <v>2067</v>
      </c>
      <c r="AY220" s="180" t="s">
        <v>1699</v>
      </c>
      <c r="AZ220" s="180" t="s">
        <v>2636</v>
      </c>
      <c r="BA220" s="180" t="s">
        <v>2637</v>
      </c>
      <c r="BB220" s="180" t="s">
        <v>2638</v>
      </c>
      <c r="BC220" s="180" t="s">
        <v>2006</v>
      </c>
      <c r="BD220" s="180" t="s">
        <v>2639</v>
      </c>
      <c r="BE220" s="180" t="s">
        <v>2130</v>
      </c>
      <c r="BF220" s="180" t="s">
        <v>2115</v>
      </c>
      <c r="BG220" s="180" t="s">
        <v>2739</v>
      </c>
      <c r="BH220" s="180" t="s">
        <v>1683</v>
      </c>
      <c r="BI220" s="180" t="s">
        <v>1689</v>
      </c>
      <c r="BJ220" s="180" t="s">
        <v>1683</v>
      </c>
      <c r="BK220" s="180" t="s">
        <v>2640</v>
      </c>
      <c r="BL220" s="180"/>
      <c r="BM220" s="180" t="s">
        <v>2078</v>
      </c>
      <c r="BN220" s="180" t="s">
        <v>2627</v>
      </c>
      <c r="BO220" s="180" t="s">
        <v>1689</v>
      </c>
      <c r="BP220" s="180" t="s">
        <v>1696</v>
      </c>
      <c r="BQ220" s="180" t="s">
        <v>2628</v>
      </c>
      <c r="BR220" s="180" t="s">
        <v>2114</v>
      </c>
      <c r="BS220" s="180" t="s">
        <v>1703</v>
      </c>
      <c r="BT220" s="180" t="s">
        <v>2641</v>
      </c>
      <c r="BU220" s="180" t="s">
        <v>2020</v>
      </c>
      <c r="BV220" s="180" t="s">
        <v>2135</v>
      </c>
      <c r="BW220" s="180" t="s">
        <v>2642</v>
      </c>
      <c r="BX220" s="180" t="s">
        <v>2586</v>
      </c>
      <c r="BY220" s="180" t="s">
        <v>2076</v>
      </c>
      <c r="BZ220" s="180" t="s">
        <v>2018</v>
      </c>
      <c r="CA220" s="180" t="s">
        <v>1688</v>
      </c>
      <c r="CB220" s="180" t="s">
        <v>1691</v>
      </c>
      <c r="CC220" s="180"/>
      <c r="CD220" s="180" t="s">
        <v>2643</v>
      </c>
      <c r="CE220" s="180"/>
      <c r="CF220" s="180"/>
      <c r="CG220" s="180"/>
      <c r="CH220" s="180"/>
      <c r="CI220" s="180"/>
      <c r="CJ220" s="180"/>
      <c r="CK220" s="180"/>
      <c r="CL220" s="180"/>
      <c r="CM220" s="180"/>
      <c r="CN220" s="180"/>
      <c r="CO220" s="180"/>
      <c r="CP220" s="180"/>
      <c r="CQ220" s="180"/>
      <c r="CR220" s="180"/>
      <c r="CS220" s="180"/>
      <c r="CT220" s="180"/>
      <c r="CU220" s="180"/>
    </row>
    <row r="221" spans="1:99" x14ac:dyDescent="0.3">
      <c r="A221" s="155">
        <v>966</v>
      </c>
      <c r="B221" s="180" t="s">
        <v>1010</v>
      </c>
      <c r="C221" s="180"/>
      <c r="D221" s="180"/>
      <c r="E221" s="180" t="s">
        <v>2390</v>
      </c>
      <c r="F221" s="180" t="s">
        <v>2644</v>
      </c>
      <c r="G221" s="180" t="s">
        <v>2645</v>
      </c>
      <c r="H221" s="180" t="s">
        <v>2646</v>
      </c>
      <c r="I221" s="180" t="s">
        <v>2393</v>
      </c>
      <c r="J221" s="180" t="s">
        <v>2394</v>
      </c>
      <c r="K221" s="180" t="s">
        <v>2395</v>
      </c>
      <c r="L221" s="180" t="s">
        <v>2396</v>
      </c>
      <c r="M221" s="180" t="s">
        <v>2397</v>
      </c>
      <c r="N221" s="180" t="s">
        <v>2398</v>
      </c>
      <c r="O221" s="180" t="s">
        <v>2399</v>
      </c>
      <c r="P221" s="180" t="s">
        <v>2400</v>
      </c>
      <c r="Q221" s="180" t="s">
        <v>2401</v>
      </c>
      <c r="R221" s="180" t="s">
        <v>2647</v>
      </c>
      <c r="S221" s="180" t="s">
        <v>2403</v>
      </c>
      <c r="T221" s="180" t="s">
        <v>2648</v>
      </c>
      <c r="U221" s="180" t="s">
        <v>2405</v>
      </c>
      <c r="V221" s="180" t="s">
        <v>2406</v>
      </c>
      <c r="W221" s="180" t="s">
        <v>2407</v>
      </c>
      <c r="X221" s="180"/>
      <c r="Y221" s="180" t="s">
        <v>2408</v>
      </c>
      <c r="Z221" s="180" t="s">
        <v>2409</v>
      </c>
      <c r="AA221" s="180" t="s">
        <v>2410</v>
      </c>
      <c r="AB221" s="180" t="s">
        <v>2649</v>
      </c>
      <c r="AC221" s="180" t="s">
        <v>2412</v>
      </c>
      <c r="AD221" s="180" t="s">
        <v>2413</v>
      </c>
      <c r="AE221" s="180" t="s">
        <v>2414</v>
      </c>
      <c r="AF221" s="180" t="s">
        <v>2415</v>
      </c>
      <c r="AG221" s="180" t="s">
        <v>2650</v>
      </c>
      <c r="AH221" s="180" t="s">
        <v>2651</v>
      </c>
      <c r="AI221" s="180" t="s">
        <v>2418</v>
      </c>
      <c r="AJ221" s="180" t="s">
        <v>2419</v>
      </c>
      <c r="AK221" s="180"/>
      <c r="AL221" s="180"/>
      <c r="AM221" s="180" t="s">
        <v>2652</v>
      </c>
      <c r="AN221" s="180" t="s">
        <v>2422</v>
      </c>
      <c r="AO221" s="180"/>
      <c r="AP221" s="180" t="s">
        <v>2423</v>
      </c>
      <c r="AQ221" s="180" t="s">
        <v>2424</v>
      </c>
      <c r="AR221" s="180" t="s">
        <v>2425</v>
      </c>
      <c r="AS221" s="180"/>
      <c r="AT221" s="180" t="s">
        <v>2427</v>
      </c>
      <c r="AU221" s="180" t="s">
        <v>2428</v>
      </c>
      <c r="AV221" s="180" t="s">
        <v>2429</v>
      </c>
      <c r="AW221" s="180" t="s">
        <v>2430</v>
      </c>
      <c r="AX221" s="180" t="s">
        <v>2431</v>
      </c>
      <c r="AY221" s="180" t="s">
        <v>2432</v>
      </c>
      <c r="AZ221" s="180" t="s">
        <v>2653</v>
      </c>
      <c r="BA221" s="180" t="s">
        <v>2434</v>
      </c>
      <c r="BB221" s="180" t="s">
        <v>2435</v>
      </c>
      <c r="BC221" s="180" t="s">
        <v>2436</v>
      </c>
      <c r="BD221" s="180" t="s">
        <v>2437</v>
      </c>
      <c r="BE221" s="180"/>
      <c r="BF221" s="180" t="s">
        <v>2439</v>
      </c>
      <c r="BG221" s="180" t="s">
        <v>2440</v>
      </c>
      <c r="BH221" s="180" t="s">
        <v>2441</v>
      </c>
      <c r="BI221" s="180" t="s">
        <v>2442</v>
      </c>
      <c r="BJ221" s="180" t="s">
        <v>2443</v>
      </c>
      <c r="BK221" s="180" t="s">
        <v>2444</v>
      </c>
      <c r="BL221" s="180"/>
      <c r="BM221" s="180" t="s">
        <v>2446</v>
      </c>
      <c r="BN221" s="180" t="s">
        <v>2447</v>
      </c>
      <c r="BO221" s="180" t="s">
        <v>2448</v>
      </c>
      <c r="BP221" s="180" t="s">
        <v>2449</v>
      </c>
      <c r="BQ221" s="180" t="s">
        <v>2450</v>
      </c>
      <c r="BR221" s="180" t="s">
        <v>2451</v>
      </c>
      <c r="BS221" s="180" t="s">
        <v>2452</v>
      </c>
      <c r="BT221" s="180" t="s">
        <v>2453</v>
      </c>
      <c r="BU221" s="180" t="s">
        <v>2454</v>
      </c>
      <c r="BV221" s="180"/>
      <c r="BW221" s="180" t="s">
        <v>2654</v>
      </c>
      <c r="BX221" s="180" t="s">
        <v>2456</v>
      </c>
      <c r="BY221" s="180" t="s">
        <v>2457</v>
      </c>
      <c r="BZ221" s="180" t="s">
        <v>2458</v>
      </c>
      <c r="CA221" s="180" t="s">
        <v>2459</v>
      </c>
      <c r="CB221" s="180" t="s">
        <v>2460</v>
      </c>
      <c r="CC221" s="180"/>
      <c r="CD221" s="180" t="s">
        <v>2461</v>
      </c>
      <c r="CE221" s="180"/>
      <c r="CF221" s="180"/>
      <c r="CG221" s="180"/>
      <c r="CH221" s="180"/>
      <c r="CI221" s="180"/>
      <c r="CJ221" s="180"/>
      <c r="CK221" s="180"/>
      <c r="CL221" s="180"/>
      <c r="CM221" s="180"/>
      <c r="CN221" s="180"/>
      <c r="CO221" s="180"/>
      <c r="CP221" s="180"/>
      <c r="CQ221" s="180"/>
      <c r="CR221" s="180"/>
      <c r="CS221" s="180"/>
      <c r="CT221" s="180"/>
      <c r="CU221" s="180"/>
    </row>
    <row r="222" spans="1:99" x14ac:dyDescent="0.3">
      <c r="A222" s="155">
        <v>968</v>
      </c>
      <c r="B222" s="180" t="s">
        <v>1011</v>
      </c>
      <c r="C222" s="180"/>
      <c r="D222" s="180"/>
      <c r="E222" s="180" t="s">
        <v>2463</v>
      </c>
      <c r="F222" s="180" t="s">
        <v>2464</v>
      </c>
      <c r="G222" s="180" t="s">
        <v>2465</v>
      </c>
      <c r="H222" s="180" t="s">
        <v>2466</v>
      </c>
      <c r="I222" s="180" t="s">
        <v>2467</v>
      </c>
      <c r="J222" s="180" t="s">
        <v>2655</v>
      </c>
      <c r="K222" s="180" t="s">
        <v>2469</v>
      </c>
      <c r="L222" s="180" t="s">
        <v>2470</v>
      </c>
      <c r="M222" s="180" t="s">
        <v>2471</v>
      </c>
      <c r="N222" s="180" t="s">
        <v>2656</v>
      </c>
      <c r="O222" s="180" t="s">
        <v>2473</v>
      </c>
      <c r="P222" s="180" t="s">
        <v>2474</v>
      </c>
      <c r="Q222" s="180" t="s">
        <v>2475</v>
      </c>
      <c r="R222" s="180" t="s">
        <v>2657</v>
      </c>
      <c r="S222" s="180" t="s">
        <v>2477</v>
      </c>
      <c r="T222" s="180" t="s">
        <v>2658</v>
      </c>
      <c r="U222" s="180" t="s">
        <v>2479</v>
      </c>
      <c r="V222" s="180" t="s">
        <v>2659</v>
      </c>
      <c r="W222" s="180" t="s">
        <v>2481</v>
      </c>
      <c r="X222" s="180"/>
      <c r="Y222" s="180" t="s">
        <v>2482</v>
      </c>
      <c r="Z222" s="180" t="s">
        <v>2483</v>
      </c>
      <c r="AA222" s="180" t="s">
        <v>2484</v>
      </c>
      <c r="AB222" s="180" t="s">
        <v>2660</v>
      </c>
      <c r="AC222" s="180" t="s">
        <v>2486</v>
      </c>
      <c r="AD222" s="180" t="s">
        <v>2487</v>
      </c>
      <c r="AE222" s="180" t="s">
        <v>2488</v>
      </c>
      <c r="AF222" s="180" t="s">
        <v>2489</v>
      </c>
      <c r="AG222" s="180" t="s">
        <v>2490</v>
      </c>
      <c r="AH222" s="180" t="s">
        <v>2661</v>
      </c>
      <c r="AI222" s="180" t="s">
        <v>2492</v>
      </c>
      <c r="AJ222" s="180" t="s">
        <v>2493</v>
      </c>
      <c r="AK222" s="180"/>
      <c r="AL222" s="180"/>
      <c r="AM222" s="180" t="s">
        <v>2662</v>
      </c>
      <c r="AN222" s="180" t="s">
        <v>2496</v>
      </c>
      <c r="AO222" s="180" t="s">
        <v>2663</v>
      </c>
      <c r="AP222" s="180" t="s">
        <v>2498</v>
      </c>
      <c r="AQ222" s="180" t="s">
        <v>2664</v>
      </c>
      <c r="AR222" s="180" t="s">
        <v>2500</v>
      </c>
      <c r="AS222" s="180"/>
      <c r="AT222" s="180" t="s">
        <v>2502</v>
      </c>
      <c r="AU222" s="180" t="s">
        <v>2503</v>
      </c>
      <c r="AV222" s="180" t="s">
        <v>2504</v>
      </c>
      <c r="AW222" s="180" t="s">
        <v>2665</v>
      </c>
      <c r="AX222" s="180" t="s">
        <v>2506</v>
      </c>
      <c r="AY222" s="180" t="s">
        <v>2666</v>
      </c>
      <c r="AZ222" s="180" t="s">
        <v>2667</v>
      </c>
      <c r="BA222" s="180" t="s">
        <v>2509</v>
      </c>
      <c r="BB222" s="180" t="s">
        <v>2510</v>
      </c>
      <c r="BC222" s="180" t="s">
        <v>2511</v>
      </c>
      <c r="BD222" s="180" t="s">
        <v>2512</v>
      </c>
      <c r="BE222" s="180" t="s">
        <v>2513</v>
      </c>
      <c r="BF222" s="180" t="s">
        <v>2514</v>
      </c>
      <c r="BG222" s="180" t="s">
        <v>2515</v>
      </c>
      <c r="BH222" s="180" t="s">
        <v>2516</v>
      </c>
      <c r="BI222" s="180" t="s">
        <v>2517</v>
      </c>
      <c r="BJ222" s="180" t="s">
        <v>2668</v>
      </c>
      <c r="BK222" s="180" t="s">
        <v>2669</v>
      </c>
      <c r="BL222" s="180"/>
      <c r="BM222" s="180" t="s">
        <v>2521</v>
      </c>
      <c r="BN222" s="180" t="s">
        <v>2522</v>
      </c>
      <c r="BO222" s="180" t="s">
        <v>2523</v>
      </c>
      <c r="BP222" s="180" t="s">
        <v>2524</v>
      </c>
      <c r="BQ222" s="180" t="s">
        <v>2525</v>
      </c>
      <c r="BR222" s="180" t="s">
        <v>2526</v>
      </c>
      <c r="BS222" s="180" t="s">
        <v>2670</v>
      </c>
      <c r="BT222" s="180" t="s">
        <v>2528</v>
      </c>
      <c r="BU222" s="180" t="s">
        <v>2529</v>
      </c>
      <c r="BV222" s="180" t="s">
        <v>2530</v>
      </c>
      <c r="BW222" s="180" t="s">
        <v>2671</v>
      </c>
      <c r="BX222" s="180" t="s">
        <v>2532</v>
      </c>
      <c r="BY222" s="180" t="s">
        <v>2672</v>
      </c>
      <c r="BZ222" s="180" t="s">
        <v>2673</v>
      </c>
      <c r="CA222" s="180" t="s">
        <v>2674</v>
      </c>
      <c r="CB222" s="180" t="s">
        <v>2675</v>
      </c>
      <c r="CC222" s="180"/>
      <c r="CD222" s="180" t="s">
        <v>2537</v>
      </c>
      <c r="CE222" s="180"/>
      <c r="CF222" s="180"/>
      <c r="CG222" s="180"/>
      <c r="CH222" s="180"/>
      <c r="CI222" s="180"/>
      <c r="CJ222" s="180"/>
      <c r="CK222" s="180"/>
      <c r="CL222" s="180"/>
      <c r="CM222" s="180"/>
      <c r="CN222" s="180"/>
      <c r="CO222" s="180"/>
      <c r="CP222" s="180"/>
      <c r="CQ222" s="180"/>
      <c r="CR222" s="180"/>
      <c r="CS222" s="180"/>
      <c r="CT222" s="180"/>
      <c r="CU222" s="180"/>
    </row>
    <row r="223" spans="1:99" s="557" customFormat="1" x14ac:dyDescent="0.3">
      <c r="A223" s="556">
        <v>973</v>
      </c>
      <c r="B223" s="557" t="s">
        <v>1695</v>
      </c>
      <c r="E223" s="557">
        <v>0</v>
      </c>
      <c r="F223" s="557">
        <v>0</v>
      </c>
      <c r="G223" s="557">
        <v>0</v>
      </c>
      <c r="H223" s="557">
        <v>0</v>
      </c>
      <c r="I223" s="557">
        <v>0</v>
      </c>
      <c r="J223" s="557">
        <v>0</v>
      </c>
      <c r="K223" s="557">
        <v>0</v>
      </c>
      <c r="L223" s="557">
        <v>0</v>
      </c>
      <c r="M223" s="557">
        <v>0</v>
      </c>
      <c r="N223" s="557">
        <v>0</v>
      </c>
      <c r="O223" s="557">
        <v>0</v>
      </c>
      <c r="P223" s="557">
        <v>1</v>
      </c>
      <c r="Q223" s="557">
        <v>0</v>
      </c>
      <c r="R223" s="557">
        <v>0</v>
      </c>
      <c r="S223" s="557">
        <v>0</v>
      </c>
      <c r="T223" s="557">
        <v>0</v>
      </c>
      <c r="U223" s="557">
        <v>0</v>
      </c>
      <c r="V223" s="557">
        <v>0</v>
      </c>
      <c r="W223" s="557">
        <v>0</v>
      </c>
      <c r="Y223" s="557">
        <v>0</v>
      </c>
      <c r="Z223" s="557">
        <v>1</v>
      </c>
      <c r="AA223" s="557">
        <v>0</v>
      </c>
      <c r="AB223" s="557">
        <v>0</v>
      </c>
      <c r="AC223" s="557">
        <v>0</v>
      </c>
      <c r="AD223" s="557">
        <v>0</v>
      </c>
      <c r="AE223" s="557">
        <v>0</v>
      </c>
      <c r="AF223" s="557">
        <v>0</v>
      </c>
      <c r="AG223" s="557">
        <v>1</v>
      </c>
      <c r="AH223" s="557">
        <v>0</v>
      </c>
      <c r="AI223" s="557">
        <v>0</v>
      </c>
      <c r="AJ223" s="557">
        <v>0</v>
      </c>
      <c r="AM223" s="557">
        <v>0</v>
      </c>
      <c r="AN223" s="557">
        <v>0</v>
      </c>
      <c r="AO223" s="557">
        <v>0</v>
      </c>
      <c r="AP223" s="557">
        <v>0</v>
      </c>
      <c r="AQ223" s="557">
        <v>0</v>
      </c>
      <c r="AR223" s="557">
        <v>0</v>
      </c>
      <c r="AT223" s="557">
        <v>1</v>
      </c>
      <c r="AU223" s="557">
        <v>0</v>
      </c>
      <c r="AV223" s="557">
        <v>0</v>
      </c>
      <c r="AW223" s="557">
        <v>0</v>
      </c>
      <c r="AX223" s="557">
        <v>0</v>
      </c>
      <c r="AY223" s="557">
        <v>0</v>
      </c>
      <c r="AZ223" s="557">
        <v>0</v>
      </c>
      <c r="BA223" s="557">
        <v>0</v>
      </c>
      <c r="BB223" s="557">
        <v>0</v>
      </c>
      <c r="BC223" s="557">
        <v>0</v>
      </c>
      <c r="BD223" s="557">
        <v>0</v>
      </c>
      <c r="BE223" s="557">
        <v>0</v>
      </c>
      <c r="BF223" s="557">
        <v>0</v>
      </c>
      <c r="BG223" s="557">
        <v>0</v>
      </c>
      <c r="BH223" s="557">
        <v>0</v>
      </c>
      <c r="BI223" s="557">
        <v>0</v>
      </c>
      <c r="BJ223" s="557">
        <v>0</v>
      </c>
      <c r="BK223" s="557">
        <v>0</v>
      </c>
      <c r="BM223" s="557">
        <v>0</v>
      </c>
      <c r="BN223" s="557">
        <v>0</v>
      </c>
      <c r="BO223" s="557">
        <v>0</v>
      </c>
      <c r="BP223" s="557">
        <v>0</v>
      </c>
      <c r="BQ223" s="557">
        <v>0</v>
      </c>
      <c r="BR223" s="557">
        <v>0</v>
      </c>
      <c r="BS223" s="557">
        <v>0</v>
      </c>
      <c r="BT223" s="557">
        <v>1</v>
      </c>
      <c r="BU223" s="557">
        <v>0</v>
      </c>
      <c r="BV223" s="557">
        <v>0</v>
      </c>
      <c r="BW223" s="557">
        <v>0</v>
      </c>
      <c r="BX223" s="557">
        <v>0</v>
      </c>
      <c r="BY223" s="557">
        <v>0</v>
      </c>
      <c r="BZ223" s="557">
        <v>0</v>
      </c>
      <c r="CA223" s="557">
        <v>0</v>
      </c>
      <c r="CB223" s="557">
        <v>0</v>
      </c>
      <c r="CD223" s="557">
        <v>0</v>
      </c>
    </row>
    <row r="224" spans="1:99" s="557" customFormat="1" x14ac:dyDescent="0.3">
      <c r="A224" s="556">
        <v>974</v>
      </c>
      <c r="B224" s="557" t="s">
        <v>1012</v>
      </c>
      <c r="E224" s="557">
        <v>2</v>
      </c>
      <c r="F224" s="557">
        <v>2</v>
      </c>
      <c r="G224" s="557">
        <v>2</v>
      </c>
      <c r="H224" s="557">
        <v>2</v>
      </c>
      <c r="I224" s="557">
        <v>3</v>
      </c>
      <c r="J224" s="557">
        <v>2</v>
      </c>
      <c r="K224" s="557">
        <v>3</v>
      </c>
      <c r="L224" s="557">
        <v>3</v>
      </c>
      <c r="M224" s="557">
        <v>2</v>
      </c>
      <c r="N224" s="557">
        <v>2</v>
      </c>
      <c r="O224" s="557">
        <v>3</v>
      </c>
      <c r="P224" s="557">
        <v>3</v>
      </c>
      <c r="Q224" s="557">
        <v>2</v>
      </c>
      <c r="R224" s="557">
        <v>2</v>
      </c>
      <c r="S224" s="557">
        <v>3</v>
      </c>
      <c r="T224" s="557">
        <v>2</v>
      </c>
      <c r="U224" s="557">
        <v>2</v>
      </c>
      <c r="V224" s="557">
        <v>2</v>
      </c>
      <c r="W224" s="557">
        <v>2</v>
      </c>
      <c r="Y224" s="557">
        <v>2</v>
      </c>
      <c r="Z224" s="557">
        <v>2</v>
      </c>
      <c r="AA224" s="557">
        <v>2</v>
      </c>
      <c r="AB224" s="557">
        <v>2</v>
      </c>
      <c r="AC224" s="557">
        <v>3</v>
      </c>
      <c r="AD224" s="557">
        <v>2</v>
      </c>
      <c r="AE224" s="557">
        <v>2</v>
      </c>
      <c r="AF224" s="557">
        <v>3</v>
      </c>
      <c r="AG224" s="557">
        <v>2</v>
      </c>
      <c r="AH224" s="557">
        <v>2</v>
      </c>
      <c r="AI224" s="557">
        <v>2</v>
      </c>
      <c r="AJ224" s="557">
        <v>3</v>
      </c>
      <c r="AM224" s="557">
        <v>2</v>
      </c>
      <c r="AN224" s="557">
        <v>2</v>
      </c>
      <c r="AO224" s="557">
        <v>2</v>
      </c>
      <c r="AP224" s="557">
        <v>2</v>
      </c>
      <c r="AQ224" s="557">
        <v>2</v>
      </c>
      <c r="AR224" s="557">
        <v>2</v>
      </c>
      <c r="AT224" s="557">
        <v>2</v>
      </c>
      <c r="AU224" s="557">
        <v>3</v>
      </c>
      <c r="AV224" s="557">
        <v>2</v>
      </c>
      <c r="AW224" s="557">
        <v>2</v>
      </c>
      <c r="AX224" s="557">
        <v>2</v>
      </c>
      <c r="AY224" s="557">
        <v>2</v>
      </c>
      <c r="AZ224" s="557">
        <v>2</v>
      </c>
      <c r="BA224" s="557">
        <v>3</v>
      </c>
      <c r="BB224" s="557">
        <v>3</v>
      </c>
      <c r="BC224" s="557">
        <v>2</v>
      </c>
      <c r="BD224" s="557">
        <v>2</v>
      </c>
      <c r="BE224" s="557">
        <v>2</v>
      </c>
      <c r="BF224" s="557">
        <v>2</v>
      </c>
      <c r="BG224" s="557">
        <v>3</v>
      </c>
      <c r="BH224" s="557">
        <v>3</v>
      </c>
      <c r="BI224" s="557">
        <v>2</v>
      </c>
      <c r="BJ224" s="557">
        <v>2</v>
      </c>
      <c r="BK224" s="557">
        <v>2</v>
      </c>
      <c r="BM224" s="557">
        <v>2</v>
      </c>
      <c r="BN224" s="557">
        <v>2</v>
      </c>
      <c r="BO224" s="557">
        <v>2</v>
      </c>
      <c r="BP224" s="557">
        <v>2</v>
      </c>
      <c r="BQ224" s="557">
        <v>2</v>
      </c>
      <c r="BR224" s="557">
        <v>2</v>
      </c>
      <c r="BS224" s="557">
        <v>2</v>
      </c>
      <c r="BT224" s="557">
        <v>2</v>
      </c>
      <c r="BU224" s="557">
        <v>2</v>
      </c>
      <c r="BV224" s="557">
        <v>3</v>
      </c>
      <c r="BW224" s="557">
        <v>2</v>
      </c>
      <c r="BX224" s="557">
        <v>2</v>
      </c>
      <c r="BY224" s="557">
        <v>3</v>
      </c>
      <c r="BZ224" s="557">
        <v>2</v>
      </c>
      <c r="CA224" s="557">
        <v>2</v>
      </c>
      <c r="CB224" s="557">
        <v>2</v>
      </c>
      <c r="CD224" s="557">
        <v>2</v>
      </c>
    </row>
    <row r="225" spans="1:99" s="557" customFormat="1" x14ac:dyDescent="0.3">
      <c r="A225" s="556">
        <v>975</v>
      </c>
      <c r="B225" s="557" t="s">
        <v>606</v>
      </c>
      <c r="E225" s="557">
        <v>1</v>
      </c>
      <c r="F225" s="557">
        <v>1</v>
      </c>
      <c r="G225" s="557">
        <v>2</v>
      </c>
      <c r="H225" s="557">
        <v>2</v>
      </c>
      <c r="I225" s="557">
        <v>2</v>
      </c>
      <c r="J225" s="557">
        <v>1</v>
      </c>
      <c r="K225" s="557">
        <v>2</v>
      </c>
      <c r="L225" s="557">
        <v>2</v>
      </c>
      <c r="M225" s="557">
        <v>2</v>
      </c>
      <c r="N225" s="557">
        <v>2</v>
      </c>
      <c r="O225" s="557">
        <v>2</v>
      </c>
      <c r="P225" s="557">
        <v>1</v>
      </c>
      <c r="Q225" s="557">
        <v>2</v>
      </c>
      <c r="R225" s="557">
        <v>1</v>
      </c>
      <c r="S225" s="557">
        <v>2</v>
      </c>
      <c r="T225" s="557">
        <v>2</v>
      </c>
      <c r="U225" s="557">
        <v>1</v>
      </c>
      <c r="V225" s="557">
        <v>1</v>
      </c>
      <c r="W225" s="557">
        <v>2</v>
      </c>
      <c r="Y225" s="557">
        <v>2</v>
      </c>
      <c r="Z225" s="557">
        <v>1</v>
      </c>
      <c r="AA225" s="557">
        <v>2</v>
      </c>
      <c r="AB225" s="557">
        <v>1</v>
      </c>
      <c r="AC225" s="557">
        <v>2</v>
      </c>
      <c r="AD225" s="557">
        <v>1</v>
      </c>
      <c r="AE225" s="557">
        <v>2</v>
      </c>
      <c r="AF225" s="557">
        <v>1</v>
      </c>
      <c r="AG225" s="557">
        <v>1</v>
      </c>
      <c r="AH225" s="557">
        <v>1</v>
      </c>
      <c r="AI225" s="557">
        <v>1</v>
      </c>
      <c r="AJ225" s="557">
        <v>1</v>
      </c>
      <c r="AM225" s="557">
        <v>1</v>
      </c>
      <c r="AN225" s="557">
        <v>1</v>
      </c>
      <c r="AO225" s="557">
        <v>1</v>
      </c>
      <c r="AP225" s="557">
        <v>2</v>
      </c>
      <c r="AQ225" s="557">
        <v>1</v>
      </c>
      <c r="AR225" s="557">
        <v>1</v>
      </c>
      <c r="AT225" s="557">
        <v>1</v>
      </c>
      <c r="AU225" s="557">
        <v>1</v>
      </c>
      <c r="AV225" s="557">
        <v>2</v>
      </c>
      <c r="AW225" s="557">
        <v>2</v>
      </c>
      <c r="AX225" s="557">
        <v>2</v>
      </c>
      <c r="AY225" s="557">
        <v>2</v>
      </c>
      <c r="AZ225" s="557">
        <v>1</v>
      </c>
      <c r="BA225" s="557">
        <v>1</v>
      </c>
      <c r="BB225" s="557">
        <v>1</v>
      </c>
      <c r="BC225" s="557">
        <v>1</v>
      </c>
      <c r="BD225" s="557">
        <v>1</v>
      </c>
      <c r="BE225" s="557">
        <v>1</v>
      </c>
      <c r="BF225" s="557">
        <v>1</v>
      </c>
      <c r="BG225" s="557">
        <v>1</v>
      </c>
      <c r="BH225" s="557">
        <v>1</v>
      </c>
      <c r="BI225" s="557">
        <v>2</v>
      </c>
      <c r="BJ225" s="557">
        <v>2</v>
      </c>
      <c r="BK225" s="557">
        <v>1</v>
      </c>
      <c r="BM225" s="557">
        <v>1</v>
      </c>
      <c r="BN225" s="557">
        <v>1</v>
      </c>
      <c r="BO225" s="557">
        <v>1</v>
      </c>
      <c r="BP225" s="557">
        <v>1</v>
      </c>
      <c r="BQ225" s="557">
        <v>2</v>
      </c>
      <c r="BR225" s="557">
        <v>1</v>
      </c>
      <c r="BS225" s="557">
        <v>1</v>
      </c>
      <c r="BT225" s="557">
        <v>1</v>
      </c>
      <c r="BU225" s="557">
        <v>1</v>
      </c>
      <c r="BV225" s="557">
        <v>2</v>
      </c>
      <c r="BW225" s="557">
        <v>1</v>
      </c>
      <c r="BX225" s="557">
        <v>1</v>
      </c>
      <c r="BY225" s="557">
        <v>1</v>
      </c>
      <c r="BZ225" s="557">
        <v>1</v>
      </c>
      <c r="CA225" s="557">
        <v>1</v>
      </c>
      <c r="CB225" s="557">
        <v>1</v>
      </c>
      <c r="CD225" s="557">
        <v>1</v>
      </c>
    </row>
    <row r="226" spans="1:99" s="557" customFormat="1" x14ac:dyDescent="0.3">
      <c r="A226" s="556">
        <v>979</v>
      </c>
      <c r="B226" s="557" t="s">
        <v>1014</v>
      </c>
      <c r="E226" s="557">
        <v>2</v>
      </c>
      <c r="F226" s="557">
        <v>2</v>
      </c>
      <c r="G226" s="557">
        <v>1</v>
      </c>
      <c r="H226" s="557">
        <v>1</v>
      </c>
      <c r="I226" s="557">
        <v>1</v>
      </c>
      <c r="J226" s="557">
        <v>1</v>
      </c>
      <c r="K226" s="557">
        <v>1</v>
      </c>
      <c r="L226" s="557">
        <v>1</v>
      </c>
      <c r="M226" s="557">
        <v>1</v>
      </c>
      <c r="N226" s="557">
        <v>1</v>
      </c>
      <c r="O226" s="557">
        <v>1</v>
      </c>
      <c r="P226" s="557">
        <v>1</v>
      </c>
      <c r="Q226" s="557">
        <v>1</v>
      </c>
      <c r="R226" s="557">
        <v>1</v>
      </c>
      <c r="S226" s="557">
        <v>1</v>
      </c>
      <c r="T226" s="557">
        <v>1</v>
      </c>
      <c r="U226" s="557">
        <v>2</v>
      </c>
      <c r="V226" s="557">
        <v>2</v>
      </c>
      <c r="W226" s="557">
        <v>1</v>
      </c>
      <c r="Y226" s="557">
        <v>1</v>
      </c>
      <c r="Z226" s="557">
        <v>2</v>
      </c>
      <c r="AA226" s="557">
        <v>1</v>
      </c>
      <c r="AB226" s="557">
        <v>2</v>
      </c>
      <c r="AC226" s="557">
        <v>1</v>
      </c>
      <c r="AD226" s="557">
        <v>2</v>
      </c>
      <c r="AE226" s="557">
        <v>1</v>
      </c>
      <c r="AF226" s="557">
        <v>1</v>
      </c>
      <c r="AG226" s="557">
        <v>2</v>
      </c>
      <c r="AH226" s="557">
        <v>2</v>
      </c>
      <c r="AI226" s="557">
        <v>1</v>
      </c>
      <c r="AJ226" s="557">
        <v>2</v>
      </c>
      <c r="AM226" s="557">
        <v>2</v>
      </c>
      <c r="AN226" s="557">
        <v>1</v>
      </c>
      <c r="AO226" s="557">
        <v>2</v>
      </c>
      <c r="AP226" s="557">
        <v>1</v>
      </c>
      <c r="AQ226" s="557">
        <v>2</v>
      </c>
      <c r="AR226" s="557">
        <v>2</v>
      </c>
      <c r="AT226" s="557">
        <v>2</v>
      </c>
      <c r="AU226" s="557">
        <v>1</v>
      </c>
      <c r="AV226" s="557">
        <v>2</v>
      </c>
      <c r="AW226" s="557">
        <v>1</v>
      </c>
      <c r="AX226" s="557">
        <v>1</v>
      </c>
      <c r="AY226" s="557">
        <v>1</v>
      </c>
      <c r="AZ226" s="557">
        <v>1</v>
      </c>
      <c r="BA226" s="557">
        <v>2</v>
      </c>
      <c r="BB226" s="557">
        <v>1</v>
      </c>
      <c r="BC226" s="557">
        <v>1</v>
      </c>
      <c r="BD226" s="557">
        <v>2</v>
      </c>
      <c r="BE226" s="557">
        <v>2</v>
      </c>
      <c r="BF226" s="557">
        <v>2</v>
      </c>
      <c r="BG226" s="557">
        <v>2</v>
      </c>
      <c r="BH226" s="557">
        <v>1</v>
      </c>
      <c r="BI226" s="557">
        <v>1</v>
      </c>
      <c r="BJ226" s="557">
        <v>1</v>
      </c>
      <c r="BK226" s="557">
        <v>1</v>
      </c>
      <c r="BM226" s="557">
        <v>2</v>
      </c>
      <c r="BN226" s="557">
        <v>1</v>
      </c>
      <c r="BO226" s="557">
        <v>1</v>
      </c>
      <c r="BP226" s="557">
        <v>2</v>
      </c>
      <c r="BQ226" s="557">
        <v>1</v>
      </c>
      <c r="BR226" s="557">
        <v>2</v>
      </c>
      <c r="BS226" s="557">
        <v>1</v>
      </c>
      <c r="BT226" s="557">
        <v>2</v>
      </c>
      <c r="BU226" s="557">
        <v>2</v>
      </c>
      <c r="BV226" s="557">
        <v>1</v>
      </c>
      <c r="BW226" s="557">
        <v>2</v>
      </c>
      <c r="BX226" s="557">
        <v>1</v>
      </c>
      <c r="BY226" s="557">
        <v>2</v>
      </c>
      <c r="BZ226" s="557">
        <v>2</v>
      </c>
      <c r="CA226" s="557">
        <v>1</v>
      </c>
      <c r="CB226" s="557">
        <v>1</v>
      </c>
      <c r="CD226" s="557">
        <v>2</v>
      </c>
    </row>
    <row r="227" spans="1:99" x14ac:dyDescent="0.3">
      <c r="A227" s="155">
        <v>980</v>
      </c>
      <c r="B227" s="180" t="s">
        <v>592</v>
      </c>
      <c r="C227" s="180"/>
      <c r="D227" s="180"/>
      <c r="E227" s="180" t="s">
        <v>1694</v>
      </c>
      <c r="F227" s="180" t="s">
        <v>2676</v>
      </c>
      <c r="G227" s="180" t="s">
        <v>1680</v>
      </c>
      <c r="H227" s="180" t="s">
        <v>2076</v>
      </c>
      <c r="I227" s="180" t="s">
        <v>1680</v>
      </c>
      <c r="J227" s="180" t="s">
        <v>1693</v>
      </c>
      <c r="K227" s="180" t="s">
        <v>1680</v>
      </c>
      <c r="L227" s="180" t="s">
        <v>1698</v>
      </c>
      <c r="M227" s="180" t="s">
        <v>2137</v>
      </c>
      <c r="N227" s="180" t="s">
        <v>2020</v>
      </c>
      <c r="O227" s="180" t="s">
        <v>2017</v>
      </c>
      <c r="P227" s="180" t="s">
        <v>1682</v>
      </c>
      <c r="Q227" s="180" t="s">
        <v>1680</v>
      </c>
      <c r="R227" s="180" t="s">
        <v>2637</v>
      </c>
      <c r="S227" s="180" t="s">
        <v>1680</v>
      </c>
      <c r="T227" s="180" t="s">
        <v>1680</v>
      </c>
      <c r="U227" s="180" t="s">
        <v>2077</v>
      </c>
      <c r="V227" s="180" t="s">
        <v>1702</v>
      </c>
      <c r="W227" s="180" t="s">
        <v>1680</v>
      </c>
      <c r="X227" s="180"/>
      <c r="Y227" s="180" t="s">
        <v>1680</v>
      </c>
      <c r="Z227" s="180" t="s">
        <v>2677</v>
      </c>
      <c r="AA227" s="180" t="s">
        <v>1680</v>
      </c>
      <c r="AB227" s="180" t="s">
        <v>2678</v>
      </c>
      <c r="AC227" s="180" t="s">
        <v>2017</v>
      </c>
      <c r="AD227" s="180" t="s">
        <v>2073</v>
      </c>
      <c r="AE227" s="180" t="s">
        <v>1680</v>
      </c>
      <c r="AF227" s="180" t="s">
        <v>2070</v>
      </c>
      <c r="AG227" s="180" t="s">
        <v>2679</v>
      </c>
      <c r="AH227" s="180" t="s">
        <v>2133</v>
      </c>
      <c r="AI227" s="180" t="s">
        <v>1697</v>
      </c>
      <c r="AJ227" s="180" t="s">
        <v>2677</v>
      </c>
      <c r="AK227" s="180"/>
      <c r="AL227" s="180"/>
      <c r="AM227" s="180" t="s">
        <v>1698</v>
      </c>
      <c r="AN227" s="180" t="s">
        <v>1700</v>
      </c>
      <c r="AO227" s="180" t="s">
        <v>2021</v>
      </c>
      <c r="AP227" s="180" t="s">
        <v>1686</v>
      </c>
      <c r="AQ227" s="180" t="s">
        <v>2680</v>
      </c>
      <c r="AR227" s="180" t="s">
        <v>2634</v>
      </c>
      <c r="AS227" s="180"/>
      <c r="AT227" s="180" t="s">
        <v>2681</v>
      </c>
      <c r="AU227" s="180" t="s">
        <v>2020</v>
      </c>
      <c r="AV227" s="180" t="s">
        <v>2069</v>
      </c>
      <c r="AW227" s="180" t="s">
        <v>1687</v>
      </c>
      <c r="AX227" s="180" t="s">
        <v>1686</v>
      </c>
      <c r="AY227" s="180" t="s">
        <v>2639</v>
      </c>
      <c r="AZ227" s="180" t="s">
        <v>1682</v>
      </c>
      <c r="BA227" s="180" t="s">
        <v>2677</v>
      </c>
      <c r="BB227" s="180" t="s">
        <v>1685</v>
      </c>
      <c r="BC227" s="180" t="s">
        <v>2017</v>
      </c>
      <c r="BD227" s="180" t="s">
        <v>2138</v>
      </c>
      <c r="BE227" s="180" t="s">
        <v>2019</v>
      </c>
      <c r="BF227" s="180" t="s">
        <v>2678</v>
      </c>
      <c r="BG227" s="180" t="s">
        <v>2740</v>
      </c>
      <c r="BH227" s="180" t="s">
        <v>2682</v>
      </c>
      <c r="BI227" s="180" t="s">
        <v>2682</v>
      </c>
      <c r="BJ227" s="180" t="s">
        <v>2017</v>
      </c>
      <c r="BK227" s="180" t="s">
        <v>1702</v>
      </c>
      <c r="BL227" s="180"/>
      <c r="BM227" s="180" t="s">
        <v>2683</v>
      </c>
      <c r="BN227" s="180" t="s">
        <v>2129</v>
      </c>
      <c r="BO227" s="180" t="s">
        <v>2017</v>
      </c>
      <c r="BP227" s="180" t="s">
        <v>2133</v>
      </c>
      <c r="BQ227" s="180" t="s">
        <v>1685</v>
      </c>
      <c r="BR227" s="180" t="s">
        <v>2134</v>
      </c>
      <c r="BS227" s="180" t="s">
        <v>1697</v>
      </c>
      <c r="BT227" s="180" t="s">
        <v>2136</v>
      </c>
      <c r="BU227" s="180" t="s">
        <v>2676</v>
      </c>
      <c r="BV227" s="180" t="s">
        <v>2129</v>
      </c>
      <c r="BW227" s="180" t="s">
        <v>2684</v>
      </c>
      <c r="BX227" s="180" t="s">
        <v>1702</v>
      </c>
      <c r="BY227" s="180" t="s">
        <v>2685</v>
      </c>
      <c r="BZ227" s="180" t="s">
        <v>2077</v>
      </c>
      <c r="CA227" s="180" t="s">
        <v>1701</v>
      </c>
      <c r="CB227" s="180" t="s">
        <v>2071</v>
      </c>
      <c r="CC227" s="180"/>
      <c r="CD227" s="180" t="s">
        <v>2074</v>
      </c>
      <c r="CE227" s="180"/>
      <c r="CF227" s="180"/>
      <c r="CG227" s="180"/>
      <c r="CH227" s="180"/>
      <c r="CI227" s="180"/>
      <c r="CJ227" s="180"/>
      <c r="CK227" s="180"/>
      <c r="CL227" s="180"/>
      <c r="CM227" s="180"/>
      <c r="CN227" s="180"/>
      <c r="CO227" s="180"/>
      <c r="CP227" s="180"/>
      <c r="CQ227" s="180"/>
      <c r="CR227" s="180"/>
      <c r="CS227" s="180"/>
      <c r="CT227" s="180"/>
      <c r="CU227" s="180"/>
    </row>
    <row r="228" spans="1:99" x14ac:dyDescent="0.3">
      <c r="A228" s="155">
        <v>984</v>
      </c>
      <c r="B228" s="180" t="s">
        <v>1024</v>
      </c>
      <c r="C228" s="180"/>
      <c r="D228" s="180"/>
      <c r="E228" s="180">
        <v>25519</v>
      </c>
      <c r="F228" s="180">
        <v>380877</v>
      </c>
      <c r="G228" s="180">
        <v>1402352</v>
      </c>
      <c r="H228" s="180">
        <v>216087</v>
      </c>
      <c r="I228" s="180">
        <v>3011187</v>
      </c>
      <c r="J228" s="180">
        <v>49184</v>
      </c>
      <c r="K228" s="180">
        <v>88892</v>
      </c>
      <c r="L228" s="180">
        <v>137088</v>
      </c>
      <c r="M228" s="180">
        <v>9634601</v>
      </c>
      <c r="N228" s="180">
        <v>33231</v>
      </c>
      <c r="O228" s="180">
        <v>3192361</v>
      </c>
      <c r="P228" s="180">
        <v>17872</v>
      </c>
      <c r="Q228" s="180">
        <v>24510295</v>
      </c>
      <c r="R228" s="180">
        <v>1245291</v>
      </c>
      <c r="S228" s="180">
        <v>0</v>
      </c>
      <c r="T228" s="180">
        <v>49834829</v>
      </c>
      <c r="U228" s="180">
        <v>8856909</v>
      </c>
      <c r="V228" s="180">
        <v>10915238</v>
      </c>
      <c r="W228" s="180">
        <v>23708336</v>
      </c>
      <c r="X228" s="180"/>
      <c r="Y228" s="180">
        <v>7675905</v>
      </c>
      <c r="Z228" s="180">
        <v>581702</v>
      </c>
      <c r="AA228" s="180">
        <v>9438959</v>
      </c>
      <c r="AB228" s="180">
        <v>1881014</v>
      </c>
      <c r="AC228" s="180">
        <v>973314</v>
      </c>
      <c r="AD228" s="180">
        <v>957971</v>
      </c>
      <c r="AE228" s="180">
        <v>1090176</v>
      </c>
      <c r="AF228" s="180">
        <v>10582398</v>
      </c>
      <c r="AG228" s="180">
        <v>2557334</v>
      </c>
      <c r="AH228" s="180">
        <v>305592</v>
      </c>
      <c r="AI228" s="180">
        <v>16915838</v>
      </c>
      <c r="AJ228" s="180">
        <v>246608</v>
      </c>
      <c r="AK228" s="180"/>
      <c r="AL228" s="180"/>
      <c r="AM228" s="180">
        <v>6636609</v>
      </c>
      <c r="AN228" s="180">
        <v>262704</v>
      </c>
      <c r="AO228" s="180">
        <v>296370</v>
      </c>
      <c r="AP228" s="180">
        <v>0</v>
      </c>
      <c r="AQ228" s="180">
        <v>2784924</v>
      </c>
      <c r="AR228" s="180">
        <v>2432106</v>
      </c>
      <c r="AS228" s="180"/>
      <c r="AT228" s="180">
        <v>1402275</v>
      </c>
      <c r="AU228" s="180">
        <v>78581</v>
      </c>
      <c r="AV228" s="180">
        <v>8219915</v>
      </c>
      <c r="AW228" s="180">
        <v>943206</v>
      </c>
      <c r="AX228" s="180">
        <v>930519</v>
      </c>
      <c r="AY228" s="180">
        <v>3321766</v>
      </c>
      <c r="AZ228" s="180">
        <v>461913</v>
      </c>
      <c r="BA228" s="180">
        <v>583485</v>
      </c>
      <c r="BB228" s="180">
        <v>0</v>
      </c>
      <c r="BC228" s="180">
        <v>54609</v>
      </c>
      <c r="BD228" s="180">
        <v>3784635</v>
      </c>
      <c r="BE228" s="180">
        <v>40894</v>
      </c>
      <c r="BF228" s="180">
        <v>172314</v>
      </c>
      <c r="BG228" s="180">
        <v>81509</v>
      </c>
      <c r="BH228" s="180">
        <v>38521</v>
      </c>
      <c r="BI228" s="180">
        <v>60941</v>
      </c>
      <c r="BJ228" s="180">
        <v>61977</v>
      </c>
      <c r="BK228" s="180">
        <v>1403950</v>
      </c>
      <c r="BL228" s="180"/>
      <c r="BM228" s="180">
        <v>987726</v>
      </c>
      <c r="BN228" s="180">
        <v>2116824</v>
      </c>
      <c r="BO228" s="180">
        <v>660377</v>
      </c>
      <c r="BP228" s="180">
        <v>556117</v>
      </c>
      <c r="BQ228" s="180">
        <v>12257753</v>
      </c>
      <c r="BR228" s="180">
        <v>260981</v>
      </c>
      <c r="BS228" s="180">
        <v>8210242</v>
      </c>
      <c r="BT228" s="180">
        <v>205020</v>
      </c>
      <c r="BU228" s="180">
        <v>3514903</v>
      </c>
      <c r="BV228" s="180">
        <v>346672</v>
      </c>
      <c r="BW228" s="180">
        <v>1047735</v>
      </c>
      <c r="BX228" s="180">
        <v>140587</v>
      </c>
      <c r="BY228" s="180">
        <v>17074</v>
      </c>
      <c r="BZ228" s="180">
        <v>80326</v>
      </c>
      <c r="CA228" s="180">
        <v>26843</v>
      </c>
      <c r="CB228" s="180">
        <v>572645</v>
      </c>
      <c r="CC228" s="180"/>
      <c r="CD228" s="180">
        <v>12266</v>
      </c>
      <c r="CE228" s="180"/>
      <c r="CF228" s="180"/>
      <c r="CG228" s="180"/>
      <c r="CH228" s="180"/>
      <c r="CI228" s="180"/>
      <c r="CJ228" s="180"/>
      <c r="CK228" s="180"/>
      <c r="CL228" s="180"/>
      <c r="CM228" s="180"/>
      <c r="CN228" s="180"/>
      <c r="CO228" s="180"/>
      <c r="CP228" s="180"/>
      <c r="CQ228" s="180"/>
      <c r="CR228" s="180"/>
      <c r="CS228" s="180"/>
      <c r="CT228" s="180"/>
      <c r="CU228" s="180"/>
    </row>
    <row r="229" spans="1:99" x14ac:dyDescent="0.3">
      <c r="A229" s="155">
        <v>985</v>
      </c>
      <c r="B229" s="180" t="s">
        <v>1025</v>
      </c>
      <c r="C229" s="180"/>
      <c r="D229" s="180"/>
      <c r="E229" s="180">
        <v>27500</v>
      </c>
      <c r="F229" s="180">
        <v>368480</v>
      </c>
      <c r="G229" s="180">
        <v>1238608</v>
      </c>
      <c r="H229" s="180">
        <v>181800</v>
      </c>
      <c r="I229" s="180">
        <v>2727500</v>
      </c>
      <c r="J229" s="180">
        <v>52500</v>
      </c>
      <c r="K229" s="180">
        <v>85090</v>
      </c>
      <c r="L229" s="180">
        <v>134010</v>
      </c>
      <c r="M229" s="180">
        <v>9380000</v>
      </c>
      <c r="N229" s="180">
        <v>29000</v>
      </c>
      <c r="O229" s="180">
        <v>3072500</v>
      </c>
      <c r="P229" s="180">
        <v>16050</v>
      </c>
      <c r="Q229" s="180">
        <v>24279119</v>
      </c>
      <c r="R229" s="180">
        <v>1202733</v>
      </c>
      <c r="S229" s="180">
        <v>0</v>
      </c>
      <c r="T229" s="180">
        <v>48009998</v>
      </c>
      <c r="U229" s="180">
        <v>8640046</v>
      </c>
      <c r="V229" s="180">
        <v>10434000</v>
      </c>
      <c r="W229" s="180">
        <v>23472000</v>
      </c>
      <c r="X229" s="180"/>
      <c r="Y229" s="180">
        <v>7321200</v>
      </c>
      <c r="Z229" s="180">
        <v>531000</v>
      </c>
      <c r="AA229" s="180">
        <v>8721000</v>
      </c>
      <c r="AB229" s="180">
        <v>1872700</v>
      </c>
      <c r="AC229" s="180">
        <v>908384</v>
      </c>
      <c r="AD229" s="180">
        <v>915500</v>
      </c>
      <c r="AE229" s="180">
        <v>1036000</v>
      </c>
      <c r="AF229" s="180">
        <v>10501165</v>
      </c>
      <c r="AG229" s="180">
        <v>2609000</v>
      </c>
      <c r="AH229" s="180">
        <v>285000</v>
      </c>
      <c r="AI229" s="180">
        <v>16822019</v>
      </c>
      <c r="AJ229" s="180">
        <v>220000</v>
      </c>
      <c r="AK229" s="180"/>
      <c r="AL229" s="180"/>
      <c r="AM229" s="180">
        <v>6295000</v>
      </c>
      <c r="AN229" s="180">
        <v>271500</v>
      </c>
      <c r="AO229" s="180">
        <v>300628</v>
      </c>
      <c r="AP229" s="180">
        <v>0</v>
      </c>
      <c r="AQ229" s="180">
        <v>2798898</v>
      </c>
      <c r="AR229" s="180">
        <v>2468147</v>
      </c>
      <c r="AS229" s="180"/>
      <c r="AT229" s="180">
        <v>1355800</v>
      </c>
      <c r="AU229" s="180">
        <v>71200</v>
      </c>
      <c r="AV229" s="180">
        <v>7960056</v>
      </c>
      <c r="AW229" s="180">
        <v>916559</v>
      </c>
      <c r="AX229" s="180">
        <v>921894</v>
      </c>
      <c r="AY229" s="180">
        <v>3357771</v>
      </c>
      <c r="AZ229" s="180">
        <v>455500</v>
      </c>
      <c r="BA229" s="180">
        <v>553538</v>
      </c>
      <c r="BB229" s="180">
        <v>0</v>
      </c>
      <c r="BC229" s="180">
        <v>54660</v>
      </c>
      <c r="BD229" s="180">
        <v>3562000</v>
      </c>
      <c r="BE229" s="180">
        <v>33886</v>
      </c>
      <c r="BF229" s="180">
        <v>151303</v>
      </c>
      <c r="BG229" s="180">
        <v>72994</v>
      </c>
      <c r="BH229" s="180">
        <v>32461</v>
      </c>
      <c r="BI229" s="180">
        <v>58000</v>
      </c>
      <c r="BJ229" s="180">
        <v>50500</v>
      </c>
      <c r="BK229" s="180">
        <v>1465000</v>
      </c>
      <c r="BL229" s="180"/>
      <c r="BM229" s="180">
        <v>968760</v>
      </c>
      <c r="BN229" s="180">
        <v>2109000</v>
      </c>
      <c r="BO229" s="180">
        <v>634500</v>
      </c>
      <c r="BP229" s="180">
        <v>537081</v>
      </c>
      <c r="BQ229" s="180">
        <v>12241000</v>
      </c>
      <c r="BR229" s="180">
        <v>238600</v>
      </c>
      <c r="BS229" s="180">
        <v>8447502</v>
      </c>
      <c r="BT229" s="180">
        <v>198263</v>
      </c>
      <c r="BU229" s="180">
        <v>3330261</v>
      </c>
      <c r="BV229" s="180">
        <v>320785</v>
      </c>
      <c r="BW229" s="180">
        <v>1036500</v>
      </c>
      <c r="BX229" s="180">
        <v>125000</v>
      </c>
      <c r="BY229" s="180">
        <v>14250</v>
      </c>
      <c r="BZ229" s="180">
        <v>67704</v>
      </c>
      <c r="CA229" s="180">
        <v>27144</v>
      </c>
      <c r="CB229" s="180">
        <v>576861</v>
      </c>
      <c r="CC229" s="180"/>
      <c r="CD229" s="180">
        <v>13500</v>
      </c>
      <c r="CE229" s="180"/>
      <c r="CF229" s="180"/>
      <c r="CG229" s="180"/>
      <c r="CH229" s="180"/>
      <c r="CI229" s="180"/>
      <c r="CJ229" s="180"/>
      <c r="CK229" s="180"/>
      <c r="CL229" s="180"/>
      <c r="CM229" s="180"/>
      <c r="CN229" s="180"/>
      <c r="CO229" s="180"/>
      <c r="CP229" s="180"/>
      <c r="CQ229" s="180"/>
      <c r="CR229" s="180"/>
      <c r="CS229" s="180"/>
      <c r="CT229" s="180"/>
      <c r="CU229" s="180"/>
    </row>
    <row r="230" spans="1:99" x14ac:dyDescent="0.3">
      <c r="A230" s="155">
        <v>986</v>
      </c>
      <c r="B230" s="180" t="s">
        <v>594</v>
      </c>
      <c r="C230" s="180"/>
      <c r="D230" s="180"/>
      <c r="E230" s="180">
        <v>0</v>
      </c>
      <c r="F230" s="180">
        <v>0</v>
      </c>
      <c r="G230" s="180">
        <v>0</v>
      </c>
      <c r="H230" s="180">
        <v>0</v>
      </c>
      <c r="I230" s="180">
        <v>0</v>
      </c>
      <c r="J230" s="180">
        <v>0</v>
      </c>
      <c r="K230" s="180">
        <v>0</v>
      </c>
      <c r="L230" s="180">
        <v>0</v>
      </c>
      <c r="M230" s="180">
        <v>0</v>
      </c>
      <c r="N230" s="180">
        <v>0</v>
      </c>
      <c r="O230" s="180">
        <v>0</v>
      </c>
      <c r="P230" s="180">
        <v>0</v>
      </c>
      <c r="Q230" s="180">
        <v>0</v>
      </c>
      <c r="R230" s="180">
        <v>0</v>
      </c>
      <c r="S230" s="180">
        <v>0</v>
      </c>
      <c r="T230" s="180">
        <v>0</v>
      </c>
      <c r="U230" s="180">
        <v>0</v>
      </c>
      <c r="V230" s="180">
        <v>0</v>
      </c>
      <c r="W230" s="180">
        <v>0</v>
      </c>
      <c r="X230" s="180"/>
      <c r="Y230" s="180">
        <v>0</v>
      </c>
      <c r="Z230" s="180">
        <v>0</v>
      </c>
      <c r="AA230" s="180">
        <v>0</v>
      </c>
      <c r="AB230" s="180">
        <v>0</v>
      </c>
      <c r="AC230" s="180">
        <v>0</v>
      </c>
      <c r="AD230" s="180">
        <v>0</v>
      </c>
      <c r="AE230" s="180">
        <v>0</v>
      </c>
      <c r="AF230" s="180">
        <v>109</v>
      </c>
      <c r="AG230" s="180">
        <v>0</v>
      </c>
      <c r="AH230" s="180">
        <v>0</v>
      </c>
      <c r="AI230" s="180">
        <v>0</v>
      </c>
      <c r="AJ230" s="180">
        <v>0</v>
      </c>
      <c r="AK230" s="180"/>
      <c r="AL230" s="180"/>
      <c r="AM230" s="180">
        <v>0</v>
      </c>
      <c r="AN230" s="180">
        <v>0</v>
      </c>
      <c r="AO230" s="180">
        <v>0</v>
      </c>
      <c r="AP230" s="180">
        <v>0</v>
      </c>
      <c r="AQ230" s="180">
        <v>0</v>
      </c>
      <c r="AR230" s="180">
        <v>0</v>
      </c>
      <c r="AS230" s="180"/>
      <c r="AT230" s="180">
        <v>0</v>
      </c>
      <c r="AU230" s="180">
        <v>0</v>
      </c>
      <c r="AV230" s="180">
        <v>464944</v>
      </c>
      <c r="AW230" s="180">
        <v>0</v>
      </c>
      <c r="AX230" s="180">
        <v>0</v>
      </c>
      <c r="AY230" s="180">
        <v>0</v>
      </c>
      <c r="AZ230" s="180">
        <v>0</v>
      </c>
      <c r="BA230" s="180">
        <v>0</v>
      </c>
      <c r="BB230" s="180">
        <v>0</v>
      </c>
      <c r="BC230" s="180">
        <v>0</v>
      </c>
      <c r="BD230" s="180">
        <v>0</v>
      </c>
      <c r="BE230" s="180">
        <v>0</v>
      </c>
      <c r="BF230" s="180">
        <v>0</v>
      </c>
      <c r="BG230" s="180">
        <v>0</v>
      </c>
      <c r="BH230" s="180">
        <v>0</v>
      </c>
      <c r="BI230" s="180">
        <v>1850</v>
      </c>
      <c r="BJ230" s="180">
        <v>0</v>
      </c>
      <c r="BK230" s="180">
        <v>0</v>
      </c>
      <c r="BL230" s="180"/>
      <c r="BM230" s="180">
        <v>0</v>
      </c>
      <c r="BN230" s="180">
        <v>9128</v>
      </c>
      <c r="BO230" s="180">
        <v>0</v>
      </c>
      <c r="BP230" s="180">
        <v>0</v>
      </c>
      <c r="BQ230" s="180">
        <v>0</v>
      </c>
      <c r="BR230" s="180">
        <v>0</v>
      </c>
      <c r="BS230" s="180">
        <v>0</v>
      </c>
      <c r="BT230" s="180">
        <v>0</v>
      </c>
      <c r="BU230" s="180">
        <v>0</v>
      </c>
      <c r="BV230" s="180">
        <v>0</v>
      </c>
      <c r="BW230" s="180">
        <v>0</v>
      </c>
      <c r="BX230" s="180">
        <v>0</v>
      </c>
      <c r="BY230" s="180">
        <v>0</v>
      </c>
      <c r="BZ230" s="180">
        <v>0</v>
      </c>
      <c r="CA230" s="180">
        <v>0</v>
      </c>
      <c r="CB230" s="180">
        <v>0</v>
      </c>
      <c r="CC230" s="180"/>
      <c r="CD230" s="180">
        <v>0</v>
      </c>
      <c r="CE230" s="180"/>
      <c r="CF230" s="180"/>
      <c r="CG230" s="180"/>
      <c r="CH230" s="180"/>
      <c r="CI230" s="180"/>
      <c r="CJ230" s="180"/>
      <c r="CK230" s="180"/>
      <c r="CL230" s="180"/>
      <c r="CM230" s="180"/>
      <c r="CN230" s="180"/>
      <c r="CO230" s="180"/>
      <c r="CP230" s="180"/>
      <c r="CQ230" s="180"/>
      <c r="CR230" s="180"/>
      <c r="CS230" s="180"/>
      <c r="CT230" s="180"/>
      <c r="CU230" s="180"/>
    </row>
    <row r="231" spans="1:99" x14ac:dyDescent="0.3">
      <c r="A231" s="155">
        <v>987</v>
      </c>
      <c r="B231" s="180" t="s">
        <v>1026</v>
      </c>
      <c r="C231" s="180"/>
      <c r="D231" s="180"/>
      <c r="E231" s="180">
        <v>0</v>
      </c>
      <c r="F231" s="180">
        <v>0</v>
      </c>
      <c r="G231" s="180">
        <v>0</v>
      </c>
      <c r="H231" s="180">
        <v>0</v>
      </c>
      <c r="I231" s="180">
        <v>0</v>
      </c>
      <c r="J231" s="180">
        <v>0</v>
      </c>
      <c r="K231" s="180">
        <v>0</v>
      </c>
      <c r="L231" s="180">
        <v>0</v>
      </c>
      <c r="M231" s="180">
        <v>0</v>
      </c>
      <c r="N231" s="180">
        <v>0</v>
      </c>
      <c r="O231" s="180">
        <v>0</v>
      </c>
      <c r="P231" s="180">
        <v>0</v>
      </c>
      <c r="Q231" s="180">
        <v>0</v>
      </c>
      <c r="R231" s="180">
        <v>0</v>
      </c>
      <c r="S231" s="180">
        <v>0</v>
      </c>
      <c r="T231" s="180">
        <v>0</v>
      </c>
      <c r="U231" s="180">
        <v>0</v>
      </c>
      <c r="V231" s="180">
        <v>0</v>
      </c>
      <c r="W231" s="180">
        <v>0</v>
      </c>
      <c r="X231" s="180"/>
      <c r="Y231" s="180">
        <v>0</v>
      </c>
      <c r="Z231" s="180">
        <v>0</v>
      </c>
      <c r="AA231" s="180">
        <v>0</v>
      </c>
      <c r="AB231" s="180">
        <v>0</v>
      </c>
      <c r="AC231" s="180">
        <v>0</v>
      </c>
      <c r="AD231" s="180">
        <v>0</v>
      </c>
      <c r="AE231" s="180">
        <v>0</v>
      </c>
      <c r="AF231" s="180">
        <v>0</v>
      </c>
      <c r="AG231" s="180">
        <v>0</v>
      </c>
      <c r="AH231" s="180">
        <v>0</v>
      </c>
      <c r="AI231" s="180">
        <v>0</v>
      </c>
      <c r="AJ231" s="180">
        <v>0</v>
      </c>
      <c r="AK231" s="180"/>
      <c r="AL231" s="180"/>
      <c r="AM231" s="180">
        <v>0</v>
      </c>
      <c r="AN231" s="180">
        <v>0</v>
      </c>
      <c r="AO231" s="180">
        <v>0</v>
      </c>
      <c r="AP231" s="180">
        <v>0</v>
      </c>
      <c r="AQ231" s="180">
        <v>0</v>
      </c>
      <c r="AR231" s="180">
        <v>0</v>
      </c>
      <c r="AS231" s="180"/>
      <c r="AT231" s="180">
        <v>0</v>
      </c>
      <c r="AU231" s="180">
        <v>0</v>
      </c>
      <c r="AV231" s="180">
        <v>0</v>
      </c>
      <c r="AW231" s="180">
        <v>0</v>
      </c>
      <c r="AX231" s="180">
        <v>0</v>
      </c>
      <c r="AY231" s="180">
        <v>0</v>
      </c>
      <c r="AZ231" s="180">
        <v>0</v>
      </c>
      <c r="BA231" s="180">
        <v>0</v>
      </c>
      <c r="BB231" s="180">
        <v>0</v>
      </c>
      <c r="BC231" s="180">
        <v>0</v>
      </c>
      <c r="BD231" s="180">
        <v>0</v>
      </c>
      <c r="BE231" s="180">
        <v>0</v>
      </c>
      <c r="BF231" s="180">
        <v>0</v>
      </c>
      <c r="BG231" s="180">
        <v>0</v>
      </c>
      <c r="BH231" s="180">
        <v>0</v>
      </c>
      <c r="BI231" s="180">
        <v>0</v>
      </c>
      <c r="BJ231" s="180">
        <v>0</v>
      </c>
      <c r="BK231" s="180">
        <v>0</v>
      </c>
      <c r="BL231" s="180"/>
      <c r="BM231" s="180">
        <v>0</v>
      </c>
      <c r="BN231" s="180">
        <v>0</v>
      </c>
      <c r="BO231" s="180">
        <v>0</v>
      </c>
      <c r="BP231" s="180">
        <v>0</v>
      </c>
      <c r="BQ231" s="180">
        <v>0</v>
      </c>
      <c r="BR231" s="180">
        <v>0</v>
      </c>
      <c r="BS231" s="180">
        <v>0</v>
      </c>
      <c r="BT231" s="180">
        <v>0</v>
      </c>
      <c r="BU231" s="180">
        <v>0</v>
      </c>
      <c r="BV231" s="180">
        <v>0</v>
      </c>
      <c r="BW231" s="180">
        <v>0</v>
      </c>
      <c r="BX231" s="180">
        <v>0</v>
      </c>
      <c r="BY231" s="180">
        <v>0</v>
      </c>
      <c r="BZ231" s="180">
        <v>0</v>
      </c>
      <c r="CA231" s="180">
        <v>0</v>
      </c>
      <c r="CB231" s="180">
        <v>0</v>
      </c>
      <c r="CC231" s="180"/>
      <c r="CD231" s="180">
        <v>0</v>
      </c>
      <c r="CE231" s="180"/>
      <c r="CF231" s="180"/>
      <c r="CG231" s="180"/>
      <c r="CH231" s="180"/>
      <c r="CI231" s="180"/>
      <c r="CJ231" s="180"/>
      <c r="CK231" s="180"/>
      <c r="CL231" s="180"/>
      <c r="CM231" s="180"/>
      <c r="CN231" s="180"/>
      <c r="CO231" s="180"/>
      <c r="CP231" s="180"/>
      <c r="CQ231" s="180"/>
      <c r="CR231" s="180"/>
      <c r="CS231" s="180"/>
      <c r="CT231" s="180"/>
      <c r="CU231" s="180"/>
    </row>
    <row r="232" spans="1:99" x14ac:dyDescent="0.3">
      <c r="A232" s="155">
        <v>988</v>
      </c>
      <c r="B232" s="180" t="s">
        <v>1027</v>
      </c>
      <c r="C232" s="180"/>
      <c r="D232" s="180"/>
      <c r="E232" s="180">
        <v>2</v>
      </c>
      <c r="F232" s="180">
        <v>2</v>
      </c>
      <c r="G232" s="180">
        <v>2</v>
      </c>
      <c r="H232" s="180">
        <v>2</v>
      </c>
      <c r="I232" s="180">
        <v>2</v>
      </c>
      <c r="J232" s="180">
        <v>2</v>
      </c>
      <c r="K232" s="180">
        <v>2</v>
      </c>
      <c r="L232" s="180">
        <v>2</v>
      </c>
      <c r="M232" s="180">
        <v>2</v>
      </c>
      <c r="N232" s="180">
        <v>2</v>
      </c>
      <c r="O232" s="180">
        <v>2</v>
      </c>
      <c r="P232" s="180">
        <v>2</v>
      </c>
      <c r="Q232" s="180">
        <v>2</v>
      </c>
      <c r="R232" s="180">
        <v>2</v>
      </c>
      <c r="S232" s="180">
        <v>2</v>
      </c>
      <c r="T232" s="180">
        <v>2</v>
      </c>
      <c r="U232" s="180">
        <v>2</v>
      </c>
      <c r="V232" s="180">
        <v>2</v>
      </c>
      <c r="W232" s="180">
        <v>2</v>
      </c>
      <c r="X232" s="180"/>
      <c r="Y232" s="180">
        <v>2</v>
      </c>
      <c r="Z232" s="180">
        <v>2</v>
      </c>
      <c r="AA232" s="180">
        <v>2</v>
      </c>
      <c r="AB232" s="180">
        <v>2</v>
      </c>
      <c r="AC232" s="180">
        <v>2</v>
      </c>
      <c r="AD232" s="180">
        <v>2</v>
      </c>
      <c r="AE232" s="180">
        <v>2</v>
      </c>
      <c r="AF232" s="180">
        <v>2</v>
      </c>
      <c r="AG232" s="180">
        <v>2</v>
      </c>
      <c r="AH232" s="180">
        <v>2</v>
      </c>
      <c r="AI232" s="180">
        <v>2</v>
      </c>
      <c r="AJ232" s="180">
        <v>2</v>
      </c>
      <c r="AK232" s="180"/>
      <c r="AL232" s="180"/>
      <c r="AM232" s="180">
        <v>2</v>
      </c>
      <c r="AN232" s="180">
        <v>2</v>
      </c>
      <c r="AO232" s="180">
        <v>0</v>
      </c>
      <c r="AP232" s="180">
        <v>2</v>
      </c>
      <c r="AQ232" s="180">
        <v>0</v>
      </c>
      <c r="AR232" s="180">
        <v>0</v>
      </c>
      <c r="AS232" s="180"/>
      <c r="AT232" s="180">
        <v>2</v>
      </c>
      <c r="AU232" s="180">
        <v>2</v>
      </c>
      <c r="AV232" s="180">
        <v>2</v>
      </c>
      <c r="AW232" s="180">
        <v>2</v>
      </c>
      <c r="AX232" s="180">
        <v>2</v>
      </c>
      <c r="AY232" s="180">
        <v>2</v>
      </c>
      <c r="AZ232" s="180">
        <v>2</v>
      </c>
      <c r="BA232" s="180">
        <v>2</v>
      </c>
      <c r="BB232" s="180">
        <v>2</v>
      </c>
      <c r="BC232" s="180">
        <v>2</v>
      </c>
      <c r="BD232" s="180">
        <v>2</v>
      </c>
      <c r="BE232" s="180">
        <v>2</v>
      </c>
      <c r="BF232" s="180">
        <v>2</v>
      </c>
      <c r="BG232" s="180">
        <v>2</v>
      </c>
      <c r="BH232" s="180">
        <v>2</v>
      </c>
      <c r="BI232" s="180">
        <v>2</v>
      </c>
      <c r="BJ232" s="180">
        <v>2</v>
      </c>
      <c r="BK232" s="180">
        <v>2</v>
      </c>
      <c r="BL232" s="180"/>
      <c r="BM232" s="180">
        <v>2</v>
      </c>
      <c r="BN232" s="180">
        <v>2</v>
      </c>
      <c r="BO232" s="180">
        <v>2</v>
      </c>
      <c r="BP232" s="180">
        <v>2</v>
      </c>
      <c r="BQ232" s="180">
        <v>2</v>
      </c>
      <c r="BR232" s="180">
        <v>2</v>
      </c>
      <c r="BS232" s="180">
        <v>2</v>
      </c>
      <c r="BT232" s="180">
        <v>2</v>
      </c>
      <c r="BU232" s="180">
        <v>2</v>
      </c>
      <c r="BV232" s="180">
        <v>2</v>
      </c>
      <c r="BW232" s="180">
        <v>2</v>
      </c>
      <c r="BX232" s="180">
        <v>2</v>
      </c>
      <c r="BY232" s="180">
        <v>2</v>
      </c>
      <c r="BZ232" s="180">
        <v>2</v>
      </c>
      <c r="CA232" s="180">
        <v>2</v>
      </c>
      <c r="CB232" s="180">
        <v>2</v>
      </c>
      <c r="CC232" s="180"/>
      <c r="CD232" s="180">
        <v>2</v>
      </c>
      <c r="CE232" s="180"/>
      <c r="CF232" s="180"/>
      <c r="CG232" s="180"/>
      <c r="CH232" s="180"/>
      <c r="CI232" s="180"/>
      <c r="CJ232" s="180"/>
      <c r="CK232" s="180"/>
      <c r="CL232" s="180"/>
      <c r="CM232" s="180"/>
      <c r="CN232" s="180"/>
      <c r="CO232" s="180"/>
      <c r="CP232" s="180"/>
      <c r="CQ232" s="180"/>
      <c r="CR232" s="180"/>
      <c r="CS232" s="180"/>
      <c r="CT232" s="180"/>
      <c r="CU232" s="180"/>
    </row>
    <row r="233" spans="1:99" x14ac:dyDescent="0.3">
      <c r="A233" s="155">
        <v>989</v>
      </c>
      <c r="B233" s="180" t="s">
        <v>1028</v>
      </c>
      <c r="C233" s="180"/>
      <c r="D233" s="180"/>
      <c r="E233" s="180">
        <v>3</v>
      </c>
      <c r="F233" s="180">
        <v>0</v>
      </c>
      <c r="G233" s="180">
        <v>3</v>
      </c>
      <c r="H233" s="180">
        <v>3</v>
      </c>
      <c r="I233" s="180">
        <v>0</v>
      </c>
      <c r="J233" s="180">
        <v>3</v>
      </c>
      <c r="K233" s="180">
        <v>3</v>
      </c>
      <c r="L233" s="180">
        <v>3</v>
      </c>
      <c r="M233" s="180">
        <v>0</v>
      </c>
      <c r="N233" s="180">
        <v>3</v>
      </c>
      <c r="O233" s="180">
        <v>3</v>
      </c>
      <c r="P233" s="180">
        <v>3</v>
      </c>
      <c r="Q233" s="180">
        <v>3</v>
      </c>
      <c r="R233" s="180">
        <v>0</v>
      </c>
      <c r="S233" s="180">
        <v>3</v>
      </c>
      <c r="T233" s="180">
        <v>3</v>
      </c>
      <c r="U233" s="180">
        <v>3</v>
      </c>
      <c r="V233" s="180">
        <v>3</v>
      </c>
      <c r="W233" s="180">
        <v>3</v>
      </c>
      <c r="X233" s="180"/>
      <c r="Y233" s="180">
        <v>0</v>
      </c>
      <c r="Z233" s="180">
        <v>0</v>
      </c>
      <c r="AA233" s="180">
        <v>3</v>
      </c>
      <c r="AB233" s="180">
        <v>3</v>
      </c>
      <c r="AC233" s="180">
        <v>3</v>
      </c>
      <c r="AD233" s="180">
        <v>0</v>
      </c>
      <c r="AE233" s="180">
        <v>3</v>
      </c>
      <c r="AF233" s="180">
        <v>3</v>
      </c>
      <c r="AG233" s="180">
        <v>3</v>
      </c>
      <c r="AH233" s="180">
        <v>3</v>
      </c>
      <c r="AI233" s="180">
        <v>3</v>
      </c>
      <c r="AJ233" s="180">
        <v>0</v>
      </c>
      <c r="AK233" s="180"/>
      <c r="AL233" s="180"/>
      <c r="AM233" s="180">
        <v>3</v>
      </c>
      <c r="AN233" s="180">
        <v>3</v>
      </c>
      <c r="AO233" s="180">
        <v>3</v>
      </c>
      <c r="AP233" s="180">
        <v>3</v>
      </c>
      <c r="AQ233" s="180">
        <v>0</v>
      </c>
      <c r="AR233" s="180">
        <v>0</v>
      </c>
      <c r="AS233" s="180"/>
      <c r="AT233" s="180">
        <v>0</v>
      </c>
      <c r="AU233" s="180">
        <v>3</v>
      </c>
      <c r="AV233" s="180">
        <v>3</v>
      </c>
      <c r="AW233" s="180">
        <v>3</v>
      </c>
      <c r="AX233" s="180">
        <v>3</v>
      </c>
      <c r="AY233" s="180">
        <v>3</v>
      </c>
      <c r="AZ233" s="180">
        <v>3</v>
      </c>
      <c r="BA233" s="180">
        <v>3</v>
      </c>
      <c r="BB233" s="180">
        <v>3</v>
      </c>
      <c r="BC233" s="180">
        <v>3</v>
      </c>
      <c r="BD233" s="180">
        <v>3</v>
      </c>
      <c r="BE233" s="180">
        <v>3</v>
      </c>
      <c r="BF233" s="180">
        <v>3</v>
      </c>
      <c r="BG233" s="180">
        <v>3</v>
      </c>
      <c r="BH233" s="180">
        <v>0</v>
      </c>
      <c r="BI233" s="180">
        <v>0</v>
      </c>
      <c r="BJ233" s="180">
        <v>3</v>
      </c>
      <c r="BK233" s="180">
        <v>3</v>
      </c>
      <c r="BL233" s="180"/>
      <c r="BM233" s="180">
        <v>3</v>
      </c>
      <c r="BN233" s="180">
        <v>3</v>
      </c>
      <c r="BO233" s="180">
        <v>3</v>
      </c>
      <c r="BP233" s="180">
        <v>3</v>
      </c>
      <c r="BQ233" s="180">
        <v>3</v>
      </c>
      <c r="BR233" s="180">
        <v>3</v>
      </c>
      <c r="BS233" s="180">
        <v>3</v>
      </c>
      <c r="BT233" s="180">
        <v>3</v>
      </c>
      <c r="BU233" s="180">
        <v>3</v>
      </c>
      <c r="BV233" s="180">
        <v>3</v>
      </c>
      <c r="BW233" s="180">
        <v>0</v>
      </c>
      <c r="BX233" s="180">
        <v>0</v>
      </c>
      <c r="BY233" s="180">
        <v>0</v>
      </c>
      <c r="BZ233" s="180">
        <v>3</v>
      </c>
      <c r="CA233" s="180">
        <v>3</v>
      </c>
      <c r="CB233" s="180">
        <v>3</v>
      </c>
      <c r="CC233" s="180"/>
      <c r="CD233" s="180">
        <v>3</v>
      </c>
      <c r="CE233" s="180"/>
      <c r="CF233" s="180"/>
      <c r="CG233" s="180"/>
      <c r="CH233" s="180"/>
      <c r="CI233" s="180"/>
      <c r="CJ233" s="180"/>
      <c r="CK233" s="180"/>
      <c r="CL233" s="180"/>
      <c r="CM233" s="180"/>
      <c r="CN233" s="180"/>
      <c r="CO233" s="180"/>
      <c r="CP233" s="180"/>
      <c r="CQ233" s="180"/>
      <c r="CR233" s="180"/>
      <c r="CS233" s="180"/>
      <c r="CT233" s="180"/>
      <c r="CU233" s="180"/>
    </row>
    <row r="234" spans="1:99" x14ac:dyDescent="0.3">
      <c r="A234" s="155">
        <v>990</v>
      </c>
      <c r="B234" s="180" t="s">
        <v>583</v>
      </c>
      <c r="C234" s="180"/>
      <c r="D234" s="180"/>
      <c r="E234" s="180">
        <v>0</v>
      </c>
      <c r="F234" s="180">
        <v>0</v>
      </c>
      <c r="G234" s="180">
        <v>0</v>
      </c>
      <c r="H234" s="180">
        <v>0</v>
      </c>
      <c r="I234" s="180">
        <v>0</v>
      </c>
      <c r="J234" s="180">
        <v>0</v>
      </c>
      <c r="K234" s="180">
        <v>0</v>
      </c>
      <c r="L234" s="180">
        <v>0</v>
      </c>
      <c r="M234" s="180">
        <v>0</v>
      </c>
      <c r="N234" s="180">
        <v>0</v>
      </c>
      <c r="O234" s="180">
        <v>0</v>
      </c>
      <c r="P234" s="180">
        <v>0</v>
      </c>
      <c r="Q234" s="180">
        <v>444696</v>
      </c>
      <c r="R234" s="180">
        <v>0</v>
      </c>
      <c r="S234" s="180">
        <v>0</v>
      </c>
      <c r="T234" s="180">
        <v>0</v>
      </c>
      <c r="U234" s="180">
        <v>0</v>
      </c>
      <c r="V234" s="180">
        <v>150947</v>
      </c>
      <c r="W234" s="180">
        <v>0</v>
      </c>
      <c r="X234" s="180"/>
      <c r="Y234" s="180">
        <v>0</v>
      </c>
      <c r="Z234" s="180">
        <v>0</v>
      </c>
      <c r="AA234" s="180">
        <v>0</v>
      </c>
      <c r="AB234" s="180">
        <v>0</v>
      </c>
      <c r="AC234" s="180">
        <v>0</v>
      </c>
      <c r="AD234" s="180">
        <v>0</v>
      </c>
      <c r="AE234" s="180">
        <v>0</v>
      </c>
      <c r="AF234" s="180">
        <v>0</v>
      </c>
      <c r="AG234" s="180">
        <v>0</v>
      </c>
      <c r="AH234" s="180">
        <v>0</v>
      </c>
      <c r="AI234" s="180">
        <v>408743</v>
      </c>
      <c r="AJ234" s="180">
        <v>0</v>
      </c>
      <c r="AK234" s="180"/>
      <c r="AL234" s="180"/>
      <c r="AM234" s="180">
        <v>0</v>
      </c>
      <c r="AN234" s="180">
        <v>0</v>
      </c>
      <c r="AO234" s="180">
        <v>0</v>
      </c>
      <c r="AP234" s="180">
        <v>0</v>
      </c>
      <c r="AQ234" s="180">
        <v>0</v>
      </c>
      <c r="AR234" s="180">
        <v>0</v>
      </c>
      <c r="AS234" s="180"/>
      <c r="AT234" s="180">
        <v>0</v>
      </c>
      <c r="AU234" s="180">
        <v>0</v>
      </c>
      <c r="AV234" s="180">
        <v>0</v>
      </c>
      <c r="AW234" s="180">
        <v>0</v>
      </c>
      <c r="AX234" s="180">
        <v>0</v>
      </c>
      <c r="AY234" s="180">
        <v>0</v>
      </c>
      <c r="AZ234" s="180">
        <v>0</v>
      </c>
      <c r="BA234" s="180">
        <v>0</v>
      </c>
      <c r="BB234" s="180">
        <v>0</v>
      </c>
      <c r="BC234" s="180">
        <v>0</v>
      </c>
      <c r="BD234" s="180">
        <v>0</v>
      </c>
      <c r="BE234" s="180">
        <v>0</v>
      </c>
      <c r="BF234" s="180">
        <v>0</v>
      </c>
      <c r="BG234" s="180">
        <v>0</v>
      </c>
      <c r="BH234" s="180">
        <v>0</v>
      </c>
      <c r="BI234" s="180">
        <v>0</v>
      </c>
      <c r="BJ234" s="180">
        <v>0</v>
      </c>
      <c r="BK234" s="180">
        <v>0</v>
      </c>
      <c r="BL234" s="180"/>
      <c r="BM234" s="180">
        <v>0</v>
      </c>
      <c r="BN234" s="180">
        <v>0</v>
      </c>
      <c r="BO234" s="180">
        <v>0</v>
      </c>
      <c r="BP234" s="180">
        <v>0</v>
      </c>
      <c r="BQ234" s="180">
        <v>0</v>
      </c>
      <c r="BR234" s="180">
        <v>0</v>
      </c>
      <c r="BS234" s="180">
        <v>28929</v>
      </c>
      <c r="BT234" s="180">
        <v>0</v>
      </c>
      <c r="BU234" s="180">
        <v>0</v>
      </c>
      <c r="BV234" s="180">
        <v>0</v>
      </c>
      <c r="BW234" s="180">
        <v>0</v>
      </c>
      <c r="BX234" s="180">
        <v>0</v>
      </c>
      <c r="BY234" s="180">
        <v>0</v>
      </c>
      <c r="BZ234" s="180">
        <v>0</v>
      </c>
      <c r="CA234" s="180">
        <v>0</v>
      </c>
      <c r="CB234" s="180">
        <v>0</v>
      </c>
      <c r="CC234" s="180"/>
      <c r="CD234" s="180">
        <v>0</v>
      </c>
      <c r="CE234" s="180"/>
      <c r="CF234" s="180"/>
      <c r="CG234" s="180"/>
      <c r="CH234" s="180"/>
      <c r="CI234" s="180"/>
      <c r="CJ234" s="180"/>
      <c r="CK234" s="180"/>
      <c r="CL234" s="180"/>
      <c r="CM234" s="180"/>
      <c r="CN234" s="180"/>
      <c r="CO234" s="180"/>
      <c r="CP234" s="180"/>
      <c r="CQ234" s="180"/>
      <c r="CR234" s="180"/>
      <c r="CS234" s="180"/>
      <c r="CT234" s="180"/>
      <c r="CU234" s="180"/>
    </row>
    <row r="235" spans="1:99" x14ac:dyDescent="0.3">
      <c r="A235" s="155">
        <v>991</v>
      </c>
      <c r="B235" s="180" t="s">
        <v>1029</v>
      </c>
      <c r="C235" s="180"/>
      <c r="D235" s="180"/>
      <c r="E235" s="180">
        <v>23</v>
      </c>
      <c r="F235" s="180">
        <v>23</v>
      </c>
      <c r="G235" s="180">
        <v>22</v>
      </c>
      <c r="H235" s="180">
        <v>23</v>
      </c>
      <c r="I235" s="180">
        <v>20</v>
      </c>
      <c r="J235" s="180">
        <v>23</v>
      </c>
      <c r="K235" s="180">
        <v>23</v>
      </c>
      <c r="L235" s="180">
        <v>23</v>
      </c>
      <c r="M235" s="180">
        <v>20</v>
      </c>
      <c r="N235" s="180">
        <v>23</v>
      </c>
      <c r="O235" s="180">
        <v>23</v>
      </c>
      <c r="P235" s="180">
        <v>23</v>
      </c>
      <c r="Q235" s="180">
        <v>23</v>
      </c>
      <c r="R235" s="180">
        <v>22</v>
      </c>
      <c r="S235" s="180">
        <v>0</v>
      </c>
      <c r="T235" s="180">
        <v>20</v>
      </c>
      <c r="U235" s="180">
        <v>23</v>
      </c>
      <c r="V235" s="180">
        <v>20</v>
      </c>
      <c r="W235" s="180">
        <v>23</v>
      </c>
      <c r="X235" s="180"/>
      <c r="Y235" s="180">
        <v>23</v>
      </c>
      <c r="Z235" s="180">
        <v>23</v>
      </c>
      <c r="AA235" s="180">
        <v>23</v>
      </c>
      <c r="AB235" s="180">
        <v>23</v>
      </c>
      <c r="AC235" s="180">
        <v>23</v>
      </c>
      <c r="AD235" s="180">
        <v>23</v>
      </c>
      <c r="AE235" s="180">
        <v>23</v>
      </c>
      <c r="AF235" s="180">
        <v>23</v>
      </c>
      <c r="AG235" s="180">
        <v>23</v>
      </c>
      <c r="AH235" s="180">
        <v>22</v>
      </c>
      <c r="AI235" s="180">
        <v>20</v>
      </c>
      <c r="AJ235" s="180">
        <v>22</v>
      </c>
      <c r="AK235" s="180"/>
      <c r="AL235" s="180"/>
      <c r="AM235" s="180">
        <v>23</v>
      </c>
      <c r="AN235" s="180">
        <v>23</v>
      </c>
      <c r="AO235" s="180">
        <v>23</v>
      </c>
      <c r="AP235" s="180">
        <v>23</v>
      </c>
      <c r="AQ235" s="180">
        <v>22</v>
      </c>
      <c r="AR235" s="180">
        <v>20</v>
      </c>
      <c r="AS235" s="180"/>
      <c r="AT235" s="180">
        <v>23</v>
      </c>
      <c r="AU235" s="180">
        <v>23</v>
      </c>
      <c r="AV235" s="180">
        <v>20</v>
      </c>
      <c r="AW235" s="180">
        <v>23</v>
      </c>
      <c r="AX235" s="180">
        <v>23</v>
      </c>
      <c r="AY235" s="180">
        <v>22</v>
      </c>
      <c r="AZ235" s="180">
        <v>20</v>
      </c>
      <c r="BA235" s="180">
        <v>23</v>
      </c>
      <c r="BB235" s="180">
        <v>22</v>
      </c>
      <c r="BC235" s="180">
        <v>23</v>
      </c>
      <c r="BD235" s="180">
        <v>23</v>
      </c>
      <c r="BE235" s="180">
        <v>23</v>
      </c>
      <c r="BF235" s="180">
        <v>22</v>
      </c>
      <c r="BG235" s="180">
        <v>22</v>
      </c>
      <c r="BH235" s="180">
        <v>23</v>
      </c>
      <c r="BI235" s="180">
        <v>0</v>
      </c>
      <c r="BJ235" s="180">
        <v>23</v>
      </c>
      <c r="BK235" s="180">
        <v>22</v>
      </c>
      <c r="BL235" s="180"/>
      <c r="BM235" s="180">
        <v>23</v>
      </c>
      <c r="BN235" s="180">
        <v>23</v>
      </c>
      <c r="BO235" s="180">
        <v>23</v>
      </c>
      <c r="BP235" s="180">
        <v>20</v>
      </c>
      <c r="BQ235" s="180">
        <v>22</v>
      </c>
      <c r="BR235" s="180">
        <v>23</v>
      </c>
      <c r="BS235" s="180">
        <v>20</v>
      </c>
      <c r="BT235" s="180">
        <v>23</v>
      </c>
      <c r="BU235" s="180">
        <v>23</v>
      </c>
      <c r="BV235" s="180">
        <v>23</v>
      </c>
      <c r="BW235" s="180">
        <v>0</v>
      </c>
      <c r="BX235" s="180">
        <v>23</v>
      </c>
      <c r="BY235" s="180">
        <v>23</v>
      </c>
      <c r="BZ235" s="180">
        <v>23</v>
      </c>
      <c r="CA235" s="180">
        <v>23</v>
      </c>
      <c r="CB235" s="180">
        <v>23</v>
      </c>
      <c r="CC235" s="180"/>
      <c r="CD235" s="180">
        <v>22</v>
      </c>
      <c r="CE235" s="180"/>
      <c r="CF235" s="180"/>
      <c r="CG235" s="180"/>
      <c r="CH235" s="180"/>
      <c r="CI235" s="180"/>
      <c r="CJ235" s="180"/>
      <c r="CK235" s="180"/>
      <c r="CL235" s="180"/>
      <c r="CM235" s="180"/>
      <c r="CN235" s="180"/>
      <c r="CO235" s="180"/>
      <c r="CP235" s="180"/>
      <c r="CQ235" s="180"/>
      <c r="CR235" s="180"/>
      <c r="CS235" s="180"/>
      <c r="CT235" s="180"/>
      <c r="CU235" s="180"/>
    </row>
    <row r="236" spans="1:99" x14ac:dyDescent="0.3">
      <c r="A236" s="155">
        <v>995</v>
      </c>
      <c r="B236" s="180" t="s">
        <v>275</v>
      </c>
      <c r="C236" s="180"/>
      <c r="D236" s="180">
        <v>0</v>
      </c>
      <c r="E236" s="180">
        <v>0</v>
      </c>
      <c r="F236" s="180">
        <v>0</v>
      </c>
      <c r="G236" s="180">
        <v>0</v>
      </c>
      <c r="H236" s="180">
        <v>0</v>
      </c>
      <c r="I236" s="180">
        <v>0</v>
      </c>
      <c r="J236" s="180">
        <v>0</v>
      </c>
      <c r="K236" s="180">
        <v>0</v>
      </c>
      <c r="L236" s="180">
        <v>0</v>
      </c>
      <c r="M236" s="180">
        <v>0</v>
      </c>
      <c r="N236" s="180">
        <v>0</v>
      </c>
      <c r="O236" s="180">
        <v>0</v>
      </c>
      <c r="P236" s="180">
        <v>0</v>
      </c>
      <c r="Q236" s="180">
        <v>7.0000000000000007E-2</v>
      </c>
      <c r="R236" s="180">
        <v>0</v>
      </c>
      <c r="S236" s="180">
        <v>0</v>
      </c>
      <c r="T236" s="180">
        <v>0</v>
      </c>
      <c r="U236" s="180">
        <v>0</v>
      </c>
      <c r="V236" s="180">
        <v>7.0000000000000007E-2</v>
      </c>
      <c r="W236" s="180">
        <v>0</v>
      </c>
      <c r="X236" s="180">
        <v>0</v>
      </c>
      <c r="Y236" s="180">
        <v>0</v>
      </c>
      <c r="Z236" s="180">
        <v>0</v>
      </c>
      <c r="AA236" s="180">
        <v>0</v>
      </c>
      <c r="AB236" s="180">
        <v>0</v>
      </c>
      <c r="AC236" s="180">
        <v>0</v>
      </c>
      <c r="AD236" s="180">
        <v>0</v>
      </c>
      <c r="AE236" s="180">
        <v>0</v>
      </c>
      <c r="AF236" s="180">
        <v>0</v>
      </c>
      <c r="AG236" s="180">
        <v>0</v>
      </c>
      <c r="AH236" s="180">
        <v>0</v>
      </c>
      <c r="AI236" s="180">
        <v>0.08</v>
      </c>
      <c r="AJ236" s="180">
        <v>0</v>
      </c>
      <c r="AK236" s="180">
        <v>0</v>
      </c>
      <c r="AL236" s="180">
        <v>0</v>
      </c>
      <c r="AM236" s="180">
        <v>7.0000000000000007E-2</v>
      </c>
      <c r="AN236" s="180">
        <v>0</v>
      </c>
      <c r="AO236" s="180">
        <v>0</v>
      </c>
      <c r="AP236" s="180">
        <v>0</v>
      </c>
      <c r="AQ236" s="180">
        <v>0</v>
      </c>
      <c r="AR236" s="180">
        <v>0</v>
      </c>
      <c r="AS236" s="180">
        <v>0</v>
      </c>
      <c r="AT236" s="180">
        <v>0</v>
      </c>
      <c r="AU236" s="180">
        <v>0.09</v>
      </c>
      <c r="AV236" s="180">
        <v>0</v>
      </c>
      <c r="AW236" s="180">
        <v>0</v>
      </c>
      <c r="AX236" s="180">
        <v>0</v>
      </c>
      <c r="AY236" s="180">
        <v>0</v>
      </c>
      <c r="AZ236" s="180">
        <v>0</v>
      </c>
      <c r="BA236" s="180">
        <v>0</v>
      </c>
      <c r="BB236" s="180">
        <v>0</v>
      </c>
      <c r="BC236" s="180">
        <v>0</v>
      </c>
      <c r="BD236" s="180">
        <v>0</v>
      </c>
      <c r="BE236" s="180">
        <v>0</v>
      </c>
      <c r="BF236" s="180">
        <v>0</v>
      </c>
      <c r="BG236" s="180">
        <v>0</v>
      </c>
      <c r="BH236" s="180">
        <v>0</v>
      </c>
      <c r="BI236" s="180">
        <v>0</v>
      </c>
      <c r="BJ236" s="180">
        <v>0</v>
      </c>
      <c r="BK236" s="180">
        <v>0</v>
      </c>
      <c r="BL236" s="180">
        <v>0.08</v>
      </c>
      <c r="BM236" s="180">
        <v>0</v>
      </c>
      <c r="BN236" s="180">
        <v>0</v>
      </c>
      <c r="BO236" s="180">
        <v>0</v>
      </c>
      <c r="BP236" s="180">
        <v>0</v>
      </c>
      <c r="BQ236" s="180">
        <v>0</v>
      </c>
      <c r="BR236" s="180">
        <v>0.09</v>
      </c>
      <c r="BS236" s="180">
        <v>7.0000000000000007E-2</v>
      </c>
      <c r="BT236" s="180">
        <v>0</v>
      </c>
      <c r="BU236" s="180">
        <v>0</v>
      </c>
      <c r="BV236" s="180">
        <v>0</v>
      </c>
      <c r="BW236" s="180">
        <v>0</v>
      </c>
      <c r="BX236" s="180">
        <v>0</v>
      </c>
      <c r="BY236" s="180">
        <v>0</v>
      </c>
      <c r="BZ236" s="180">
        <v>0</v>
      </c>
      <c r="CA236" s="180">
        <v>0</v>
      </c>
      <c r="CB236" s="180">
        <v>0</v>
      </c>
      <c r="CC236" s="180">
        <v>0</v>
      </c>
      <c r="CD236" s="180">
        <v>0</v>
      </c>
      <c r="CE236" s="180"/>
      <c r="CF236" s="180"/>
      <c r="CG236" s="180"/>
      <c r="CH236" s="180"/>
      <c r="CI236" s="180"/>
      <c r="CJ236" s="180"/>
      <c r="CK236" s="180"/>
      <c r="CL236" s="180"/>
      <c r="CM236" s="180"/>
      <c r="CN236" s="180"/>
      <c r="CO236" s="180"/>
      <c r="CP236" s="180"/>
      <c r="CQ236" s="180"/>
      <c r="CR236" s="180"/>
      <c r="CS236" s="180"/>
      <c r="CT236" s="180"/>
      <c r="CU236" s="180"/>
    </row>
    <row r="237" spans="1:99" x14ac:dyDescent="0.3">
      <c r="A237" s="155">
        <v>996</v>
      </c>
      <c r="B237" s="180" t="s">
        <v>276</v>
      </c>
      <c r="C237" s="180"/>
      <c r="D237" s="180">
        <v>0.01</v>
      </c>
      <c r="E237" s="180">
        <v>0</v>
      </c>
      <c r="F237" s="180">
        <v>0.01</v>
      </c>
      <c r="G237" s="180">
        <v>0</v>
      </c>
      <c r="H237" s="180">
        <v>0</v>
      </c>
      <c r="I237" s="180">
        <v>0</v>
      </c>
      <c r="J237" s="180">
        <v>0.01</v>
      </c>
      <c r="K237" s="180">
        <v>0</v>
      </c>
      <c r="L237" s="180">
        <v>0</v>
      </c>
      <c r="M237" s="180">
        <v>0</v>
      </c>
      <c r="N237" s="180">
        <v>0</v>
      </c>
      <c r="O237" s="180">
        <v>0.01</v>
      </c>
      <c r="P237" s="180">
        <v>0</v>
      </c>
      <c r="Q237" s="180">
        <v>0.01</v>
      </c>
      <c r="R237" s="180">
        <v>0.01</v>
      </c>
      <c r="S237" s="180">
        <v>0</v>
      </c>
      <c r="T237" s="180">
        <v>0.01</v>
      </c>
      <c r="U237" s="180">
        <v>0.01</v>
      </c>
      <c r="V237" s="180">
        <v>0.01</v>
      </c>
      <c r="W237" s="180">
        <v>0</v>
      </c>
      <c r="X237" s="180">
        <v>0.01</v>
      </c>
      <c r="Y237" s="180">
        <v>0.01</v>
      </c>
      <c r="Z237" s="180">
        <v>0.01</v>
      </c>
      <c r="AA237" s="180">
        <v>0.01</v>
      </c>
      <c r="AB237" s="180">
        <v>0.01</v>
      </c>
      <c r="AC237" s="180">
        <v>0.01</v>
      </c>
      <c r="AD237" s="180">
        <v>0.01</v>
      </c>
      <c r="AE237" s="180">
        <v>0.01</v>
      </c>
      <c r="AF237" s="180">
        <v>0.01</v>
      </c>
      <c r="AG237" s="180">
        <v>0.01</v>
      </c>
      <c r="AH237" s="180">
        <v>0</v>
      </c>
      <c r="AI237" s="180">
        <v>0.01</v>
      </c>
      <c r="AJ237" s="180">
        <v>0.01</v>
      </c>
      <c r="AK237" s="180">
        <v>0.01</v>
      </c>
      <c r="AL237" s="180">
        <v>0.01</v>
      </c>
      <c r="AM237" s="180">
        <v>0.01</v>
      </c>
      <c r="AN237" s="180">
        <v>0.01</v>
      </c>
      <c r="AO237" s="180">
        <v>0.01</v>
      </c>
      <c r="AP237" s="180">
        <v>0</v>
      </c>
      <c r="AQ237" s="180">
        <v>0</v>
      </c>
      <c r="AR237" s="180">
        <v>0.01</v>
      </c>
      <c r="AS237" s="180">
        <v>0</v>
      </c>
      <c r="AT237" s="180">
        <v>0.01</v>
      </c>
      <c r="AU237" s="180">
        <v>0</v>
      </c>
      <c r="AV237" s="180">
        <v>0.01</v>
      </c>
      <c r="AW237" s="180">
        <v>0</v>
      </c>
      <c r="AX237" s="180">
        <v>0.01</v>
      </c>
      <c r="AY237" s="180">
        <v>0.01</v>
      </c>
      <c r="AZ237" s="180">
        <v>0.01</v>
      </c>
      <c r="BA237" s="180">
        <v>0.01</v>
      </c>
      <c r="BB237" s="180">
        <v>0</v>
      </c>
      <c r="BC237" s="180">
        <v>0.01</v>
      </c>
      <c r="BD237" s="180">
        <v>0.01</v>
      </c>
      <c r="BE237" s="180">
        <v>0</v>
      </c>
      <c r="BF237" s="180">
        <v>0.01</v>
      </c>
      <c r="BG237" s="180">
        <v>0.01</v>
      </c>
      <c r="BH237" s="180">
        <v>0</v>
      </c>
      <c r="BI237" s="180">
        <v>0.01</v>
      </c>
      <c r="BJ237" s="180">
        <v>0</v>
      </c>
      <c r="BK237" s="180">
        <v>0.01</v>
      </c>
      <c r="BL237" s="180">
        <v>0.01</v>
      </c>
      <c r="BM237" s="180">
        <v>0.01</v>
      </c>
      <c r="BN237" s="180">
        <v>0.01</v>
      </c>
      <c r="BO237" s="180">
        <v>0.01</v>
      </c>
      <c r="BP237" s="180">
        <v>0.01</v>
      </c>
      <c r="BQ237" s="180">
        <v>0</v>
      </c>
      <c r="BR237" s="180">
        <v>0.01</v>
      </c>
      <c r="BS237" s="180">
        <v>0</v>
      </c>
      <c r="BT237" s="180">
        <v>0.01</v>
      </c>
      <c r="BU237" s="180">
        <v>0.01</v>
      </c>
      <c r="BV237" s="180">
        <v>0</v>
      </c>
      <c r="BW237" s="180">
        <v>0.01</v>
      </c>
      <c r="BX237" s="180">
        <v>0.01</v>
      </c>
      <c r="BY237" s="180">
        <v>0.01</v>
      </c>
      <c r="BZ237" s="180">
        <v>0.01</v>
      </c>
      <c r="CA237" s="180">
        <v>0.01</v>
      </c>
      <c r="CB237" s="180">
        <v>0.01</v>
      </c>
      <c r="CC237" s="180">
        <v>0</v>
      </c>
      <c r="CD237" s="180">
        <v>0.01</v>
      </c>
      <c r="CE237" s="180"/>
      <c r="CF237" s="180"/>
      <c r="CG237" s="180"/>
      <c r="CH237" s="180"/>
      <c r="CI237" s="180"/>
      <c r="CJ237" s="180"/>
      <c r="CK237" s="180"/>
      <c r="CL237" s="180"/>
      <c r="CM237" s="180"/>
      <c r="CN237" s="180"/>
      <c r="CO237" s="180"/>
      <c r="CP237" s="180"/>
      <c r="CQ237" s="180"/>
      <c r="CR237" s="180"/>
      <c r="CS237" s="180"/>
      <c r="CT237" s="180"/>
      <c r="CU237" s="180"/>
    </row>
    <row r="238" spans="1:99" x14ac:dyDescent="0.3">
      <c r="A238" s="155">
        <v>998</v>
      </c>
      <c r="B238" s="180" t="s">
        <v>277</v>
      </c>
      <c r="C238" s="180"/>
      <c r="D238" s="180">
        <v>50</v>
      </c>
      <c r="E238" s="180">
        <v>50</v>
      </c>
      <c r="F238" s="180">
        <v>50</v>
      </c>
      <c r="G238" s="180">
        <v>50</v>
      </c>
      <c r="H238" s="180">
        <v>50</v>
      </c>
      <c r="I238" s="180">
        <v>50</v>
      </c>
      <c r="J238" s="180">
        <v>50</v>
      </c>
      <c r="K238" s="180">
        <v>50</v>
      </c>
      <c r="L238" s="180">
        <v>50</v>
      </c>
      <c r="M238" s="180">
        <v>50</v>
      </c>
      <c r="N238" s="180">
        <v>50</v>
      </c>
      <c r="O238" s="180">
        <v>50</v>
      </c>
      <c r="P238" s="180">
        <v>50</v>
      </c>
      <c r="Q238" s="180">
        <v>50</v>
      </c>
      <c r="R238" s="180">
        <v>50</v>
      </c>
      <c r="S238" s="180">
        <v>50</v>
      </c>
      <c r="T238" s="180">
        <v>50</v>
      </c>
      <c r="U238" s="180">
        <v>50</v>
      </c>
      <c r="V238" s="180">
        <v>50</v>
      </c>
      <c r="W238" s="180">
        <v>50</v>
      </c>
      <c r="X238" s="180">
        <v>50</v>
      </c>
      <c r="Y238" s="180">
        <v>50</v>
      </c>
      <c r="Z238" s="180">
        <v>50</v>
      </c>
      <c r="AA238" s="180">
        <v>50</v>
      </c>
      <c r="AB238" s="180">
        <v>50</v>
      </c>
      <c r="AC238" s="180">
        <v>50</v>
      </c>
      <c r="AD238" s="180">
        <v>50</v>
      </c>
      <c r="AE238" s="180">
        <v>50</v>
      </c>
      <c r="AF238" s="180">
        <v>50</v>
      </c>
      <c r="AG238" s="180">
        <v>50</v>
      </c>
      <c r="AH238" s="180">
        <v>50</v>
      </c>
      <c r="AI238" s="180">
        <v>50</v>
      </c>
      <c r="AJ238" s="180">
        <v>50</v>
      </c>
      <c r="AK238" s="180">
        <v>50</v>
      </c>
      <c r="AL238" s="180">
        <v>50</v>
      </c>
      <c r="AM238" s="180">
        <v>50</v>
      </c>
      <c r="AN238" s="180">
        <v>50</v>
      </c>
      <c r="AO238" s="180">
        <v>50</v>
      </c>
      <c r="AP238" s="180">
        <v>50</v>
      </c>
      <c r="AQ238" s="180">
        <v>50</v>
      </c>
      <c r="AR238" s="180">
        <v>50</v>
      </c>
      <c r="AS238" s="180">
        <v>50</v>
      </c>
      <c r="AT238" s="180">
        <v>50</v>
      </c>
      <c r="AU238" s="180">
        <v>50</v>
      </c>
      <c r="AV238" s="180">
        <v>50</v>
      </c>
      <c r="AW238" s="180">
        <v>50</v>
      </c>
      <c r="AX238" s="180">
        <v>50</v>
      </c>
      <c r="AY238" s="180">
        <v>50</v>
      </c>
      <c r="AZ238" s="180">
        <v>50</v>
      </c>
      <c r="BA238" s="180">
        <v>50</v>
      </c>
      <c r="BB238" s="180">
        <v>50</v>
      </c>
      <c r="BC238" s="180">
        <v>50</v>
      </c>
      <c r="BD238" s="180">
        <v>50</v>
      </c>
      <c r="BE238" s="180">
        <v>50</v>
      </c>
      <c r="BF238" s="180">
        <v>50</v>
      </c>
      <c r="BG238" s="180">
        <v>50</v>
      </c>
      <c r="BH238" s="180">
        <v>50</v>
      </c>
      <c r="BI238" s="180">
        <v>50</v>
      </c>
      <c r="BJ238" s="180">
        <v>50</v>
      </c>
      <c r="BK238" s="180">
        <v>50</v>
      </c>
      <c r="BL238" s="180">
        <v>50</v>
      </c>
      <c r="BM238" s="180">
        <v>50</v>
      </c>
      <c r="BN238" s="180">
        <v>50</v>
      </c>
      <c r="BO238" s="180">
        <v>50</v>
      </c>
      <c r="BP238" s="180">
        <v>50</v>
      </c>
      <c r="BQ238" s="180">
        <v>50</v>
      </c>
      <c r="BR238" s="180">
        <v>50</v>
      </c>
      <c r="BS238" s="180">
        <v>50</v>
      </c>
      <c r="BT238" s="180">
        <v>50</v>
      </c>
      <c r="BU238" s="180">
        <v>50</v>
      </c>
      <c r="BV238" s="180">
        <v>50</v>
      </c>
      <c r="BW238" s="180">
        <v>50</v>
      </c>
      <c r="BX238" s="180">
        <v>50</v>
      </c>
      <c r="BY238" s="180">
        <v>50</v>
      </c>
      <c r="BZ238" s="180">
        <v>50</v>
      </c>
      <c r="CA238" s="180">
        <v>50</v>
      </c>
      <c r="CB238" s="180">
        <v>50</v>
      </c>
      <c r="CC238" s="180">
        <v>50</v>
      </c>
      <c r="CD238" s="180">
        <v>50</v>
      </c>
      <c r="CE238" s="180"/>
      <c r="CF238" s="180"/>
      <c r="CG238" s="180"/>
      <c r="CH238" s="180"/>
      <c r="CI238" s="180"/>
      <c r="CJ238" s="180"/>
      <c r="CK238" s="180"/>
      <c r="CL238" s="180"/>
      <c r="CM238" s="180"/>
      <c r="CN238" s="180"/>
      <c r="CO238" s="180"/>
      <c r="CP238" s="180"/>
      <c r="CQ238" s="180"/>
      <c r="CR238" s="180"/>
      <c r="CS238" s="180"/>
      <c r="CT238" s="180"/>
      <c r="CU238" s="180"/>
    </row>
    <row r="239" spans="1:99" x14ac:dyDescent="0.3">
      <c r="A239" s="155">
        <v>999</v>
      </c>
      <c r="B239" s="180" t="s">
        <v>278</v>
      </c>
      <c r="C239" s="180"/>
      <c r="D239" s="180">
        <v>50254</v>
      </c>
      <c r="E239" s="180">
        <v>50255</v>
      </c>
      <c r="F239" s="180">
        <v>50256</v>
      </c>
      <c r="G239" s="180">
        <v>50558</v>
      </c>
      <c r="H239" s="180">
        <v>50566</v>
      </c>
      <c r="I239" s="180">
        <v>50562</v>
      </c>
      <c r="J239" s="180">
        <v>50257</v>
      </c>
      <c r="K239" s="180">
        <v>50555</v>
      </c>
      <c r="L239" s="180">
        <v>50445</v>
      </c>
      <c r="M239" s="180">
        <v>50452</v>
      </c>
      <c r="N239" s="180">
        <v>50563</v>
      </c>
      <c r="O239" s="180">
        <v>50258</v>
      </c>
      <c r="P239" s="180">
        <v>50523</v>
      </c>
      <c r="Q239" s="180">
        <v>50259</v>
      </c>
      <c r="R239" s="180">
        <v>50260</v>
      </c>
      <c r="S239" s="180">
        <v>50487</v>
      </c>
      <c r="T239" s="180">
        <v>50261</v>
      </c>
      <c r="U239" s="180">
        <v>50262</v>
      </c>
      <c r="V239" s="180">
        <v>50263</v>
      </c>
      <c r="W239" s="180">
        <v>50264</v>
      </c>
      <c r="X239" s="180">
        <v>50265</v>
      </c>
      <c r="Y239" s="180">
        <v>50266</v>
      </c>
      <c r="Z239" s="180">
        <v>50267</v>
      </c>
      <c r="AA239" s="180">
        <v>50268</v>
      </c>
      <c r="AB239" s="180">
        <v>50269</v>
      </c>
      <c r="AC239" s="180">
        <v>50270</v>
      </c>
      <c r="AD239" s="180">
        <v>50271</v>
      </c>
      <c r="AE239" s="180">
        <v>50272</v>
      </c>
      <c r="AF239" s="180">
        <v>50273</v>
      </c>
      <c r="AG239" s="180">
        <v>50274</v>
      </c>
      <c r="AH239" s="180">
        <v>50480</v>
      </c>
      <c r="AI239" s="180">
        <v>50275</v>
      </c>
      <c r="AJ239" s="180">
        <v>50277</v>
      </c>
      <c r="AK239" s="180">
        <v>50276</v>
      </c>
      <c r="AL239" s="180">
        <v>50278</v>
      </c>
      <c r="AM239" s="180">
        <v>50279</v>
      </c>
      <c r="AN239" s="180">
        <v>50280</v>
      </c>
      <c r="AO239" s="180">
        <v>50281</v>
      </c>
      <c r="AP239" s="180">
        <v>50478</v>
      </c>
      <c r="AQ239" s="180">
        <v>50524</v>
      </c>
      <c r="AR239" s="180">
        <v>50282</v>
      </c>
      <c r="AS239" s="180">
        <v>50525</v>
      </c>
      <c r="AT239" s="180">
        <v>50283</v>
      </c>
      <c r="AU239" s="180">
        <v>50285</v>
      </c>
      <c r="AV239" s="180">
        <v>50553</v>
      </c>
      <c r="AW239" s="180">
        <v>50548</v>
      </c>
      <c r="AX239" s="180">
        <v>50284</v>
      </c>
      <c r="AY239" s="180">
        <v>50286</v>
      </c>
      <c r="AZ239" s="180">
        <v>50287</v>
      </c>
      <c r="BA239" s="180">
        <v>50288</v>
      </c>
      <c r="BB239" s="180">
        <v>50290</v>
      </c>
      <c r="BC239" s="180">
        <v>50564</v>
      </c>
      <c r="BD239" s="180">
        <v>50289</v>
      </c>
      <c r="BE239" s="180">
        <v>50291</v>
      </c>
      <c r="BF239" s="180">
        <v>50292</v>
      </c>
      <c r="BG239" s="180">
        <v>50293</v>
      </c>
      <c r="BH239" s="180">
        <v>50463</v>
      </c>
      <c r="BI239" s="180">
        <v>50294</v>
      </c>
      <c r="BJ239" s="180">
        <v>50538</v>
      </c>
      <c r="BK239" s="180">
        <v>50295</v>
      </c>
      <c r="BL239" s="180">
        <v>50296</v>
      </c>
      <c r="BM239" s="180">
        <v>50297</v>
      </c>
      <c r="BN239" s="180">
        <v>50449</v>
      </c>
      <c r="BO239" s="180">
        <v>50300</v>
      </c>
      <c r="BP239" s="180">
        <v>50298</v>
      </c>
      <c r="BQ239" s="180">
        <v>50299</v>
      </c>
      <c r="BR239" s="180">
        <v>50301</v>
      </c>
      <c r="BS239" s="180">
        <v>50302</v>
      </c>
      <c r="BT239" s="180">
        <v>50303</v>
      </c>
      <c r="BU239" s="180">
        <v>50304</v>
      </c>
      <c r="BV239" s="180">
        <v>50540</v>
      </c>
      <c r="BW239" s="180">
        <v>50305</v>
      </c>
      <c r="BX239" s="180">
        <v>50306</v>
      </c>
      <c r="BY239" s="180">
        <v>50479</v>
      </c>
      <c r="BZ239" s="180">
        <v>50307</v>
      </c>
      <c r="CA239" s="180">
        <v>50308</v>
      </c>
      <c r="CB239" s="180">
        <v>50309</v>
      </c>
      <c r="CC239" s="180">
        <v>50310</v>
      </c>
      <c r="CD239" s="180">
        <v>50311</v>
      </c>
      <c r="CE239" s="180"/>
      <c r="CF239" s="180"/>
      <c r="CG239" s="180"/>
      <c r="CH239" s="180"/>
      <c r="CI239" s="180"/>
      <c r="CJ239" s="180"/>
      <c r="CK239" s="180"/>
      <c r="CL239" s="180"/>
      <c r="CM239" s="180"/>
      <c r="CN239" s="180"/>
      <c r="CO239" s="180"/>
      <c r="CP239" s="180"/>
      <c r="CQ239" s="180"/>
      <c r="CR239" s="180"/>
      <c r="CS239" s="180"/>
      <c r="CT239" s="180"/>
      <c r="CU239" s="180"/>
    </row>
    <row r="240" spans="1:99" x14ac:dyDescent="0.3">
      <c r="A240" s="155">
        <v>1050</v>
      </c>
      <c r="B240" s="180" t="s">
        <v>1512</v>
      </c>
      <c r="C240" s="180"/>
      <c r="D240" s="180"/>
      <c r="E240" s="180">
        <v>2570</v>
      </c>
      <c r="F240" s="180">
        <v>30634</v>
      </c>
      <c r="G240" s="180">
        <v>3776</v>
      </c>
      <c r="H240" s="180">
        <v>0</v>
      </c>
      <c r="I240" s="180">
        <v>0</v>
      </c>
      <c r="J240" s="180">
        <v>0</v>
      </c>
      <c r="K240" s="180">
        <v>0</v>
      </c>
      <c r="L240" s="180">
        <v>38735</v>
      </c>
      <c r="M240" s="180">
        <v>0</v>
      </c>
      <c r="N240" s="180">
        <v>4036</v>
      </c>
      <c r="O240" s="180">
        <v>0</v>
      </c>
      <c r="P240" s="180">
        <v>0</v>
      </c>
      <c r="Q240" s="180">
        <v>365356</v>
      </c>
      <c r="R240" s="180">
        <v>0</v>
      </c>
      <c r="S240" s="180">
        <v>0</v>
      </c>
      <c r="T240" s="180">
        <v>0</v>
      </c>
      <c r="U240" s="180">
        <v>0</v>
      </c>
      <c r="V240" s="180">
        <v>384855</v>
      </c>
      <c r="W240" s="180">
        <v>1360403</v>
      </c>
      <c r="X240" s="180"/>
      <c r="Y240" s="180">
        <v>307346</v>
      </c>
      <c r="Z240" s="180">
        <v>59928</v>
      </c>
      <c r="AA240" s="180">
        <v>397756</v>
      </c>
      <c r="AB240" s="180">
        <v>0</v>
      </c>
      <c r="AC240" s="180">
        <v>0</v>
      </c>
      <c r="AD240" s="180">
        <v>96366</v>
      </c>
      <c r="AE240" s="180">
        <v>52422</v>
      </c>
      <c r="AF240" s="180">
        <v>25685</v>
      </c>
      <c r="AG240" s="180">
        <v>137750</v>
      </c>
      <c r="AH240" s="180">
        <v>69521</v>
      </c>
      <c r="AI240" s="180">
        <v>1108424</v>
      </c>
      <c r="AJ240" s="180">
        <v>0</v>
      </c>
      <c r="AK240" s="180"/>
      <c r="AL240" s="180"/>
      <c r="AM240" s="180">
        <v>155092</v>
      </c>
      <c r="AN240" s="180">
        <v>59910</v>
      </c>
      <c r="AO240" s="180">
        <v>23405</v>
      </c>
      <c r="AP240" s="180">
        <v>0</v>
      </c>
      <c r="AQ240" s="180">
        <v>14012</v>
      </c>
      <c r="AR240" s="180">
        <v>0</v>
      </c>
      <c r="AS240" s="180"/>
      <c r="AT240" s="180">
        <v>105103</v>
      </c>
      <c r="AU240" s="180">
        <v>200</v>
      </c>
      <c r="AV240" s="180">
        <v>0</v>
      </c>
      <c r="AW240" s="180">
        <v>0</v>
      </c>
      <c r="AX240" s="180">
        <v>82284</v>
      </c>
      <c r="AY240" s="180">
        <v>0</v>
      </c>
      <c r="AZ240" s="180">
        <v>42500</v>
      </c>
      <c r="BA240" s="180">
        <v>0</v>
      </c>
      <c r="BB240" s="180">
        <v>0</v>
      </c>
      <c r="BC240" s="180">
        <v>0</v>
      </c>
      <c r="BD240" s="180">
        <v>197429</v>
      </c>
      <c r="BE240" s="180">
        <v>0</v>
      </c>
      <c r="BF240" s="180">
        <v>49071</v>
      </c>
      <c r="BG240" s="180">
        <v>1869</v>
      </c>
      <c r="BH240" s="180">
        <v>0</v>
      </c>
      <c r="BI240" s="180">
        <v>14632</v>
      </c>
      <c r="BJ240" s="180">
        <v>11850</v>
      </c>
      <c r="BK240" s="180">
        <v>96650</v>
      </c>
      <c r="BL240" s="180"/>
      <c r="BM240" s="180">
        <v>0</v>
      </c>
      <c r="BN240" s="180">
        <v>35569</v>
      </c>
      <c r="BO240" s="180">
        <v>2319</v>
      </c>
      <c r="BP240" s="180">
        <v>506</v>
      </c>
      <c r="BQ240" s="180">
        <v>1130492</v>
      </c>
      <c r="BR240" s="180">
        <v>5169</v>
      </c>
      <c r="BS240" s="180">
        <v>178483</v>
      </c>
      <c r="BT240" s="180">
        <v>0</v>
      </c>
      <c r="BU240" s="180">
        <v>221587</v>
      </c>
      <c r="BV240" s="180">
        <v>0</v>
      </c>
      <c r="BW240" s="180">
        <v>115422</v>
      </c>
      <c r="BX240" s="180">
        <v>79631</v>
      </c>
      <c r="BY240" s="180">
        <v>4200</v>
      </c>
      <c r="BZ240" s="180">
        <v>11917</v>
      </c>
      <c r="CA240" s="180">
        <v>0</v>
      </c>
      <c r="CB240" s="180">
        <v>0</v>
      </c>
      <c r="CC240" s="180"/>
      <c r="CD240" s="180">
        <v>0</v>
      </c>
      <c r="CE240" s="180"/>
      <c r="CF240" s="180"/>
      <c r="CG240" s="180"/>
      <c r="CH240" s="180"/>
      <c r="CI240" s="180"/>
      <c r="CJ240" s="180"/>
      <c r="CK240" s="180"/>
      <c r="CL240" s="180"/>
      <c r="CM240" s="180"/>
      <c r="CN240" s="180"/>
      <c r="CO240" s="180"/>
      <c r="CP240" s="180"/>
      <c r="CQ240" s="180"/>
      <c r="CR240" s="180"/>
      <c r="CS240" s="180"/>
      <c r="CT240" s="180"/>
      <c r="CU240" s="180"/>
    </row>
    <row r="241" spans="1:99" x14ac:dyDescent="0.3">
      <c r="A241" s="155">
        <v>1051</v>
      </c>
      <c r="B241" s="180" t="s">
        <v>1704</v>
      </c>
      <c r="C241" s="180"/>
      <c r="D241" s="180"/>
      <c r="E241" s="180">
        <v>0</v>
      </c>
      <c r="F241" s="180">
        <v>0</v>
      </c>
      <c r="G241" s="180">
        <v>0</v>
      </c>
      <c r="H241" s="180">
        <v>0</v>
      </c>
      <c r="I241" s="180">
        <v>0</v>
      </c>
      <c r="J241" s="180">
        <v>0</v>
      </c>
      <c r="K241" s="180">
        <v>0</v>
      </c>
      <c r="L241" s="180">
        <v>0</v>
      </c>
      <c r="M241" s="180">
        <v>0</v>
      </c>
      <c r="N241" s="180">
        <v>0</v>
      </c>
      <c r="O241" s="180">
        <v>0</v>
      </c>
      <c r="P241" s="180">
        <v>0</v>
      </c>
      <c r="Q241" s="180">
        <v>0</v>
      </c>
      <c r="R241" s="180">
        <v>0</v>
      </c>
      <c r="S241" s="180">
        <v>0</v>
      </c>
      <c r="T241" s="180">
        <v>0</v>
      </c>
      <c r="U241" s="180">
        <v>0</v>
      </c>
      <c r="V241" s="180">
        <v>0</v>
      </c>
      <c r="W241" s="180">
        <v>0</v>
      </c>
      <c r="X241" s="180"/>
      <c r="Y241" s="180">
        <v>0</v>
      </c>
      <c r="Z241" s="180">
        <v>0</v>
      </c>
      <c r="AA241" s="180">
        <v>0</v>
      </c>
      <c r="AB241" s="180">
        <v>0</v>
      </c>
      <c r="AC241" s="180">
        <v>0</v>
      </c>
      <c r="AD241" s="180">
        <v>0</v>
      </c>
      <c r="AE241" s="180">
        <v>0</v>
      </c>
      <c r="AF241" s="180">
        <v>0</v>
      </c>
      <c r="AG241" s="180">
        <v>0</v>
      </c>
      <c r="AH241" s="180">
        <v>0</v>
      </c>
      <c r="AI241" s="180">
        <v>3565000</v>
      </c>
      <c r="AJ241" s="180">
        <v>0</v>
      </c>
      <c r="AK241" s="180"/>
      <c r="AL241" s="180"/>
      <c r="AM241" s="180">
        <v>0</v>
      </c>
      <c r="AN241" s="180">
        <v>0</v>
      </c>
      <c r="AO241" s="180">
        <v>0</v>
      </c>
      <c r="AP241" s="180">
        <v>0</v>
      </c>
      <c r="AQ241" s="180">
        <v>0</v>
      </c>
      <c r="AR241" s="180">
        <v>0</v>
      </c>
      <c r="AS241" s="180"/>
      <c r="AT241" s="180">
        <v>0</v>
      </c>
      <c r="AU241" s="180">
        <v>0</v>
      </c>
      <c r="AV241" s="180">
        <v>0</v>
      </c>
      <c r="AW241" s="180">
        <v>0</v>
      </c>
      <c r="AX241" s="180">
        <v>0</v>
      </c>
      <c r="AY241" s="180">
        <v>0</v>
      </c>
      <c r="AZ241" s="180">
        <v>0</v>
      </c>
      <c r="BA241" s="180">
        <v>0</v>
      </c>
      <c r="BB241" s="180">
        <v>0</v>
      </c>
      <c r="BC241" s="180">
        <v>0</v>
      </c>
      <c r="BD241" s="180">
        <v>0</v>
      </c>
      <c r="BE241" s="180">
        <v>0</v>
      </c>
      <c r="BF241" s="180">
        <v>0</v>
      </c>
      <c r="BG241" s="180">
        <v>0</v>
      </c>
      <c r="BH241" s="180">
        <v>0</v>
      </c>
      <c r="BI241" s="180">
        <v>0</v>
      </c>
      <c r="BJ241" s="180">
        <v>0</v>
      </c>
      <c r="BK241" s="180">
        <v>0</v>
      </c>
      <c r="BL241" s="180"/>
      <c r="BM241" s="180">
        <v>0</v>
      </c>
      <c r="BN241" s="180">
        <v>0</v>
      </c>
      <c r="BO241" s="180">
        <v>0</v>
      </c>
      <c r="BP241" s="180">
        <v>0</v>
      </c>
      <c r="BQ241" s="180">
        <v>0</v>
      </c>
      <c r="BR241" s="180">
        <v>0</v>
      </c>
      <c r="BS241" s="180">
        <v>0</v>
      </c>
      <c r="BT241" s="180">
        <v>0</v>
      </c>
      <c r="BU241" s="180">
        <v>0</v>
      </c>
      <c r="BV241" s="180">
        <v>0</v>
      </c>
      <c r="BW241" s="180">
        <v>0</v>
      </c>
      <c r="BX241" s="180">
        <v>0</v>
      </c>
      <c r="BY241" s="180">
        <v>0</v>
      </c>
      <c r="BZ241" s="180">
        <v>0</v>
      </c>
      <c r="CA241" s="180">
        <v>0</v>
      </c>
      <c r="CB241" s="180">
        <v>0</v>
      </c>
      <c r="CC241" s="180"/>
      <c r="CD241" s="180">
        <v>0</v>
      </c>
      <c r="CE241" s="180"/>
      <c r="CF241" s="180"/>
      <c r="CG241" s="180"/>
      <c r="CH241" s="180"/>
      <c r="CI241" s="180"/>
      <c r="CJ241" s="180"/>
      <c r="CK241" s="180"/>
      <c r="CL241" s="180"/>
      <c r="CM241" s="180"/>
      <c r="CN241" s="180"/>
      <c r="CO241" s="180"/>
      <c r="CP241" s="180"/>
      <c r="CQ241" s="180"/>
      <c r="CR241" s="180"/>
      <c r="CS241" s="180"/>
      <c r="CT241" s="180"/>
      <c r="CU241" s="180"/>
    </row>
    <row r="242" spans="1:99" x14ac:dyDescent="0.3">
      <c r="A242" s="155">
        <v>1052</v>
      </c>
      <c r="B242" s="180" t="s">
        <v>1705</v>
      </c>
      <c r="C242" s="180"/>
      <c r="D242" s="180"/>
      <c r="E242" s="180">
        <v>0</v>
      </c>
      <c r="F242" s="180">
        <v>0</v>
      </c>
      <c r="G242" s="180">
        <v>0</v>
      </c>
      <c r="H242" s="180">
        <v>0</v>
      </c>
      <c r="I242" s="180">
        <v>0</v>
      </c>
      <c r="J242" s="180">
        <v>0</v>
      </c>
      <c r="K242" s="180">
        <v>0</v>
      </c>
      <c r="L242" s="180">
        <v>0</v>
      </c>
      <c r="M242" s="180">
        <v>0</v>
      </c>
      <c r="N242" s="180">
        <v>0</v>
      </c>
      <c r="O242" s="180">
        <v>0</v>
      </c>
      <c r="P242" s="180">
        <v>0</v>
      </c>
      <c r="Q242" s="180">
        <v>-387489</v>
      </c>
      <c r="R242" s="180">
        <v>0</v>
      </c>
      <c r="S242" s="180">
        <v>0</v>
      </c>
      <c r="T242" s="180">
        <v>0</v>
      </c>
      <c r="U242" s="180">
        <v>0</v>
      </c>
      <c r="V242" s="180">
        <v>0</v>
      </c>
      <c r="W242" s="180">
        <v>0</v>
      </c>
      <c r="X242" s="180"/>
      <c r="Y242" s="180">
        <v>0</v>
      </c>
      <c r="Z242" s="180">
        <v>0</v>
      </c>
      <c r="AA242" s="180">
        <v>0</v>
      </c>
      <c r="AB242" s="180">
        <v>0</v>
      </c>
      <c r="AC242" s="180">
        <v>0</v>
      </c>
      <c r="AD242" s="180">
        <v>0</v>
      </c>
      <c r="AE242" s="180">
        <v>0</v>
      </c>
      <c r="AF242" s="180">
        <v>-980405</v>
      </c>
      <c r="AG242" s="180">
        <v>0</v>
      </c>
      <c r="AH242" s="180">
        <v>0</v>
      </c>
      <c r="AI242" s="180">
        <v>0</v>
      </c>
      <c r="AJ242" s="180">
        <v>0</v>
      </c>
      <c r="AK242" s="180"/>
      <c r="AL242" s="180"/>
      <c r="AM242" s="180">
        <v>0</v>
      </c>
      <c r="AN242" s="180">
        <v>0</v>
      </c>
      <c r="AO242" s="180">
        <v>0</v>
      </c>
      <c r="AP242" s="180">
        <v>0</v>
      </c>
      <c r="AQ242" s="180">
        <v>0</v>
      </c>
      <c r="AR242" s="180">
        <v>0</v>
      </c>
      <c r="AS242" s="180"/>
      <c r="AT242" s="180">
        <v>0</v>
      </c>
      <c r="AU242" s="180">
        <v>0</v>
      </c>
      <c r="AV242" s="180">
        <v>0</v>
      </c>
      <c r="AW242" s="180">
        <v>0</v>
      </c>
      <c r="AX242" s="180">
        <v>0</v>
      </c>
      <c r="AY242" s="180">
        <v>0</v>
      </c>
      <c r="AZ242" s="180">
        <v>0</v>
      </c>
      <c r="BA242" s="180">
        <v>0</v>
      </c>
      <c r="BB242" s="180">
        <v>0</v>
      </c>
      <c r="BC242" s="180">
        <v>0</v>
      </c>
      <c r="BD242" s="180">
        <v>0</v>
      </c>
      <c r="BE242" s="180">
        <v>0</v>
      </c>
      <c r="BF242" s="180">
        <v>0</v>
      </c>
      <c r="BG242" s="180">
        <v>0</v>
      </c>
      <c r="BH242" s="180">
        <v>0</v>
      </c>
      <c r="BI242" s="180">
        <v>0</v>
      </c>
      <c r="BJ242" s="180">
        <v>0</v>
      </c>
      <c r="BK242" s="180">
        <v>0</v>
      </c>
      <c r="BL242" s="180"/>
      <c r="BM242" s="180">
        <v>0</v>
      </c>
      <c r="BN242" s="180">
        <v>0</v>
      </c>
      <c r="BO242" s="180">
        <v>0</v>
      </c>
      <c r="BP242" s="180">
        <v>0</v>
      </c>
      <c r="BQ242" s="180">
        <v>0</v>
      </c>
      <c r="BR242" s="180">
        <v>0</v>
      </c>
      <c r="BS242" s="180">
        <v>0</v>
      </c>
      <c r="BT242" s="180">
        <v>0</v>
      </c>
      <c r="BU242" s="180">
        <v>0</v>
      </c>
      <c r="BV242" s="180">
        <v>0</v>
      </c>
      <c r="BW242" s="180">
        <v>0</v>
      </c>
      <c r="BX242" s="180">
        <v>0</v>
      </c>
      <c r="BY242" s="180">
        <v>0</v>
      </c>
      <c r="BZ242" s="180">
        <v>0</v>
      </c>
      <c r="CA242" s="180">
        <v>0</v>
      </c>
      <c r="CB242" s="180">
        <v>0</v>
      </c>
      <c r="CC242" s="180"/>
      <c r="CD242" s="180">
        <v>0</v>
      </c>
      <c r="CE242" s="180"/>
      <c r="CF242" s="180"/>
      <c r="CG242" s="180"/>
      <c r="CH242" s="180"/>
      <c r="CI242" s="180"/>
      <c r="CJ242" s="180"/>
      <c r="CK242" s="180"/>
      <c r="CL242" s="180"/>
      <c r="CM242" s="180"/>
      <c r="CN242" s="180"/>
      <c r="CO242" s="180"/>
      <c r="CP242" s="180"/>
      <c r="CQ242" s="180"/>
      <c r="CR242" s="180"/>
      <c r="CS242" s="180"/>
      <c r="CT242" s="180"/>
      <c r="CU242" s="180"/>
    </row>
    <row r="243" spans="1:99" x14ac:dyDescent="0.3">
      <c r="A243" s="155">
        <v>1053</v>
      </c>
      <c r="B243" s="180" t="s">
        <v>1706</v>
      </c>
      <c r="C243" s="180"/>
      <c r="D243" s="180"/>
      <c r="E243" s="180">
        <v>0</v>
      </c>
      <c r="F243" s="180">
        <v>0</v>
      </c>
      <c r="G243" s="180">
        <v>0</v>
      </c>
      <c r="H243" s="180">
        <v>0</v>
      </c>
      <c r="I243" s="180">
        <v>0</v>
      </c>
      <c r="J243" s="180">
        <v>0</v>
      </c>
      <c r="K243" s="180">
        <v>0</v>
      </c>
      <c r="L243" s="180">
        <v>0</v>
      </c>
      <c r="M243" s="180">
        <v>0</v>
      </c>
      <c r="N243" s="180">
        <v>0</v>
      </c>
      <c r="O243" s="180">
        <v>0</v>
      </c>
      <c r="P243" s="180">
        <v>0</v>
      </c>
      <c r="Q243" s="180">
        <v>-423805</v>
      </c>
      <c r="R243" s="180">
        <v>0</v>
      </c>
      <c r="S243" s="180">
        <v>0</v>
      </c>
      <c r="T243" s="180">
        <v>0</v>
      </c>
      <c r="U243" s="180">
        <v>0</v>
      </c>
      <c r="V243" s="180">
        <v>0</v>
      </c>
      <c r="W243" s="180">
        <v>0</v>
      </c>
      <c r="X243" s="180"/>
      <c r="Y243" s="180">
        <v>0</v>
      </c>
      <c r="Z243" s="180">
        <v>0</v>
      </c>
      <c r="AA243" s="180">
        <v>0</v>
      </c>
      <c r="AB243" s="180">
        <v>0</v>
      </c>
      <c r="AC243" s="180">
        <v>0</v>
      </c>
      <c r="AD243" s="180">
        <v>0</v>
      </c>
      <c r="AE243" s="180">
        <v>0</v>
      </c>
      <c r="AF243" s="180">
        <v>-330205</v>
      </c>
      <c r="AG243" s="180">
        <v>0</v>
      </c>
      <c r="AH243" s="180">
        <v>0</v>
      </c>
      <c r="AI243" s="180">
        <v>0</v>
      </c>
      <c r="AJ243" s="180">
        <v>0</v>
      </c>
      <c r="AK243" s="180"/>
      <c r="AL243" s="180"/>
      <c r="AM243" s="180">
        <v>0</v>
      </c>
      <c r="AN243" s="180">
        <v>0</v>
      </c>
      <c r="AO243" s="180">
        <v>0</v>
      </c>
      <c r="AP243" s="180">
        <v>0</v>
      </c>
      <c r="AQ243" s="180">
        <v>0</v>
      </c>
      <c r="AR243" s="180">
        <v>0</v>
      </c>
      <c r="AS243" s="180"/>
      <c r="AT243" s="180">
        <v>0</v>
      </c>
      <c r="AU243" s="180">
        <v>0</v>
      </c>
      <c r="AV243" s="180">
        <v>0</v>
      </c>
      <c r="AW243" s="180">
        <v>0</v>
      </c>
      <c r="AX243" s="180">
        <v>0</v>
      </c>
      <c r="AY243" s="180">
        <v>0</v>
      </c>
      <c r="AZ243" s="180">
        <v>0</v>
      </c>
      <c r="BA243" s="180">
        <v>0</v>
      </c>
      <c r="BB243" s="180">
        <v>0</v>
      </c>
      <c r="BC243" s="180">
        <v>0</v>
      </c>
      <c r="BD243" s="180">
        <v>0</v>
      </c>
      <c r="BE243" s="180">
        <v>0</v>
      </c>
      <c r="BF243" s="180">
        <v>0</v>
      </c>
      <c r="BG243" s="180">
        <v>0</v>
      </c>
      <c r="BH243" s="180">
        <v>0</v>
      </c>
      <c r="BI243" s="180">
        <v>0</v>
      </c>
      <c r="BJ243" s="180">
        <v>0</v>
      </c>
      <c r="BK243" s="180">
        <v>0</v>
      </c>
      <c r="BL243" s="180"/>
      <c r="BM243" s="180">
        <v>0</v>
      </c>
      <c r="BN243" s="180">
        <v>0</v>
      </c>
      <c r="BO243" s="180">
        <v>0</v>
      </c>
      <c r="BP243" s="180">
        <v>0</v>
      </c>
      <c r="BQ243" s="180">
        <v>0</v>
      </c>
      <c r="BR243" s="180">
        <v>0</v>
      </c>
      <c r="BS243" s="180">
        <v>0</v>
      </c>
      <c r="BT243" s="180">
        <v>0</v>
      </c>
      <c r="BU243" s="180">
        <v>0</v>
      </c>
      <c r="BV243" s="180">
        <v>0</v>
      </c>
      <c r="BW243" s="180">
        <v>0</v>
      </c>
      <c r="BX243" s="180">
        <v>0</v>
      </c>
      <c r="BY243" s="180">
        <v>0</v>
      </c>
      <c r="BZ243" s="180">
        <v>0</v>
      </c>
      <c r="CA243" s="180">
        <v>0</v>
      </c>
      <c r="CB243" s="180">
        <v>0</v>
      </c>
      <c r="CC243" s="180"/>
      <c r="CD243" s="180">
        <v>0</v>
      </c>
      <c r="CE243" s="180"/>
      <c r="CF243" s="180"/>
      <c r="CG243" s="180"/>
      <c r="CH243" s="180"/>
      <c r="CI243" s="180"/>
      <c r="CJ243" s="180"/>
      <c r="CK243" s="180"/>
      <c r="CL243" s="180"/>
      <c r="CM243" s="180"/>
      <c r="CN243" s="180"/>
      <c r="CO243" s="180"/>
      <c r="CP243" s="180"/>
      <c r="CQ243" s="180"/>
      <c r="CR243" s="180"/>
      <c r="CS243" s="180"/>
      <c r="CT243" s="180"/>
      <c r="CU243" s="180"/>
    </row>
    <row r="244" spans="1:99" x14ac:dyDescent="0.3">
      <c r="A244" s="155">
        <v>1054</v>
      </c>
      <c r="B244" s="180" t="s">
        <v>1707</v>
      </c>
      <c r="C244" s="180"/>
      <c r="D244" s="180"/>
      <c r="E244" s="180">
        <v>0</v>
      </c>
      <c r="F244" s="180">
        <v>0</v>
      </c>
      <c r="G244" s="180">
        <v>0</v>
      </c>
      <c r="H244" s="180">
        <v>0</v>
      </c>
      <c r="I244" s="180">
        <v>0</v>
      </c>
      <c r="J244" s="180">
        <v>0</v>
      </c>
      <c r="K244" s="180">
        <v>0</v>
      </c>
      <c r="L244" s="180">
        <v>0</v>
      </c>
      <c r="M244" s="180">
        <v>0</v>
      </c>
      <c r="N244" s="180">
        <v>0</v>
      </c>
      <c r="O244" s="180">
        <v>0</v>
      </c>
      <c r="P244" s="180">
        <v>0</v>
      </c>
      <c r="Q244" s="180">
        <v>-687494</v>
      </c>
      <c r="R244" s="180">
        <v>0</v>
      </c>
      <c r="S244" s="180">
        <v>0</v>
      </c>
      <c r="T244" s="180">
        <v>0</v>
      </c>
      <c r="U244" s="180">
        <v>0</v>
      </c>
      <c r="V244" s="180">
        <v>0</v>
      </c>
      <c r="W244" s="180">
        <v>0</v>
      </c>
      <c r="X244" s="180"/>
      <c r="Y244" s="180">
        <v>0</v>
      </c>
      <c r="Z244" s="180">
        <v>0</v>
      </c>
      <c r="AA244" s="180">
        <v>0</v>
      </c>
      <c r="AB244" s="180">
        <v>0</v>
      </c>
      <c r="AC244" s="180">
        <v>0</v>
      </c>
      <c r="AD244" s="180">
        <v>0</v>
      </c>
      <c r="AE244" s="180">
        <v>0</v>
      </c>
      <c r="AF244" s="180">
        <v>0</v>
      </c>
      <c r="AG244" s="180">
        <v>0</v>
      </c>
      <c r="AH244" s="180">
        <v>0</v>
      </c>
      <c r="AI244" s="180">
        <v>0</v>
      </c>
      <c r="AJ244" s="180">
        <v>0</v>
      </c>
      <c r="AK244" s="180"/>
      <c r="AL244" s="180"/>
      <c r="AM244" s="180">
        <v>0</v>
      </c>
      <c r="AN244" s="180">
        <v>0</v>
      </c>
      <c r="AO244" s="180">
        <v>0</v>
      </c>
      <c r="AP244" s="180">
        <v>0</v>
      </c>
      <c r="AQ244" s="180">
        <v>0</v>
      </c>
      <c r="AR244" s="180">
        <v>0</v>
      </c>
      <c r="AS244" s="180"/>
      <c r="AT244" s="180">
        <v>0</v>
      </c>
      <c r="AU244" s="180">
        <v>0</v>
      </c>
      <c r="AV244" s="180">
        <v>0</v>
      </c>
      <c r="AW244" s="180">
        <v>0</v>
      </c>
      <c r="AX244" s="180">
        <v>0</v>
      </c>
      <c r="AY244" s="180">
        <v>0</v>
      </c>
      <c r="AZ244" s="180">
        <v>0</v>
      </c>
      <c r="BA244" s="180">
        <v>0</v>
      </c>
      <c r="BB244" s="180">
        <v>0</v>
      </c>
      <c r="BC244" s="180">
        <v>0</v>
      </c>
      <c r="BD244" s="180">
        <v>0</v>
      </c>
      <c r="BE244" s="180">
        <v>0</v>
      </c>
      <c r="BF244" s="180">
        <v>0</v>
      </c>
      <c r="BG244" s="180">
        <v>0</v>
      </c>
      <c r="BH244" s="180">
        <v>0</v>
      </c>
      <c r="BI244" s="180">
        <v>0</v>
      </c>
      <c r="BJ244" s="180">
        <v>0</v>
      </c>
      <c r="BK244" s="180">
        <v>0</v>
      </c>
      <c r="BL244" s="180"/>
      <c r="BM244" s="180">
        <v>0</v>
      </c>
      <c r="BN244" s="180">
        <v>0</v>
      </c>
      <c r="BO244" s="180">
        <v>0</v>
      </c>
      <c r="BP244" s="180">
        <v>0</v>
      </c>
      <c r="BQ244" s="180">
        <v>0</v>
      </c>
      <c r="BR244" s="180">
        <v>0</v>
      </c>
      <c r="BS244" s="180">
        <v>0</v>
      </c>
      <c r="BT244" s="180">
        <v>0</v>
      </c>
      <c r="BU244" s="180">
        <v>0</v>
      </c>
      <c r="BV244" s="180">
        <v>0</v>
      </c>
      <c r="BW244" s="180">
        <v>0</v>
      </c>
      <c r="BX244" s="180">
        <v>0</v>
      </c>
      <c r="BY244" s="180">
        <v>0</v>
      </c>
      <c r="BZ244" s="180">
        <v>0</v>
      </c>
      <c r="CA244" s="180">
        <v>0</v>
      </c>
      <c r="CB244" s="180">
        <v>0</v>
      </c>
      <c r="CC244" s="180"/>
      <c r="CD244" s="180">
        <v>0</v>
      </c>
      <c r="CE244" s="180"/>
      <c r="CF244" s="180"/>
      <c r="CG244" s="180"/>
      <c r="CH244" s="180"/>
      <c r="CI244" s="180"/>
      <c r="CJ244" s="180"/>
      <c r="CK244" s="180"/>
      <c r="CL244" s="180"/>
      <c r="CM244" s="180"/>
      <c r="CN244" s="180"/>
      <c r="CO244" s="180"/>
      <c r="CP244" s="180"/>
      <c r="CQ244" s="180"/>
      <c r="CR244" s="180"/>
      <c r="CS244" s="180"/>
      <c r="CT244" s="180"/>
      <c r="CU244" s="180"/>
    </row>
    <row r="245" spans="1:99" s="557" customFormat="1" x14ac:dyDescent="0.3">
      <c r="A245" s="556">
        <v>1055</v>
      </c>
      <c r="B245" s="557" t="s">
        <v>1708</v>
      </c>
      <c r="E245" s="557">
        <v>2</v>
      </c>
      <c r="F245" s="557">
        <v>2</v>
      </c>
      <c r="G245" s="557">
        <v>2</v>
      </c>
      <c r="H245" s="557">
        <v>2</v>
      </c>
      <c r="I245" s="557">
        <v>2</v>
      </c>
      <c r="J245" s="557">
        <v>2</v>
      </c>
      <c r="K245" s="557">
        <v>2</v>
      </c>
      <c r="L245" s="557">
        <v>2</v>
      </c>
      <c r="M245" s="557">
        <v>2</v>
      </c>
      <c r="N245" s="557">
        <v>2</v>
      </c>
      <c r="O245" s="557">
        <v>2</v>
      </c>
      <c r="P245" s="557">
        <v>2</v>
      </c>
      <c r="Q245" s="557">
        <v>2</v>
      </c>
      <c r="R245" s="557">
        <v>2</v>
      </c>
      <c r="S245" s="557">
        <v>2</v>
      </c>
      <c r="T245" s="557">
        <v>2</v>
      </c>
      <c r="U245" s="557">
        <v>2</v>
      </c>
      <c r="V245" s="557">
        <v>2</v>
      </c>
      <c r="W245" s="557">
        <v>2</v>
      </c>
      <c r="Y245" s="557">
        <v>2</v>
      </c>
      <c r="Z245" s="557">
        <v>2</v>
      </c>
      <c r="AA245" s="557">
        <v>2</v>
      </c>
      <c r="AB245" s="557">
        <v>2</v>
      </c>
      <c r="AC245" s="557">
        <v>2</v>
      </c>
      <c r="AD245" s="557">
        <v>2</v>
      </c>
      <c r="AE245" s="557">
        <v>2</v>
      </c>
      <c r="AF245" s="557">
        <v>2</v>
      </c>
      <c r="AG245" s="557">
        <v>2</v>
      </c>
      <c r="AH245" s="557">
        <v>1</v>
      </c>
      <c r="AI245" s="557">
        <v>2</v>
      </c>
      <c r="AJ245" s="557">
        <v>2</v>
      </c>
      <c r="AM245" s="557">
        <v>2</v>
      </c>
      <c r="AN245" s="557">
        <v>2</v>
      </c>
      <c r="AO245" s="557">
        <v>2</v>
      </c>
      <c r="AP245" s="557">
        <v>2</v>
      </c>
      <c r="AQ245" s="557">
        <v>2</v>
      </c>
      <c r="AR245" s="557">
        <v>2</v>
      </c>
      <c r="AT245" s="557">
        <v>1</v>
      </c>
      <c r="AU245" s="557">
        <v>2</v>
      </c>
      <c r="AV245" s="557">
        <v>2</v>
      </c>
      <c r="AW245" s="557">
        <v>2</v>
      </c>
      <c r="AX245" s="557">
        <v>2</v>
      </c>
      <c r="AY245" s="557">
        <v>2</v>
      </c>
      <c r="AZ245" s="557">
        <v>2</v>
      </c>
      <c r="BA245" s="557">
        <v>2</v>
      </c>
      <c r="BB245" s="557">
        <v>2</v>
      </c>
      <c r="BC245" s="557">
        <v>2</v>
      </c>
      <c r="BD245" s="557">
        <v>2</v>
      </c>
      <c r="BE245" s="557">
        <v>2</v>
      </c>
      <c r="BF245" s="557">
        <v>2</v>
      </c>
      <c r="BG245" s="557">
        <v>1</v>
      </c>
      <c r="BH245" s="557">
        <v>2</v>
      </c>
      <c r="BI245" s="557">
        <v>2</v>
      </c>
      <c r="BJ245" s="557">
        <v>2</v>
      </c>
      <c r="BK245" s="557">
        <v>2</v>
      </c>
      <c r="BM245" s="557">
        <v>2</v>
      </c>
      <c r="BN245" s="557">
        <v>2</v>
      </c>
      <c r="BO245" s="557">
        <v>2</v>
      </c>
      <c r="BP245" s="557">
        <v>2</v>
      </c>
      <c r="BQ245" s="557">
        <v>2</v>
      </c>
      <c r="BR245" s="557">
        <v>2</v>
      </c>
      <c r="BS245" s="557">
        <v>2</v>
      </c>
      <c r="BT245" s="557">
        <v>2</v>
      </c>
      <c r="BU245" s="557">
        <v>2</v>
      </c>
      <c r="BV245" s="557">
        <v>2</v>
      </c>
      <c r="BW245" s="557">
        <v>2</v>
      </c>
      <c r="BX245" s="557">
        <v>2</v>
      </c>
      <c r="BY245" s="557">
        <v>2</v>
      </c>
      <c r="BZ245" s="557">
        <v>1</v>
      </c>
      <c r="CA245" s="557">
        <v>2</v>
      </c>
      <c r="CB245" s="557">
        <v>2</v>
      </c>
      <c r="CD245" s="557">
        <v>2</v>
      </c>
    </row>
    <row r="246" spans="1:99" s="557" customFormat="1" x14ac:dyDescent="0.3">
      <c r="A246" s="556">
        <v>1056</v>
      </c>
      <c r="B246" s="557" t="s">
        <v>1709</v>
      </c>
      <c r="E246" s="557">
        <v>2</v>
      </c>
      <c r="F246" s="557">
        <v>2</v>
      </c>
      <c r="G246" s="557">
        <v>2</v>
      </c>
      <c r="H246" s="557">
        <v>2</v>
      </c>
      <c r="I246" s="557">
        <v>2</v>
      </c>
      <c r="J246" s="557">
        <v>2</v>
      </c>
      <c r="K246" s="557">
        <v>2</v>
      </c>
      <c r="L246" s="557">
        <v>2</v>
      </c>
      <c r="M246" s="557">
        <v>2</v>
      </c>
      <c r="N246" s="557">
        <v>2</v>
      </c>
      <c r="O246" s="557">
        <v>2</v>
      </c>
      <c r="P246" s="557">
        <v>2</v>
      </c>
      <c r="Q246" s="557">
        <v>2</v>
      </c>
      <c r="R246" s="557">
        <v>2</v>
      </c>
      <c r="S246" s="557">
        <v>2</v>
      </c>
      <c r="T246" s="557">
        <v>2</v>
      </c>
      <c r="U246" s="557">
        <v>2</v>
      </c>
      <c r="V246" s="557">
        <v>2</v>
      </c>
      <c r="W246" s="557">
        <v>2</v>
      </c>
      <c r="Y246" s="557">
        <v>2</v>
      </c>
      <c r="Z246" s="557">
        <v>2</v>
      </c>
      <c r="AA246" s="557">
        <v>2</v>
      </c>
      <c r="AB246" s="557">
        <v>2</v>
      </c>
      <c r="AC246" s="557">
        <v>2</v>
      </c>
      <c r="AD246" s="557">
        <v>2</v>
      </c>
      <c r="AE246" s="557">
        <v>2</v>
      </c>
      <c r="AF246" s="557">
        <v>2</v>
      </c>
      <c r="AG246" s="557">
        <v>2</v>
      </c>
      <c r="AH246" s="557">
        <v>2</v>
      </c>
      <c r="AI246" s="557">
        <v>2</v>
      </c>
      <c r="AJ246" s="557">
        <v>2</v>
      </c>
      <c r="AM246" s="557">
        <v>2</v>
      </c>
      <c r="AN246" s="557">
        <v>2</v>
      </c>
      <c r="AO246" s="557">
        <v>1</v>
      </c>
      <c r="AP246" s="557">
        <v>2</v>
      </c>
      <c r="AQ246" s="557">
        <v>2</v>
      </c>
      <c r="AR246" s="557">
        <v>2</v>
      </c>
      <c r="AT246" s="557">
        <v>1</v>
      </c>
      <c r="AU246" s="557">
        <v>2</v>
      </c>
      <c r="AV246" s="557">
        <v>2</v>
      </c>
      <c r="AW246" s="557">
        <v>2</v>
      </c>
      <c r="AX246" s="557">
        <v>2</v>
      </c>
      <c r="AY246" s="557">
        <v>2</v>
      </c>
      <c r="AZ246" s="557">
        <v>2</v>
      </c>
      <c r="BA246" s="557">
        <v>1</v>
      </c>
      <c r="BB246" s="557">
        <v>2</v>
      </c>
      <c r="BC246" s="557">
        <v>2</v>
      </c>
      <c r="BD246" s="557">
        <v>2</v>
      </c>
      <c r="BE246" s="557">
        <v>2</v>
      </c>
      <c r="BF246" s="557">
        <v>2</v>
      </c>
      <c r="BG246" s="557">
        <v>1</v>
      </c>
      <c r="BH246" s="557">
        <v>2</v>
      </c>
      <c r="BI246" s="557">
        <v>2</v>
      </c>
      <c r="BJ246" s="557">
        <v>2</v>
      </c>
      <c r="BK246" s="557">
        <v>2</v>
      </c>
      <c r="BM246" s="557">
        <v>2</v>
      </c>
      <c r="BN246" s="557">
        <v>2</v>
      </c>
      <c r="BO246" s="557">
        <v>2</v>
      </c>
      <c r="BP246" s="557">
        <v>2</v>
      </c>
      <c r="BQ246" s="557">
        <v>2</v>
      </c>
      <c r="BR246" s="557">
        <v>2</v>
      </c>
      <c r="BS246" s="557">
        <v>2</v>
      </c>
      <c r="BT246" s="557">
        <v>1</v>
      </c>
      <c r="BU246" s="557">
        <v>2</v>
      </c>
      <c r="BV246" s="557">
        <v>2</v>
      </c>
      <c r="BW246" s="557">
        <v>2</v>
      </c>
      <c r="BX246" s="557">
        <v>2</v>
      </c>
      <c r="BY246" s="557">
        <v>2</v>
      </c>
      <c r="BZ246" s="557">
        <v>1</v>
      </c>
      <c r="CA246" s="557">
        <v>2</v>
      </c>
      <c r="CB246" s="557">
        <v>2</v>
      </c>
      <c r="CD246" s="557">
        <v>2</v>
      </c>
    </row>
    <row r="247" spans="1:99" s="557" customFormat="1" x14ac:dyDescent="0.3">
      <c r="A247" s="556">
        <v>1057</v>
      </c>
      <c r="B247" s="557" t="s">
        <v>1519</v>
      </c>
      <c r="E247" s="557">
        <v>2</v>
      </c>
      <c r="F247" s="557">
        <v>2</v>
      </c>
      <c r="G247" s="557">
        <v>2</v>
      </c>
      <c r="H247" s="557">
        <v>2</v>
      </c>
      <c r="I247" s="557">
        <v>2</v>
      </c>
      <c r="J247" s="557">
        <v>2</v>
      </c>
      <c r="K247" s="557">
        <v>2</v>
      </c>
      <c r="L247" s="557">
        <v>2</v>
      </c>
      <c r="M247" s="557">
        <v>2</v>
      </c>
      <c r="N247" s="557">
        <v>2</v>
      </c>
      <c r="O247" s="557">
        <v>2</v>
      </c>
      <c r="P247" s="557">
        <v>1</v>
      </c>
      <c r="Q247" s="557">
        <v>2</v>
      </c>
      <c r="R247" s="557">
        <v>2</v>
      </c>
      <c r="S247" s="557">
        <v>2</v>
      </c>
      <c r="T247" s="557">
        <v>2</v>
      </c>
      <c r="U247" s="557">
        <v>2</v>
      </c>
      <c r="V247" s="557">
        <v>2</v>
      </c>
      <c r="W247" s="557">
        <v>2</v>
      </c>
      <c r="Y247" s="557">
        <v>2</v>
      </c>
      <c r="Z247" s="557">
        <v>1</v>
      </c>
      <c r="AA247" s="557">
        <v>2</v>
      </c>
      <c r="AB247" s="557">
        <v>1</v>
      </c>
      <c r="AC247" s="557">
        <v>2</v>
      </c>
      <c r="AD247" s="557">
        <v>2</v>
      </c>
      <c r="AE247" s="557">
        <v>2</v>
      </c>
      <c r="AF247" s="557">
        <v>1</v>
      </c>
      <c r="AG247" s="557">
        <v>2</v>
      </c>
      <c r="AH247" s="557">
        <v>2</v>
      </c>
      <c r="AI247" s="557">
        <v>1</v>
      </c>
      <c r="AJ247" s="557">
        <v>2</v>
      </c>
      <c r="AM247" s="557">
        <v>2</v>
      </c>
      <c r="AN247" s="557">
        <v>2</v>
      </c>
      <c r="AO247" s="557">
        <v>2</v>
      </c>
      <c r="AP247" s="557">
        <v>2</v>
      </c>
      <c r="AQ247" s="557">
        <v>2</v>
      </c>
      <c r="AR247" s="557">
        <v>2</v>
      </c>
      <c r="AT247" s="557">
        <v>1</v>
      </c>
      <c r="AU247" s="557">
        <v>2</v>
      </c>
      <c r="AV247" s="557">
        <v>2</v>
      </c>
      <c r="AW247" s="557">
        <v>2</v>
      </c>
      <c r="AX247" s="557">
        <v>2</v>
      </c>
      <c r="AY247" s="557">
        <v>2</v>
      </c>
      <c r="AZ247" s="557">
        <v>2</v>
      </c>
      <c r="BA247" s="557">
        <v>2</v>
      </c>
      <c r="BB247" s="557">
        <v>1</v>
      </c>
      <c r="BC247" s="557">
        <v>2</v>
      </c>
      <c r="BD247" s="557">
        <v>2</v>
      </c>
      <c r="BE247" s="557">
        <v>2</v>
      </c>
      <c r="BF247" s="557">
        <v>1</v>
      </c>
      <c r="BG247" s="557">
        <v>2</v>
      </c>
      <c r="BH247" s="557">
        <v>1</v>
      </c>
      <c r="BI247" s="557">
        <v>2</v>
      </c>
      <c r="BJ247" s="557">
        <v>2</v>
      </c>
      <c r="BK247" s="557">
        <v>2</v>
      </c>
      <c r="BM247" s="557">
        <v>2</v>
      </c>
      <c r="BN247" s="557">
        <v>2</v>
      </c>
      <c r="BO247" s="557">
        <v>2</v>
      </c>
      <c r="BP247" s="557">
        <v>2</v>
      </c>
      <c r="BQ247" s="557">
        <v>2</v>
      </c>
      <c r="BR247" s="557">
        <v>2</v>
      </c>
      <c r="BS247" s="557">
        <v>1</v>
      </c>
      <c r="BT247" s="557">
        <v>1</v>
      </c>
      <c r="BU247" s="557">
        <v>2</v>
      </c>
      <c r="BV247" s="557">
        <v>2</v>
      </c>
      <c r="BW247" s="557">
        <v>1</v>
      </c>
      <c r="BX247" s="557">
        <v>2</v>
      </c>
      <c r="BY247" s="557">
        <v>2</v>
      </c>
      <c r="BZ247" s="557">
        <v>1</v>
      </c>
      <c r="CA247" s="557">
        <v>2</v>
      </c>
      <c r="CB247" s="557">
        <v>1</v>
      </c>
      <c r="CD247" s="557">
        <v>2</v>
      </c>
    </row>
    <row r="248" spans="1:99" s="557" customFormat="1" x14ac:dyDescent="0.3">
      <c r="A248" s="556">
        <v>1058</v>
      </c>
      <c r="B248" s="557" t="s">
        <v>1520</v>
      </c>
      <c r="E248" s="557">
        <v>2</v>
      </c>
      <c r="F248" s="557">
        <v>2</v>
      </c>
      <c r="G248" s="557">
        <v>2</v>
      </c>
      <c r="H248" s="557">
        <v>2</v>
      </c>
      <c r="I248" s="557">
        <v>2</v>
      </c>
      <c r="J248" s="557">
        <v>2</v>
      </c>
      <c r="K248" s="557">
        <v>2</v>
      </c>
      <c r="L248" s="557">
        <v>2</v>
      </c>
      <c r="M248" s="557">
        <v>2</v>
      </c>
      <c r="N248" s="557">
        <v>2</v>
      </c>
      <c r="O248" s="557">
        <v>2</v>
      </c>
      <c r="P248" s="557">
        <v>2</v>
      </c>
      <c r="Q248" s="557">
        <v>2</v>
      </c>
      <c r="R248" s="557">
        <v>2</v>
      </c>
      <c r="S248" s="557">
        <v>2</v>
      </c>
      <c r="T248" s="557">
        <v>2</v>
      </c>
      <c r="U248" s="557">
        <v>2</v>
      </c>
      <c r="V248" s="557">
        <v>2</v>
      </c>
      <c r="W248" s="557">
        <v>2</v>
      </c>
      <c r="Y248" s="557">
        <v>2</v>
      </c>
      <c r="Z248" s="557">
        <v>1</v>
      </c>
      <c r="AA248" s="557">
        <v>2</v>
      </c>
      <c r="AB248" s="557">
        <v>2</v>
      </c>
      <c r="AC248" s="557">
        <v>2</v>
      </c>
      <c r="AD248" s="557">
        <v>2</v>
      </c>
      <c r="AE248" s="557">
        <v>2</v>
      </c>
      <c r="AF248" s="557">
        <v>2</v>
      </c>
      <c r="AG248" s="557">
        <v>2</v>
      </c>
      <c r="AH248" s="557">
        <v>2</v>
      </c>
      <c r="AI248" s="557">
        <v>1</v>
      </c>
      <c r="AJ248" s="557">
        <v>2</v>
      </c>
      <c r="AM248" s="557">
        <v>2</v>
      </c>
      <c r="AN248" s="557">
        <v>2</v>
      </c>
      <c r="AO248" s="557">
        <v>2</v>
      </c>
      <c r="AP248" s="557">
        <v>1</v>
      </c>
      <c r="AQ248" s="557">
        <v>2</v>
      </c>
      <c r="AR248" s="557">
        <v>2</v>
      </c>
      <c r="AT248" s="557">
        <v>2</v>
      </c>
      <c r="AU248" s="557">
        <v>2</v>
      </c>
      <c r="AV248" s="557">
        <v>2</v>
      </c>
      <c r="AW248" s="557">
        <v>2</v>
      </c>
      <c r="AX248" s="557">
        <v>2</v>
      </c>
      <c r="AY248" s="557">
        <v>2</v>
      </c>
      <c r="AZ248" s="557">
        <v>2</v>
      </c>
      <c r="BA248" s="557">
        <v>1</v>
      </c>
      <c r="BB248" s="557">
        <v>2</v>
      </c>
      <c r="BC248" s="557">
        <v>2</v>
      </c>
      <c r="BD248" s="557">
        <v>2</v>
      </c>
      <c r="BE248" s="557">
        <v>2</v>
      </c>
      <c r="BF248" s="557">
        <v>2</v>
      </c>
      <c r="BG248" s="557">
        <v>2</v>
      </c>
      <c r="BH248" s="557">
        <v>2</v>
      </c>
      <c r="BI248" s="557">
        <v>2</v>
      </c>
      <c r="BJ248" s="557">
        <v>2</v>
      </c>
      <c r="BK248" s="557">
        <v>1</v>
      </c>
      <c r="BM248" s="557">
        <v>2</v>
      </c>
      <c r="BN248" s="557">
        <v>2</v>
      </c>
      <c r="BO248" s="557">
        <v>2</v>
      </c>
      <c r="BP248" s="557">
        <v>2</v>
      </c>
      <c r="BQ248" s="557">
        <v>2</v>
      </c>
      <c r="BR248" s="557">
        <v>2</v>
      </c>
      <c r="BS248" s="557">
        <v>2</v>
      </c>
      <c r="BT248" s="557">
        <v>1</v>
      </c>
      <c r="BU248" s="557">
        <v>2</v>
      </c>
      <c r="BV248" s="557">
        <v>2</v>
      </c>
      <c r="BW248" s="557">
        <v>2</v>
      </c>
      <c r="BX248" s="557">
        <v>2</v>
      </c>
      <c r="BY248" s="557">
        <v>2</v>
      </c>
      <c r="BZ248" s="557">
        <v>2</v>
      </c>
      <c r="CA248" s="557">
        <v>2</v>
      </c>
      <c r="CB248" s="557">
        <v>1</v>
      </c>
      <c r="CD248" s="557">
        <v>2</v>
      </c>
    </row>
    <row r="249" spans="1:99" s="557" customFormat="1" x14ac:dyDescent="0.3">
      <c r="A249" s="556">
        <v>1059</v>
      </c>
      <c r="B249" s="557" t="s">
        <v>1710</v>
      </c>
      <c r="E249" s="557">
        <v>1</v>
      </c>
      <c r="F249" s="557">
        <v>1</v>
      </c>
      <c r="G249" s="557">
        <v>1</v>
      </c>
      <c r="H249" s="557">
        <v>1</v>
      </c>
      <c r="I249" s="557">
        <v>1</v>
      </c>
      <c r="J249" s="557">
        <v>1</v>
      </c>
      <c r="K249" s="557">
        <v>1</v>
      </c>
      <c r="L249" s="557">
        <v>1</v>
      </c>
      <c r="M249" s="557">
        <v>1</v>
      </c>
      <c r="N249" s="557">
        <v>1</v>
      </c>
      <c r="O249" s="557">
        <v>1</v>
      </c>
      <c r="P249" s="557">
        <v>1</v>
      </c>
      <c r="Q249" s="557">
        <v>1</v>
      </c>
      <c r="R249" s="557">
        <v>1</v>
      </c>
      <c r="S249" s="557">
        <v>1</v>
      </c>
      <c r="T249" s="557">
        <v>1</v>
      </c>
      <c r="U249" s="557">
        <v>1</v>
      </c>
      <c r="V249" s="557">
        <v>1</v>
      </c>
      <c r="W249" s="557">
        <v>1</v>
      </c>
      <c r="Y249" s="557">
        <v>1</v>
      </c>
      <c r="Z249" s="557">
        <v>1</v>
      </c>
      <c r="AA249" s="557">
        <v>1</v>
      </c>
      <c r="AB249" s="557">
        <v>1</v>
      </c>
      <c r="AC249" s="557">
        <v>1</v>
      </c>
      <c r="AD249" s="557">
        <v>1</v>
      </c>
      <c r="AE249" s="557">
        <v>1</v>
      </c>
      <c r="AF249" s="557">
        <v>1</v>
      </c>
      <c r="AG249" s="557">
        <v>1</v>
      </c>
      <c r="AH249" s="557">
        <v>1</v>
      </c>
      <c r="AI249" s="557">
        <v>1</v>
      </c>
      <c r="AJ249" s="557">
        <v>1</v>
      </c>
      <c r="AM249" s="557">
        <v>1</v>
      </c>
      <c r="AN249" s="557">
        <v>1</v>
      </c>
      <c r="AO249" s="557">
        <v>1</v>
      </c>
      <c r="AP249" s="557">
        <v>1</v>
      </c>
      <c r="AQ249" s="557">
        <v>1</v>
      </c>
      <c r="AR249" s="557">
        <v>1</v>
      </c>
      <c r="AT249" s="557">
        <v>1</v>
      </c>
      <c r="AU249" s="557">
        <v>1</v>
      </c>
      <c r="AV249" s="557">
        <v>1</v>
      </c>
      <c r="AW249" s="557">
        <v>1</v>
      </c>
      <c r="AX249" s="557">
        <v>1</v>
      </c>
      <c r="AY249" s="557">
        <v>1</v>
      </c>
      <c r="AZ249" s="557">
        <v>1</v>
      </c>
      <c r="BA249" s="557">
        <v>1</v>
      </c>
      <c r="BB249" s="557">
        <v>1</v>
      </c>
      <c r="BC249" s="557">
        <v>1</v>
      </c>
      <c r="BD249" s="557">
        <v>1</v>
      </c>
      <c r="BE249" s="557">
        <v>1</v>
      </c>
      <c r="BF249" s="557">
        <v>2</v>
      </c>
      <c r="BG249" s="557">
        <v>1</v>
      </c>
      <c r="BH249" s="557">
        <v>1</v>
      </c>
      <c r="BI249" s="557">
        <v>1</v>
      </c>
      <c r="BJ249" s="557">
        <v>1</v>
      </c>
      <c r="BK249" s="557">
        <v>1</v>
      </c>
      <c r="BM249" s="557">
        <v>1</v>
      </c>
      <c r="BN249" s="557">
        <v>1</v>
      </c>
      <c r="BO249" s="557">
        <v>1</v>
      </c>
      <c r="BP249" s="557">
        <v>1</v>
      </c>
      <c r="BQ249" s="557">
        <v>1</v>
      </c>
      <c r="BR249" s="557">
        <v>1</v>
      </c>
      <c r="BS249" s="557">
        <v>1</v>
      </c>
      <c r="BT249" s="557">
        <v>1</v>
      </c>
      <c r="BU249" s="557">
        <v>1</v>
      </c>
      <c r="BV249" s="557">
        <v>1</v>
      </c>
      <c r="BW249" s="557">
        <v>1</v>
      </c>
      <c r="BX249" s="557">
        <v>1</v>
      </c>
      <c r="BY249" s="557">
        <v>1</v>
      </c>
      <c r="BZ249" s="557">
        <v>1</v>
      </c>
      <c r="CA249" s="557">
        <v>1</v>
      </c>
      <c r="CB249" s="557">
        <v>1</v>
      </c>
      <c r="CD249" s="557">
        <v>1</v>
      </c>
    </row>
    <row r="250" spans="1:99" s="562" customFormat="1" x14ac:dyDescent="0.3">
      <c r="A250" s="561">
        <v>1060</v>
      </c>
      <c r="B250" s="562" t="s">
        <v>1711</v>
      </c>
      <c r="E250" s="562">
        <v>0</v>
      </c>
      <c r="F250" s="562">
        <v>53867</v>
      </c>
      <c r="G250" s="562">
        <v>0</v>
      </c>
      <c r="H250" s="562">
        <v>0</v>
      </c>
      <c r="I250" s="562">
        <v>773302</v>
      </c>
      <c r="J250" s="562">
        <v>0</v>
      </c>
      <c r="K250" s="562">
        <v>0</v>
      </c>
      <c r="L250" s="562">
        <v>34377</v>
      </c>
      <c r="M250" s="562">
        <v>406321</v>
      </c>
      <c r="N250" s="562">
        <v>120468</v>
      </c>
      <c r="O250" s="562">
        <v>0</v>
      </c>
      <c r="P250" s="562">
        <v>8955</v>
      </c>
      <c r="Q250" s="562">
        <v>5663254</v>
      </c>
      <c r="R250" s="562">
        <v>55423</v>
      </c>
      <c r="S250" s="562">
        <v>0</v>
      </c>
      <c r="T250" s="562">
        <v>1748717</v>
      </c>
      <c r="U250" s="562">
        <v>223631</v>
      </c>
      <c r="V250" s="562">
        <v>1700000</v>
      </c>
      <c r="W250" s="562">
        <v>1475703</v>
      </c>
      <c r="Y250" s="562">
        <v>0</v>
      </c>
      <c r="Z250" s="562">
        <v>0</v>
      </c>
      <c r="AA250" s="562">
        <v>0</v>
      </c>
      <c r="AB250" s="562">
        <v>729498</v>
      </c>
      <c r="AC250" s="562">
        <v>354073</v>
      </c>
      <c r="AD250" s="562">
        <v>0</v>
      </c>
      <c r="AE250" s="562">
        <v>264041</v>
      </c>
      <c r="AF250" s="562">
        <v>474062</v>
      </c>
      <c r="AG250" s="562">
        <v>5000</v>
      </c>
      <c r="AH250" s="562">
        <v>367458</v>
      </c>
      <c r="AI250" s="562">
        <v>0</v>
      </c>
      <c r="AJ250" s="562">
        <v>115368</v>
      </c>
      <c r="AM250" s="562">
        <v>397175</v>
      </c>
      <c r="AN250" s="562">
        <v>0</v>
      </c>
      <c r="AO250" s="562">
        <v>6744</v>
      </c>
      <c r="AP250" s="562">
        <v>0</v>
      </c>
      <c r="AQ250" s="562">
        <v>0</v>
      </c>
      <c r="AR250" s="562">
        <v>669264</v>
      </c>
      <c r="AT250" s="562">
        <v>0</v>
      </c>
      <c r="AU250" s="562">
        <v>0</v>
      </c>
      <c r="AV250" s="562">
        <v>0</v>
      </c>
      <c r="AW250" s="562">
        <v>0</v>
      </c>
      <c r="AX250" s="562">
        <v>298675</v>
      </c>
      <c r="AY250" s="562">
        <v>75456</v>
      </c>
      <c r="AZ250" s="562">
        <v>147238</v>
      </c>
      <c r="BA250" s="562">
        <v>137199</v>
      </c>
      <c r="BB250" s="562">
        <v>7163</v>
      </c>
      <c r="BC250" s="562">
        <v>16194</v>
      </c>
      <c r="BD250" s="562">
        <v>0</v>
      </c>
      <c r="BE250" s="562">
        <v>0</v>
      </c>
      <c r="BF250" s="562">
        <v>22349</v>
      </c>
      <c r="BG250" s="562">
        <v>0</v>
      </c>
      <c r="BH250" s="562">
        <v>0</v>
      </c>
      <c r="BI250" s="562">
        <v>5985</v>
      </c>
      <c r="BJ250" s="562">
        <v>23000</v>
      </c>
      <c r="BK250" s="562">
        <v>0</v>
      </c>
      <c r="BM250" s="562">
        <v>224342</v>
      </c>
      <c r="BN250" s="562">
        <v>167647</v>
      </c>
      <c r="BO250" s="562">
        <v>0</v>
      </c>
      <c r="BP250" s="562">
        <v>0</v>
      </c>
      <c r="BQ250" s="562">
        <v>0</v>
      </c>
      <c r="BR250" s="562">
        <v>0</v>
      </c>
      <c r="BS250" s="562">
        <v>0</v>
      </c>
      <c r="BT250" s="562">
        <v>80790</v>
      </c>
      <c r="BU250" s="562">
        <v>0</v>
      </c>
      <c r="BV250" s="562">
        <v>0</v>
      </c>
      <c r="BW250" s="562">
        <v>0</v>
      </c>
      <c r="BX250" s="562">
        <v>0</v>
      </c>
      <c r="BY250" s="562">
        <v>14029</v>
      </c>
      <c r="BZ250" s="562">
        <v>0</v>
      </c>
      <c r="CA250" s="562">
        <v>0</v>
      </c>
      <c r="CB250" s="562">
        <v>0</v>
      </c>
      <c r="CD250" s="562">
        <v>0</v>
      </c>
    </row>
    <row r="251" spans="1:99" s="562" customFormat="1" x14ac:dyDescent="0.3">
      <c r="A251" s="561">
        <v>1061</v>
      </c>
      <c r="B251" s="562" t="s">
        <v>1712</v>
      </c>
      <c r="E251" s="562">
        <v>0</v>
      </c>
      <c r="F251" s="562">
        <v>77595</v>
      </c>
      <c r="G251" s="562">
        <v>1212644</v>
      </c>
      <c r="H251" s="562">
        <v>0</v>
      </c>
      <c r="I251" s="562">
        <v>406835</v>
      </c>
      <c r="J251" s="562">
        <v>0</v>
      </c>
      <c r="K251" s="562">
        <v>0</v>
      </c>
      <c r="L251" s="562">
        <v>0</v>
      </c>
      <c r="M251" s="562">
        <v>0</v>
      </c>
      <c r="N251" s="562">
        <v>0</v>
      </c>
      <c r="O251" s="562">
        <v>0</v>
      </c>
      <c r="P251" s="562">
        <v>18780</v>
      </c>
      <c r="Q251" s="562">
        <v>0</v>
      </c>
      <c r="R251" s="562">
        <v>0</v>
      </c>
      <c r="S251" s="562">
        <v>0</v>
      </c>
      <c r="T251" s="562">
        <v>714000</v>
      </c>
      <c r="U251" s="562">
        <v>2841919</v>
      </c>
      <c r="V251" s="562">
        <v>717810</v>
      </c>
      <c r="W251" s="562">
        <v>251184</v>
      </c>
      <c r="Y251" s="562">
        <v>0</v>
      </c>
      <c r="Z251" s="562">
        <v>0</v>
      </c>
      <c r="AA251" s="562">
        <v>2590532</v>
      </c>
      <c r="AB251" s="562">
        <v>0</v>
      </c>
      <c r="AC251" s="562">
        <v>0</v>
      </c>
      <c r="AD251" s="562">
        <v>0</v>
      </c>
      <c r="AE251" s="562">
        <v>0</v>
      </c>
      <c r="AF251" s="562">
        <v>0</v>
      </c>
      <c r="AG251" s="562">
        <v>880023</v>
      </c>
      <c r="AH251" s="562">
        <v>0</v>
      </c>
      <c r="AI251" s="562">
        <v>0</v>
      </c>
      <c r="AJ251" s="562">
        <v>0</v>
      </c>
      <c r="AM251" s="562">
        <v>3802301</v>
      </c>
      <c r="AN251" s="562">
        <v>0</v>
      </c>
      <c r="AO251" s="562">
        <v>0</v>
      </c>
      <c r="AP251" s="562">
        <v>13908</v>
      </c>
      <c r="AQ251" s="562">
        <v>0</v>
      </c>
      <c r="AR251" s="562">
        <v>0</v>
      </c>
      <c r="AT251" s="562">
        <v>390245</v>
      </c>
      <c r="AU251" s="562">
        <v>0</v>
      </c>
      <c r="AV251" s="562">
        <v>0</v>
      </c>
      <c r="AW251" s="562">
        <v>828051</v>
      </c>
      <c r="AX251" s="562">
        <v>0</v>
      </c>
      <c r="AY251" s="562">
        <v>30511</v>
      </c>
      <c r="AZ251" s="562">
        <v>0</v>
      </c>
      <c r="BA251" s="562">
        <v>0</v>
      </c>
      <c r="BB251" s="562">
        <v>0</v>
      </c>
      <c r="BC251" s="562">
        <v>0</v>
      </c>
      <c r="BD251" s="562">
        <v>0</v>
      </c>
      <c r="BE251" s="562">
        <v>0</v>
      </c>
      <c r="BF251" s="562">
        <v>0</v>
      </c>
      <c r="BG251" s="562">
        <v>0</v>
      </c>
      <c r="BH251" s="562">
        <v>0</v>
      </c>
      <c r="BI251" s="562">
        <v>0</v>
      </c>
      <c r="BJ251" s="562">
        <v>28319</v>
      </c>
      <c r="BK251" s="562">
        <v>470238</v>
      </c>
      <c r="BM251" s="562">
        <v>0</v>
      </c>
      <c r="BN251" s="562">
        <v>0</v>
      </c>
      <c r="BO251" s="562">
        <v>321725</v>
      </c>
      <c r="BP251" s="562">
        <v>0</v>
      </c>
      <c r="BQ251" s="562">
        <v>0</v>
      </c>
      <c r="BR251" s="562">
        <v>0</v>
      </c>
      <c r="BS251" s="562">
        <v>0</v>
      </c>
      <c r="BT251" s="562">
        <v>0</v>
      </c>
      <c r="BU251" s="562">
        <v>0</v>
      </c>
      <c r="BV251" s="562">
        <v>0</v>
      </c>
      <c r="BW251" s="562">
        <v>0</v>
      </c>
      <c r="BX251" s="562">
        <v>0</v>
      </c>
      <c r="BY251" s="562">
        <v>0</v>
      </c>
      <c r="BZ251" s="562">
        <v>0</v>
      </c>
      <c r="CA251" s="562">
        <v>0</v>
      </c>
      <c r="CB251" s="562">
        <v>0</v>
      </c>
      <c r="CD251" s="562">
        <v>0</v>
      </c>
    </row>
    <row r="252" spans="1:99" s="562" customFormat="1" x14ac:dyDescent="0.3">
      <c r="A252" s="561">
        <v>1062</v>
      </c>
      <c r="B252" s="562" t="s">
        <v>1713</v>
      </c>
      <c r="E252" s="562">
        <v>3</v>
      </c>
      <c r="F252" s="562">
        <v>1</v>
      </c>
      <c r="G252" s="562">
        <v>1</v>
      </c>
      <c r="H252" s="562">
        <v>1</v>
      </c>
      <c r="I252" s="562">
        <v>1</v>
      </c>
      <c r="J252" s="562">
        <v>1</v>
      </c>
      <c r="K252" s="562">
        <v>1</v>
      </c>
      <c r="L252" s="562">
        <v>1</v>
      </c>
      <c r="M252" s="562">
        <v>3</v>
      </c>
      <c r="N252" s="562">
        <v>1</v>
      </c>
      <c r="O252" s="562">
        <v>1</v>
      </c>
      <c r="P252" s="562">
        <v>1</v>
      </c>
      <c r="Q252" s="562">
        <v>1</v>
      </c>
      <c r="R252" s="562">
        <v>1</v>
      </c>
      <c r="S252" s="562">
        <v>1</v>
      </c>
      <c r="T252" s="562">
        <v>1</v>
      </c>
      <c r="U252" s="562">
        <v>1</v>
      </c>
      <c r="V252" s="562">
        <v>1</v>
      </c>
      <c r="W252" s="562">
        <v>1</v>
      </c>
      <c r="Y252" s="562">
        <v>1</v>
      </c>
      <c r="Z252" s="562">
        <v>1</v>
      </c>
      <c r="AA252" s="562">
        <v>1</v>
      </c>
      <c r="AB252" s="562">
        <v>1</v>
      </c>
      <c r="AC252" s="562">
        <v>1</v>
      </c>
      <c r="AD252" s="562">
        <v>0</v>
      </c>
      <c r="AE252" s="562">
        <v>1</v>
      </c>
      <c r="AF252" s="562">
        <v>1</v>
      </c>
      <c r="AG252" s="562">
        <v>1</v>
      </c>
      <c r="AH252" s="562">
        <v>1</v>
      </c>
      <c r="AI252" s="562">
        <v>1</v>
      </c>
      <c r="AJ252" s="562">
        <v>1</v>
      </c>
      <c r="AM252" s="562">
        <v>1</v>
      </c>
      <c r="AN252" s="562">
        <v>1</v>
      </c>
      <c r="AO252" s="562">
        <v>1</v>
      </c>
      <c r="AP252" s="562">
        <v>1</v>
      </c>
      <c r="AQ252" s="562">
        <v>0</v>
      </c>
      <c r="AR252" s="562">
        <v>1</v>
      </c>
      <c r="AT252" s="562">
        <v>1</v>
      </c>
      <c r="AU252" s="562">
        <v>1</v>
      </c>
      <c r="AV252" s="562">
        <v>0</v>
      </c>
      <c r="AW252" s="562">
        <v>1</v>
      </c>
      <c r="AX252" s="562">
        <v>1</v>
      </c>
      <c r="AY252" s="562">
        <v>1</v>
      </c>
      <c r="AZ252" s="562">
        <v>1</v>
      </c>
      <c r="BA252" s="562">
        <v>1</v>
      </c>
      <c r="BB252" s="562">
        <v>0</v>
      </c>
      <c r="BC252" s="562">
        <v>1</v>
      </c>
      <c r="BD252" s="562">
        <v>1</v>
      </c>
      <c r="BE252" s="562">
        <v>1</v>
      </c>
      <c r="BF252" s="562">
        <v>0</v>
      </c>
      <c r="BG252" s="562">
        <v>0</v>
      </c>
      <c r="BH252" s="562">
        <v>1</v>
      </c>
      <c r="BI252" s="562">
        <v>1</v>
      </c>
      <c r="BJ252" s="562">
        <v>1</v>
      </c>
      <c r="BK252" s="562">
        <v>1</v>
      </c>
      <c r="BM252" s="562">
        <v>1</v>
      </c>
      <c r="BN252" s="562">
        <v>1</v>
      </c>
      <c r="BO252" s="562">
        <v>1</v>
      </c>
      <c r="BP252" s="562">
        <v>1</v>
      </c>
      <c r="BQ252" s="562">
        <v>1</v>
      </c>
      <c r="BR252" s="562">
        <v>1</v>
      </c>
      <c r="BS252" s="562">
        <v>1</v>
      </c>
      <c r="BT252" s="562">
        <v>1</v>
      </c>
      <c r="BU252" s="562">
        <v>1</v>
      </c>
      <c r="BV252" s="562">
        <v>1</v>
      </c>
      <c r="BW252" s="562">
        <v>0</v>
      </c>
      <c r="BX252" s="562">
        <v>1</v>
      </c>
      <c r="BY252" s="562">
        <v>1</v>
      </c>
      <c r="BZ252" s="562">
        <v>1</v>
      </c>
      <c r="CA252" s="562">
        <v>1</v>
      </c>
      <c r="CB252" s="562">
        <v>1</v>
      </c>
      <c r="CD252" s="562">
        <v>3</v>
      </c>
    </row>
    <row r="253" spans="1:99" s="562" customFormat="1" x14ac:dyDescent="0.3">
      <c r="A253" s="561">
        <v>1063</v>
      </c>
      <c r="B253" s="562" t="s">
        <v>1714</v>
      </c>
      <c r="E253" s="562">
        <v>3</v>
      </c>
      <c r="F253" s="562">
        <v>1</v>
      </c>
      <c r="G253" s="562">
        <v>1</v>
      </c>
      <c r="H253" s="562">
        <v>1</v>
      </c>
      <c r="I253" s="562">
        <v>1</v>
      </c>
      <c r="J253" s="562">
        <v>1</v>
      </c>
      <c r="K253" s="562">
        <v>1</v>
      </c>
      <c r="L253" s="562">
        <v>1</v>
      </c>
      <c r="M253" s="562">
        <v>1</v>
      </c>
      <c r="N253" s="562">
        <v>1</v>
      </c>
      <c r="O253" s="562">
        <v>1</v>
      </c>
      <c r="P253" s="562">
        <v>1</v>
      </c>
      <c r="Q253" s="562">
        <v>1</v>
      </c>
      <c r="R253" s="562">
        <v>1</v>
      </c>
      <c r="S253" s="562">
        <v>1</v>
      </c>
      <c r="T253" s="562">
        <v>1</v>
      </c>
      <c r="U253" s="562">
        <v>1</v>
      </c>
      <c r="V253" s="562">
        <v>1</v>
      </c>
      <c r="W253" s="562">
        <v>1</v>
      </c>
      <c r="Y253" s="562">
        <v>1</v>
      </c>
      <c r="Z253" s="562">
        <v>1</v>
      </c>
      <c r="AA253" s="562">
        <v>1</v>
      </c>
      <c r="AB253" s="562">
        <v>1</v>
      </c>
      <c r="AC253" s="562">
        <v>1</v>
      </c>
      <c r="AD253" s="562">
        <v>0</v>
      </c>
      <c r="AE253" s="562">
        <v>1</v>
      </c>
      <c r="AF253" s="562">
        <v>1</v>
      </c>
      <c r="AG253" s="562">
        <v>1</v>
      </c>
      <c r="AH253" s="562">
        <v>1</v>
      </c>
      <c r="AI253" s="562">
        <v>1</v>
      </c>
      <c r="AJ253" s="562">
        <v>1</v>
      </c>
      <c r="AM253" s="562">
        <v>1</v>
      </c>
      <c r="AN253" s="562">
        <v>1</v>
      </c>
      <c r="AO253" s="562">
        <v>1</v>
      </c>
      <c r="AP253" s="562">
        <v>1</v>
      </c>
      <c r="AQ253" s="562">
        <v>0</v>
      </c>
      <c r="AR253" s="562">
        <v>1</v>
      </c>
      <c r="AT253" s="562">
        <v>1</v>
      </c>
      <c r="AU253" s="562">
        <v>1</v>
      </c>
      <c r="AV253" s="562">
        <v>0</v>
      </c>
      <c r="AW253" s="562">
        <v>1</v>
      </c>
      <c r="AX253" s="562">
        <v>1</v>
      </c>
      <c r="AY253" s="562">
        <v>1</v>
      </c>
      <c r="AZ253" s="562">
        <v>1</v>
      </c>
      <c r="BA253" s="562">
        <v>1</v>
      </c>
      <c r="BB253" s="562">
        <v>0</v>
      </c>
      <c r="BC253" s="562">
        <v>1</v>
      </c>
      <c r="BD253" s="562">
        <v>1</v>
      </c>
      <c r="BE253" s="562">
        <v>1</v>
      </c>
      <c r="BF253" s="562">
        <v>0</v>
      </c>
      <c r="BG253" s="562">
        <v>0</v>
      </c>
      <c r="BH253" s="562">
        <v>1</v>
      </c>
      <c r="BI253" s="562">
        <v>1</v>
      </c>
      <c r="BJ253" s="562">
        <v>1</v>
      </c>
      <c r="BK253" s="562">
        <v>1</v>
      </c>
      <c r="BM253" s="562">
        <v>1</v>
      </c>
      <c r="BN253" s="562">
        <v>1</v>
      </c>
      <c r="BO253" s="562">
        <v>1</v>
      </c>
      <c r="BP253" s="562">
        <v>1</v>
      </c>
      <c r="BQ253" s="562">
        <v>1</v>
      </c>
      <c r="BR253" s="562">
        <v>1</v>
      </c>
      <c r="BS253" s="562">
        <v>1</v>
      </c>
      <c r="BT253" s="562">
        <v>1</v>
      </c>
      <c r="BU253" s="562">
        <v>1</v>
      </c>
      <c r="BV253" s="562">
        <v>1</v>
      </c>
      <c r="BW253" s="562">
        <v>0</v>
      </c>
      <c r="BX253" s="562">
        <v>1</v>
      </c>
      <c r="BY253" s="562">
        <v>1</v>
      </c>
      <c r="BZ253" s="562">
        <v>1</v>
      </c>
      <c r="CA253" s="562">
        <v>1</v>
      </c>
      <c r="CB253" s="562">
        <v>1</v>
      </c>
      <c r="CD253" s="562">
        <v>3</v>
      </c>
    </row>
    <row r="254" spans="1:99" s="555" customFormat="1" x14ac:dyDescent="0.3">
      <c r="A254" s="558">
        <v>1064</v>
      </c>
      <c r="B254" s="555" t="s">
        <v>1715</v>
      </c>
      <c r="M254" s="555">
        <v>316241</v>
      </c>
      <c r="O254" s="555">
        <v>0</v>
      </c>
      <c r="Q254" s="555">
        <v>5663254</v>
      </c>
      <c r="T254" s="555">
        <v>1748717</v>
      </c>
      <c r="U254" s="555">
        <v>221539</v>
      </c>
      <c r="V254" s="555">
        <v>0</v>
      </c>
      <c r="W254" s="555">
        <v>1475703</v>
      </c>
      <c r="Y254" s="555">
        <v>0</v>
      </c>
      <c r="AA254" s="555">
        <v>0</v>
      </c>
      <c r="AB254" s="555">
        <v>729498</v>
      </c>
      <c r="AF254" s="555">
        <v>474062</v>
      </c>
      <c r="AI254" s="555">
        <v>5660</v>
      </c>
      <c r="AM254" s="555">
        <v>397175</v>
      </c>
      <c r="AQ254" s="555">
        <v>36409</v>
      </c>
      <c r="AR254" s="555">
        <v>1169264</v>
      </c>
      <c r="AT254" s="555">
        <v>1309050</v>
      </c>
      <c r="AV254" s="555">
        <v>0</v>
      </c>
      <c r="AY254" s="555">
        <v>75456</v>
      </c>
      <c r="BD254" s="555">
        <v>0</v>
      </c>
      <c r="BG254" s="555">
        <v>0</v>
      </c>
      <c r="BK254" s="555">
        <v>25501</v>
      </c>
      <c r="BM254" s="555">
        <v>224342</v>
      </c>
      <c r="BQ254" s="555">
        <v>0</v>
      </c>
      <c r="BR254" s="555">
        <v>0</v>
      </c>
      <c r="BZ254" s="555">
        <v>0</v>
      </c>
      <c r="CB254" s="555">
        <v>0</v>
      </c>
    </row>
    <row r="255" spans="1:99" s="555" customFormat="1" x14ac:dyDescent="0.3">
      <c r="A255" s="558">
        <v>1065</v>
      </c>
      <c r="B255" s="555" t="s">
        <v>1716</v>
      </c>
      <c r="M255" s="555">
        <v>0</v>
      </c>
      <c r="O255" s="555">
        <v>0</v>
      </c>
      <c r="Q255" s="555">
        <v>0</v>
      </c>
      <c r="T255" s="555">
        <v>0</v>
      </c>
      <c r="U255" s="555">
        <v>0</v>
      </c>
      <c r="V255" s="555">
        <v>0</v>
      </c>
      <c r="W255" s="555">
        <v>0</v>
      </c>
      <c r="Y255" s="555">
        <v>0</v>
      </c>
      <c r="AA255" s="555">
        <v>0</v>
      </c>
      <c r="AB255" s="555">
        <v>0</v>
      </c>
      <c r="AF255" s="555">
        <v>0</v>
      </c>
      <c r="AI255" s="555">
        <v>0</v>
      </c>
      <c r="AM255" s="555">
        <v>0</v>
      </c>
      <c r="AQ255" s="555">
        <v>0</v>
      </c>
      <c r="AR255" s="555">
        <v>0</v>
      </c>
      <c r="AT255" s="555">
        <v>0</v>
      </c>
      <c r="AV255" s="555">
        <v>0</v>
      </c>
      <c r="AY255" s="555">
        <v>0</v>
      </c>
      <c r="BD255" s="555">
        <v>0</v>
      </c>
      <c r="BG255" s="555">
        <v>0</v>
      </c>
      <c r="BK255" s="555">
        <v>0</v>
      </c>
      <c r="BM255" s="555">
        <v>0</v>
      </c>
      <c r="BQ255" s="555">
        <v>0</v>
      </c>
      <c r="BR255" s="555">
        <v>0</v>
      </c>
      <c r="BZ255" s="555">
        <v>0</v>
      </c>
      <c r="CB255" s="555">
        <v>0</v>
      </c>
    </row>
    <row r="256" spans="1:99" s="562" customFormat="1" x14ac:dyDescent="0.3">
      <c r="A256" s="561">
        <v>1066</v>
      </c>
      <c r="B256" s="562" t="s">
        <v>1717</v>
      </c>
      <c r="E256" s="562" t="s">
        <v>2686</v>
      </c>
      <c r="F256" s="562" t="s">
        <v>2687</v>
      </c>
      <c r="G256" s="562" t="s">
        <v>1721</v>
      </c>
      <c r="H256" s="562" t="s">
        <v>2688</v>
      </c>
      <c r="I256" s="562" t="s">
        <v>1719</v>
      </c>
      <c r="J256" s="562" t="s">
        <v>2141</v>
      </c>
      <c r="K256" s="562" t="s">
        <v>1719</v>
      </c>
      <c r="L256" s="562" t="s">
        <v>1718</v>
      </c>
      <c r="M256" s="562" t="s">
        <v>1722</v>
      </c>
      <c r="N256" s="562" t="s">
        <v>1722</v>
      </c>
      <c r="O256" s="562" t="s">
        <v>2025</v>
      </c>
      <c r="P256" s="562" t="s">
        <v>1720</v>
      </c>
      <c r="Q256" s="562" t="s">
        <v>2084</v>
      </c>
      <c r="R256" s="562" t="s">
        <v>1720</v>
      </c>
      <c r="S256" s="562" t="s">
        <v>1719</v>
      </c>
      <c r="T256" s="562" t="s">
        <v>1720</v>
      </c>
      <c r="U256" s="562" t="s">
        <v>2689</v>
      </c>
      <c r="V256" s="562" t="s">
        <v>2139</v>
      </c>
      <c r="W256" s="562" t="s">
        <v>1720</v>
      </c>
      <c r="Y256" s="562" t="s">
        <v>2022</v>
      </c>
      <c r="Z256" s="562" t="s">
        <v>2023</v>
      </c>
      <c r="AA256" s="562" t="s">
        <v>2690</v>
      </c>
      <c r="AB256" s="562" t="s">
        <v>2691</v>
      </c>
      <c r="AC256" s="562" t="s">
        <v>2140</v>
      </c>
      <c r="AD256" s="562" t="s">
        <v>2692</v>
      </c>
      <c r="AE256" s="562" t="s">
        <v>2025</v>
      </c>
      <c r="AF256" s="562" t="s">
        <v>1719</v>
      </c>
      <c r="AG256" s="562" t="s">
        <v>2693</v>
      </c>
      <c r="AH256" s="562" t="s">
        <v>2694</v>
      </c>
      <c r="AI256" s="562" t="s">
        <v>2140</v>
      </c>
      <c r="AJ256" s="562" t="s">
        <v>2695</v>
      </c>
      <c r="AM256" s="562" t="s">
        <v>2696</v>
      </c>
      <c r="AN256" s="562" t="s">
        <v>1721</v>
      </c>
      <c r="AO256" s="562" t="s">
        <v>2697</v>
      </c>
      <c r="AP256" s="562" t="s">
        <v>2698</v>
      </c>
      <c r="AQ256" s="562" t="s">
        <v>2699</v>
      </c>
      <c r="AR256" s="562" t="s">
        <v>2080</v>
      </c>
      <c r="AT256" s="562" t="s">
        <v>2700</v>
      </c>
      <c r="AU256" s="562" t="s">
        <v>1721</v>
      </c>
      <c r="AV256" s="562" t="s">
        <v>2701</v>
      </c>
      <c r="AW256" s="562" t="s">
        <v>1720</v>
      </c>
      <c r="AX256" s="562" t="s">
        <v>2082</v>
      </c>
      <c r="AY256" s="562" t="s">
        <v>1719</v>
      </c>
      <c r="AZ256" s="562" t="s">
        <v>2026</v>
      </c>
      <c r="BA256" s="562" t="s">
        <v>2702</v>
      </c>
      <c r="BB256" s="562" t="s">
        <v>2703</v>
      </c>
      <c r="BC256" s="562" t="s">
        <v>2027</v>
      </c>
      <c r="BD256" s="562" t="s">
        <v>2704</v>
      </c>
      <c r="BE256" s="562" t="s">
        <v>2705</v>
      </c>
      <c r="BF256" s="562" t="s">
        <v>2024</v>
      </c>
      <c r="BG256" s="562" t="s">
        <v>2706</v>
      </c>
      <c r="BH256" s="562" t="s">
        <v>1722</v>
      </c>
      <c r="BI256" s="562" t="s">
        <v>1722</v>
      </c>
      <c r="BJ256" s="562" t="s">
        <v>1719</v>
      </c>
      <c r="BK256" s="562" t="s">
        <v>2140</v>
      </c>
      <c r="BM256" s="562" t="s">
        <v>2687</v>
      </c>
      <c r="BN256" s="562" t="s">
        <v>2083</v>
      </c>
      <c r="BO256" s="562" t="s">
        <v>1722</v>
      </c>
      <c r="BP256" s="562" t="s">
        <v>2707</v>
      </c>
      <c r="BQ256" s="562" t="s">
        <v>2708</v>
      </c>
      <c r="BR256" s="562" t="s">
        <v>2704</v>
      </c>
      <c r="BS256" s="562" t="s">
        <v>1719</v>
      </c>
      <c r="BT256" s="562" t="s">
        <v>2709</v>
      </c>
      <c r="BU256" s="562" t="s">
        <v>2710</v>
      </c>
      <c r="BV256" s="562" t="s">
        <v>2081</v>
      </c>
      <c r="BW256" s="562" t="s">
        <v>2711</v>
      </c>
      <c r="BX256" s="562" t="s">
        <v>2708</v>
      </c>
      <c r="BY256" s="562" t="s">
        <v>2712</v>
      </c>
      <c r="BZ256" s="562" t="s">
        <v>2028</v>
      </c>
      <c r="CA256" s="562" t="s">
        <v>1721</v>
      </c>
      <c r="CB256" s="562" t="s">
        <v>1719</v>
      </c>
      <c r="CD256" s="562" t="s">
        <v>2713</v>
      </c>
    </row>
    <row r="257" spans="1:82" s="562" customFormat="1" x14ac:dyDescent="0.3">
      <c r="A257" s="561">
        <v>9000</v>
      </c>
      <c r="B257" s="562" t="s">
        <v>1030</v>
      </c>
      <c r="C257" s="562" t="s">
        <v>351</v>
      </c>
      <c r="D257" s="562">
        <v>50304.01</v>
      </c>
      <c r="E257" s="562">
        <v>2809002.62</v>
      </c>
      <c r="F257" s="562">
        <v>55853251.7557</v>
      </c>
      <c r="G257" s="562">
        <v>85504431.549999997</v>
      </c>
      <c r="H257" s="562">
        <v>74864723.090000004</v>
      </c>
      <c r="I257" s="562">
        <v>103912442.63</v>
      </c>
      <c r="J257" s="562">
        <v>12455811.58</v>
      </c>
      <c r="K257" s="562">
        <v>15380188.540999999</v>
      </c>
      <c r="L257" s="562">
        <v>11153484.26</v>
      </c>
      <c r="M257" s="562">
        <v>529955771.005</v>
      </c>
      <c r="N257" s="562">
        <v>12250883.73</v>
      </c>
      <c r="O257" s="562">
        <v>274275045.80000001</v>
      </c>
      <c r="P257" s="562">
        <v>3451141.58</v>
      </c>
      <c r="Q257" s="562">
        <v>3734039608.3125</v>
      </c>
      <c r="R257" s="562">
        <v>60679020.689999998</v>
      </c>
      <c r="S257" s="562">
        <v>2218109</v>
      </c>
      <c r="T257" s="562">
        <v>3456109189.2399998</v>
      </c>
      <c r="U257" s="562">
        <v>831618471.94000006</v>
      </c>
      <c r="V257" s="562">
        <v>1611313981.03</v>
      </c>
      <c r="W257" s="562">
        <v>1324607048.8399999</v>
      </c>
      <c r="X257" s="562">
        <v>50315.01</v>
      </c>
      <c r="Y257" s="562">
        <v>709686610.63</v>
      </c>
      <c r="Z257" s="562">
        <v>108316635.27</v>
      </c>
      <c r="AA257" s="562">
        <v>774068974.54499996</v>
      </c>
      <c r="AB257" s="562">
        <v>262644304.75999999</v>
      </c>
      <c r="AC257" s="562">
        <v>89463860.234999999</v>
      </c>
      <c r="AD257" s="562">
        <v>90777756.579999998</v>
      </c>
      <c r="AE257" s="562">
        <v>159722361.63999999</v>
      </c>
      <c r="AF257" s="562">
        <v>716188094.29999995</v>
      </c>
      <c r="AG257" s="562">
        <v>196148988.84</v>
      </c>
      <c r="AH257" s="562">
        <v>30503553.690000001</v>
      </c>
      <c r="AI257" s="562">
        <v>2342784005.7821999</v>
      </c>
      <c r="AJ257" s="562">
        <v>59859580.509999998</v>
      </c>
      <c r="AK257" s="562">
        <v>50326.01</v>
      </c>
      <c r="AL257" s="562">
        <v>50328.01</v>
      </c>
      <c r="AM257" s="562">
        <v>889317976.67999995</v>
      </c>
      <c r="AN257" s="562">
        <v>22561337.59</v>
      </c>
      <c r="AO257" s="562">
        <v>30481210.300000001</v>
      </c>
      <c r="AP257" s="562">
        <v>1440984</v>
      </c>
      <c r="AQ257" s="562">
        <v>271242521.61000001</v>
      </c>
      <c r="AR257" s="562">
        <v>623118034.38</v>
      </c>
      <c r="AS257" s="562">
        <v>50575</v>
      </c>
      <c r="AT257" s="562">
        <v>164170541.37</v>
      </c>
      <c r="AU257" s="562">
        <v>12811052.24</v>
      </c>
      <c r="AV257" s="562">
        <v>1282261031.26</v>
      </c>
      <c r="AW257" s="562">
        <v>76308332.319999993</v>
      </c>
      <c r="AX257" s="562">
        <v>133413891.31999999</v>
      </c>
      <c r="AY257" s="562">
        <v>438138112.94639999</v>
      </c>
      <c r="AZ257" s="562">
        <v>73101510.629999995</v>
      </c>
      <c r="BA257" s="562">
        <v>36863891.090000004</v>
      </c>
      <c r="BB257" s="562">
        <v>1231523</v>
      </c>
      <c r="BC257" s="562">
        <v>11134262.0725</v>
      </c>
      <c r="BD257" s="562">
        <v>549326513.24000001</v>
      </c>
      <c r="BE257" s="562">
        <v>6243845</v>
      </c>
      <c r="BF257" s="562">
        <v>26677612.239999998</v>
      </c>
      <c r="BG257" s="562">
        <v>29162321.809999999</v>
      </c>
      <c r="BH257" s="562">
        <v>3474629.19</v>
      </c>
      <c r="BI257" s="562">
        <v>22663436.449999999</v>
      </c>
      <c r="BJ257" s="562">
        <v>5266257.6550000003</v>
      </c>
      <c r="BK257" s="562">
        <v>187515030.99000001</v>
      </c>
      <c r="BL257" s="562">
        <v>50346.09</v>
      </c>
      <c r="BM257" s="562">
        <v>123007159.90000001</v>
      </c>
      <c r="BN257" s="562">
        <v>133018046.837</v>
      </c>
      <c r="BO257" s="562">
        <v>67067510.908</v>
      </c>
      <c r="BP257" s="562">
        <v>60632308.130000003</v>
      </c>
      <c r="BQ257" s="562">
        <v>414505509.18000001</v>
      </c>
      <c r="BR257" s="562">
        <v>98031432.640000001</v>
      </c>
      <c r="BS257" s="562">
        <v>693166914.85000002</v>
      </c>
      <c r="BT257" s="562">
        <v>56120650.990000002</v>
      </c>
      <c r="BU257" s="562">
        <v>267127497.2033</v>
      </c>
      <c r="BV257" s="562">
        <v>40535618.579999998</v>
      </c>
      <c r="BW257" s="562">
        <v>128461649.14</v>
      </c>
      <c r="BX257" s="562">
        <v>48835893.109999999</v>
      </c>
      <c r="BY257" s="562">
        <v>6952322.5099999998</v>
      </c>
      <c r="BZ257" s="562">
        <v>50952031.630000003</v>
      </c>
      <c r="CA257" s="562">
        <v>21861023.030000001</v>
      </c>
      <c r="CB257" s="562">
        <v>67933522.189999998</v>
      </c>
      <c r="CC257" s="562">
        <v>50360</v>
      </c>
      <c r="CD257" s="562">
        <v>7603038.9699999997</v>
      </c>
    </row>
    <row r="258" spans="1:82" s="564" customFormat="1" x14ac:dyDescent="0.3">
      <c r="A258" s="155">
        <v>9001</v>
      </c>
      <c r="B258" s="564" t="s">
        <v>1031</v>
      </c>
      <c r="C258" s="564" t="s">
        <v>1032</v>
      </c>
      <c r="D258" s="564">
        <v>0</v>
      </c>
      <c r="E258" s="564">
        <v>423150</v>
      </c>
      <c r="F258" s="564">
        <v>2484651</v>
      </c>
      <c r="G258" s="564">
        <v>13901532</v>
      </c>
      <c r="H258" s="564">
        <v>11247950</v>
      </c>
      <c r="I258" s="564">
        <v>13620709</v>
      </c>
      <c r="J258" s="564">
        <v>189054</v>
      </c>
      <c r="K258" s="564">
        <v>2946102</v>
      </c>
      <c r="L258" s="564">
        <v>1504900</v>
      </c>
      <c r="M258" s="564">
        <v>98163699</v>
      </c>
      <c r="N258" s="564">
        <v>1473564</v>
      </c>
      <c r="O258" s="564">
        <v>17061463</v>
      </c>
      <c r="P258" s="564">
        <v>532254</v>
      </c>
      <c r="Q258" s="564">
        <v>186805847</v>
      </c>
      <c r="R258" s="564">
        <v>7920067</v>
      </c>
      <c r="S258" s="564">
        <v>314737</v>
      </c>
      <c r="T258" s="564">
        <v>314826199</v>
      </c>
      <c r="U258" s="564">
        <v>77535764</v>
      </c>
      <c r="V258" s="564">
        <v>81477689</v>
      </c>
      <c r="W258" s="564">
        <v>256433643</v>
      </c>
      <c r="X258" s="564">
        <v>0</v>
      </c>
      <c r="Y258" s="564">
        <v>49885086</v>
      </c>
      <c r="Z258" s="564">
        <v>3810096</v>
      </c>
      <c r="AA258" s="564">
        <v>58479028</v>
      </c>
      <c r="AB258" s="564">
        <v>8876033</v>
      </c>
      <c r="AC258" s="564">
        <v>7054043</v>
      </c>
      <c r="AD258" s="564">
        <v>3827311</v>
      </c>
      <c r="AE258" s="564">
        <v>8624127</v>
      </c>
      <c r="AF258" s="564">
        <v>74116505</v>
      </c>
      <c r="AG258" s="564">
        <v>15842965</v>
      </c>
      <c r="AH258" s="564">
        <v>4453081</v>
      </c>
      <c r="AI258" s="564">
        <v>123845009</v>
      </c>
      <c r="AJ258" s="564">
        <v>8719869</v>
      </c>
      <c r="AK258" s="564">
        <v>0</v>
      </c>
      <c r="AL258" s="564">
        <v>0</v>
      </c>
      <c r="AM258" s="564">
        <v>42105137</v>
      </c>
      <c r="AN258" s="564">
        <v>1252010</v>
      </c>
      <c r="AO258" s="564">
        <v>1478121</v>
      </c>
      <c r="AP258" s="564">
        <v>186342</v>
      </c>
      <c r="AQ258" s="564">
        <v>44815885</v>
      </c>
      <c r="AR258" s="564">
        <v>95885615</v>
      </c>
      <c r="AS258" s="564">
        <v>0</v>
      </c>
      <c r="AT258" s="564">
        <v>6126143</v>
      </c>
      <c r="AU258" s="564">
        <v>593069</v>
      </c>
      <c r="AV258" s="564">
        <v>64197882</v>
      </c>
      <c r="AW258" s="564">
        <v>13385298</v>
      </c>
      <c r="AX258" s="564">
        <v>5113796</v>
      </c>
      <c r="AY258" s="564">
        <v>33307914</v>
      </c>
      <c r="AZ258" s="564">
        <v>4856557</v>
      </c>
      <c r="BA258" s="564">
        <v>4400032</v>
      </c>
      <c r="BB258" s="564">
        <v>175737</v>
      </c>
      <c r="BC258" s="564">
        <v>1033771</v>
      </c>
      <c r="BD258" s="564">
        <v>21344305</v>
      </c>
      <c r="BE258" s="564">
        <v>824997</v>
      </c>
      <c r="BF258" s="564">
        <v>1144438</v>
      </c>
      <c r="BG258" s="564">
        <v>502024</v>
      </c>
      <c r="BH258" s="564">
        <v>455879</v>
      </c>
      <c r="BI258" s="564">
        <v>869867</v>
      </c>
      <c r="BJ258" s="564">
        <v>794640</v>
      </c>
      <c r="BK258" s="564">
        <v>11828317</v>
      </c>
      <c r="BL258" s="564">
        <v>0</v>
      </c>
      <c r="BM258" s="564">
        <v>4073347</v>
      </c>
      <c r="BN258" s="564">
        <v>16698718</v>
      </c>
      <c r="BO258" s="564">
        <v>3297291</v>
      </c>
      <c r="BP258" s="564">
        <v>5693385</v>
      </c>
      <c r="BQ258" s="564">
        <v>52162411</v>
      </c>
      <c r="BR258" s="564">
        <v>1917774</v>
      </c>
      <c r="BS258" s="564">
        <v>86590869</v>
      </c>
      <c r="BT258" s="564">
        <v>2240942</v>
      </c>
      <c r="BU258" s="564">
        <v>14929504</v>
      </c>
      <c r="BV258" s="564">
        <v>6442240</v>
      </c>
      <c r="BW258" s="564">
        <v>5758780</v>
      </c>
      <c r="BX258" s="564">
        <v>3390403</v>
      </c>
      <c r="BY258" s="564">
        <v>723583</v>
      </c>
      <c r="BZ258" s="564">
        <v>2738092</v>
      </c>
      <c r="CA258" s="564">
        <v>295051</v>
      </c>
      <c r="CB258" s="564">
        <v>4061675</v>
      </c>
      <c r="CC258" s="564">
        <v>0</v>
      </c>
      <c r="CD258" s="564">
        <v>474252</v>
      </c>
    </row>
    <row r="259" spans="1:82" s="564" customFormat="1" x14ac:dyDescent="0.3">
      <c r="A259" s="155">
        <v>9002</v>
      </c>
      <c r="B259" s="564" t="s">
        <v>1033</v>
      </c>
      <c r="C259" s="564" t="s">
        <v>1034</v>
      </c>
      <c r="D259" s="564">
        <v>0</v>
      </c>
      <c r="E259" s="564">
        <v>22201</v>
      </c>
      <c r="F259" s="564">
        <v>127026</v>
      </c>
      <c r="G259" s="564">
        <v>311223</v>
      </c>
      <c r="H259" s="564">
        <v>42059</v>
      </c>
      <c r="I259" s="564">
        <v>508684</v>
      </c>
      <c r="J259" s="564">
        <v>377</v>
      </c>
      <c r="K259" s="564">
        <v>146585</v>
      </c>
      <c r="L259" s="564">
        <v>38980</v>
      </c>
      <c r="M259" s="564">
        <v>5651503</v>
      </c>
      <c r="N259" s="564">
        <v>38031</v>
      </c>
      <c r="O259" s="564">
        <v>270026</v>
      </c>
      <c r="P259" s="564">
        <v>1140</v>
      </c>
      <c r="Q259" s="564">
        <v>9804613</v>
      </c>
      <c r="R259" s="564">
        <v>102761</v>
      </c>
      <c r="S259" s="564">
        <v>17577</v>
      </c>
      <c r="T259" s="564">
        <v>24848395</v>
      </c>
      <c r="U259" s="564">
        <v>3995602</v>
      </c>
      <c r="V259" s="564">
        <v>5503762</v>
      </c>
      <c r="W259" s="564">
        <v>13876299</v>
      </c>
      <c r="X259" s="564">
        <v>0</v>
      </c>
      <c r="Y259" s="564">
        <v>3879206</v>
      </c>
      <c r="Z259" s="564">
        <v>261106</v>
      </c>
      <c r="AA259" s="564">
        <v>4253189</v>
      </c>
      <c r="AB259" s="564">
        <v>354527</v>
      </c>
      <c r="AC259" s="564">
        <v>135801</v>
      </c>
      <c r="AD259" s="564">
        <v>107741</v>
      </c>
      <c r="AE259" s="564">
        <v>250988</v>
      </c>
      <c r="AF259" s="564">
        <v>6489831</v>
      </c>
      <c r="AG259" s="564">
        <v>525008</v>
      </c>
      <c r="AH259" s="564">
        <v>32041</v>
      </c>
      <c r="AI259" s="564">
        <v>12682010</v>
      </c>
      <c r="AJ259" s="564">
        <v>10579</v>
      </c>
      <c r="AK259" s="564">
        <v>0</v>
      </c>
      <c r="AL259" s="564">
        <v>0</v>
      </c>
      <c r="AM259" s="564">
        <v>4765916</v>
      </c>
      <c r="AN259" s="564">
        <v>56761</v>
      </c>
      <c r="AO259" s="564">
        <v>30964</v>
      </c>
      <c r="AP259" s="564">
        <v>0</v>
      </c>
      <c r="AQ259" s="564">
        <v>2376576</v>
      </c>
      <c r="AR259" s="564">
        <v>231135</v>
      </c>
      <c r="AS259" s="564">
        <v>0</v>
      </c>
      <c r="AT259" s="564">
        <v>598773</v>
      </c>
      <c r="AU259" s="564">
        <v>77212</v>
      </c>
      <c r="AV259" s="564">
        <v>460713</v>
      </c>
      <c r="AW259" s="564">
        <v>1168152</v>
      </c>
      <c r="AX259" s="564">
        <v>67734</v>
      </c>
      <c r="AY259" s="564">
        <v>1657971</v>
      </c>
      <c r="AZ259" s="564">
        <v>25965</v>
      </c>
      <c r="BA259" s="564">
        <v>44408</v>
      </c>
      <c r="BB259" s="564">
        <v>0</v>
      </c>
      <c r="BC259" s="564">
        <v>14059</v>
      </c>
      <c r="BD259" s="564">
        <v>678173</v>
      </c>
      <c r="BE259" s="564">
        <v>30798</v>
      </c>
      <c r="BF259" s="564">
        <v>13125</v>
      </c>
      <c r="BG259" s="564">
        <v>13182</v>
      </c>
      <c r="BH259" s="564">
        <v>36116</v>
      </c>
      <c r="BI259" s="564">
        <v>60771</v>
      </c>
      <c r="BJ259" s="564">
        <v>51967</v>
      </c>
      <c r="BK259" s="564">
        <v>1175221</v>
      </c>
      <c r="BL259" s="564">
        <v>0</v>
      </c>
      <c r="BM259" s="564">
        <v>135946</v>
      </c>
      <c r="BN259" s="564">
        <v>508643</v>
      </c>
      <c r="BO259" s="564">
        <v>46798</v>
      </c>
      <c r="BP259" s="564">
        <v>31187</v>
      </c>
      <c r="BQ259" s="564">
        <v>5163370</v>
      </c>
      <c r="BR259" s="564">
        <v>62118</v>
      </c>
      <c r="BS259" s="564">
        <v>4703116</v>
      </c>
      <c r="BT259" s="564">
        <v>98390</v>
      </c>
      <c r="BU259" s="564">
        <v>555102</v>
      </c>
      <c r="BV259" s="564">
        <v>675171</v>
      </c>
      <c r="BW259" s="564">
        <v>211258</v>
      </c>
      <c r="BX259" s="564">
        <v>453163</v>
      </c>
      <c r="BY259" s="564">
        <v>39698</v>
      </c>
      <c r="BZ259" s="564">
        <v>1250334</v>
      </c>
      <c r="CA259" s="564">
        <v>45902</v>
      </c>
      <c r="CB259" s="564">
        <v>506306</v>
      </c>
      <c r="CC259" s="564">
        <v>0</v>
      </c>
      <c r="CD259" s="564">
        <v>1016</v>
      </c>
    </row>
    <row r="260" spans="1:82" s="564" customFormat="1" x14ac:dyDescent="0.3">
      <c r="A260" s="155">
        <v>9003</v>
      </c>
      <c r="B260" s="564" t="s">
        <v>1035</v>
      </c>
      <c r="C260" s="564" t="s">
        <v>1036</v>
      </c>
      <c r="D260" s="564">
        <v>0</v>
      </c>
      <c r="E260" s="564">
        <v>55364</v>
      </c>
      <c r="F260" s="564">
        <v>427538</v>
      </c>
      <c r="G260" s="564">
        <v>1029235</v>
      </c>
      <c r="H260" s="564">
        <v>843731</v>
      </c>
      <c r="I260" s="564">
        <v>724853</v>
      </c>
      <c r="J260" s="564">
        <v>23801</v>
      </c>
      <c r="K260" s="564">
        <v>175638</v>
      </c>
      <c r="L260" s="564">
        <v>38980</v>
      </c>
      <c r="M260" s="564">
        <v>17833660</v>
      </c>
      <c r="N260" s="564">
        <v>302389</v>
      </c>
      <c r="O260" s="564">
        <v>3995637</v>
      </c>
      <c r="P260" s="564">
        <v>19920</v>
      </c>
      <c r="Q260" s="564">
        <v>93512087</v>
      </c>
      <c r="R260" s="564">
        <v>1477083</v>
      </c>
      <c r="S260" s="564">
        <v>17577</v>
      </c>
      <c r="T260" s="564">
        <v>178688896</v>
      </c>
      <c r="U260" s="564">
        <v>27225830</v>
      </c>
      <c r="V260" s="564">
        <v>36918997</v>
      </c>
      <c r="W260" s="564">
        <v>73894523</v>
      </c>
      <c r="X260" s="564">
        <v>0</v>
      </c>
      <c r="Y260" s="564">
        <v>9826325</v>
      </c>
      <c r="Z260" s="564">
        <v>656319</v>
      </c>
      <c r="AA260" s="564">
        <v>21707965</v>
      </c>
      <c r="AB260" s="564">
        <v>2901505</v>
      </c>
      <c r="AC260" s="564">
        <v>812308</v>
      </c>
      <c r="AD260" s="564">
        <v>838037</v>
      </c>
      <c r="AE260" s="564">
        <v>2915154</v>
      </c>
      <c r="AF260" s="564">
        <v>25023081</v>
      </c>
      <c r="AG260" s="564">
        <v>3414585</v>
      </c>
      <c r="AH260" s="564">
        <v>346984</v>
      </c>
      <c r="AI260" s="564">
        <v>85409803</v>
      </c>
      <c r="AJ260" s="564">
        <v>41866</v>
      </c>
      <c r="AK260" s="564">
        <v>0</v>
      </c>
      <c r="AL260" s="564">
        <v>0</v>
      </c>
      <c r="AM260" s="564">
        <v>18409617</v>
      </c>
      <c r="AN260" s="564">
        <v>323771</v>
      </c>
      <c r="AO260" s="564">
        <v>349793</v>
      </c>
      <c r="AP260" s="564">
        <v>0</v>
      </c>
      <c r="AQ260" s="564">
        <v>15484417</v>
      </c>
      <c r="AR260" s="564">
        <v>49683079</v>
      </c>
      <c r="AS260" s="564">
        <v>0</v>
      </c>
      <c r="AT260" s="564">
        <v>1991622</v>
      </c>
      <c r="AU260" s="564">
        <v>90330</v>
      </c>
      <c r="AV260" s="564">
        <v>21143050</v>
      </c>
      <c r="AW260" s="564">
        <v>2270775</v>
      </c>
      <c r="AX260" s="564">
        <v>609439</v>
      </c>
      <c r="AY260" s="564">
        <v>9931441</v>
      </c>
      <c r="AZ260" s="564">
        <v>275522</v>
      </c>
      <c r="BA260" s="564">
        <v>208842</v>
      </c>
      <c r="BB260" s="564">
        <v>0</v>
      </c>
      <c r="BC260" s="564">
        <v>92040</v>
      </c>
      <c r="BD260" s="564">
        <v>16277635</v>
      </c>
      <c r="BE260" s="564">
        <v>30798</v>
      </c>
      <c r="BF260" s="564">
        <v>120109</v>
      </c>
      <c r="BG260" s="564">
        <v>111207</v>
      </c>
      <c r="BH260" s="564">
        <v>36116</v>
      </c>
      <c r="BI260" s="564">
        <v>88959</v>
      </c>
      <c r="BJ260" s="564">
        <v>51967</v>
      </c>
      <c r="BK260" s="564">
        <v>5809003</v>
      </c>
      <c r="BL260" s="564">
        <v>0</v>
      </c>
      <c r="BM260" s="564">
        <v>887977</v>
      </c>
      <c r="BN260" s="564">
        <v>3247380</v>
      </c>
      <c r="BO260" s="564">
        <v>1561415</v>
      </c>
      <c r="BP260" s="564">
        <v>1704289</v>
      </c>
      <c r="BQ260" s="564">
        <v>11145906</v>
      </c>
      <c r="BR260" s="564">
        <v>952270</v>
      </c>
      <c r="BS260" s="564">
        <v>33269113</v>
      </c>
      <c r="BT260" s="564">
        <v>417998</v>
      </c>
      <c r="BU260" s="564">
        <v>3880059</v>
      </c>
      <c r="BV260" s="564">
        <v>675171</v>
      </c>
      <c r="BW260" s="564">
        <v>1547402</v>
      </c>
      <c r="BX260" s="564">
        <v>1365313</v>
      </c>
      <c r="BY260" s="564">
        <v>39698</v>
      </c>
      <c r="BZ260" s="564">
        <v>1481922</v>
      </c>
      <c r="CA260" s="564">
        <v>46162</v>
      </c>
      <c r="CB260" s="564">
        <v>1218601</v>
      </c>
      <c r="CC260" s="564">
        <v>0</v>
      </c>
      <c r="CD260" s="564">
        <v>1016</v>
      </c>
    </row>
    <row r="261" spans="1:82" s="562" customFormat="1" x14ac:dyDescent="0.3">
      <c r="A261" s="561">
        <v>9004</v>
      </c>
      <c r="B261" s="562" t="s">
        <v>1037</v>
      </c>
      <c r="C261" s="562" t="s">
        <v>1038</v>
      </c>
      <c r="D261" s="562" t="s">
        <v>1039</v>
      </c>
      <c r="E261" s="562" t="s">
        <v>351</v>
      </c>
      <c r="F261" s="562" t="s">
        <v>1039</v>
      </c>
      <c r="G261" s="562" t="s">
        <v>351</v>
      </c>
      <c r="H261" s="562" t="s">
        <v>351</v>
      </c>
      <c r="I261" s="562" t="s">
        <v>351</v>
      </c>
      <c r="J261" s="562" t="s">
        <v>1039</v>
      </c>
      <c r="K261" s="562" t="s">
        <v>351</v>
      </c>
      <c r="L261" s="562" t="s">
        <v>351</v>
      </c>
      <c r="M261" s="562" t="s">
        <v>351</v>
      </c>
      <c r="N261" s="562" t="s">
        <v>351</v>
      </c>
      <c r="O261" s="562" t="s">
        <v>1039</v>
      </c>
      <c r="P261" s="562" t="s">
        <v>351</v>
      </c>
      <c r="Q261" s="562" t="s">
        <v>1039</v>
      </c>
      <c r="R261" s="562" t="s">
        <v>1039</v>
      </c>
      <c r="S261" s="562" t="s">
        <v>351</v>
      </c>
      <c r="T261" s="562" t="s">
        <v>1039</v>
      </c>
      <c r="U261" s="562" t="s">
        <v>1039</v>
      </c>
      <c r="V261" s="562" t="s">
        <v>1039</v>
      </c>
      <c r="W261" s="562" t="s">
        <v>351</v>
      </c>
      <c r="X261" s="562" t="s">
        <v>1039</v>
      </c>
      <c r="Y261" s="562" t="s">
        <v>1039</v>
      </c>
      <c r="Z261" s="562" t="s">
        <v>1039</v>
      </c>
      <c r="AA261" s="562" t="s">
        <v>1039</v>
      </c>
      <c r="AB261" s="562" t="s">
        <v>1039</v>
      </c>
      <c r="AC261" s="562" t="s">
        <v>1039</v>
      </c>
      <c r="AD261" s="562" t="s">
        <v>1039</v>
      </c>
      <c r="AE261" s="562" t="s">
        <v>1039</v>
      </c>
      <c r="AF261" s="562" t="s">
        <v>1039</v>
      </c>
      <c r="AG261" s="562" t="s">
        <v>1039</v>
      </c>
      <c r="AH261" s="562" t="s">
        <v>351</v>
      </c>
      <c r="AI261" s="562" t="s">
        <v>1039</v>
      </c>
      <c r="AJ261" s="562" t="s">
        <v>1039</v>
      </c>
      <c r="AK261" s="562" t="s">
        <v>1039</v>
      </c>
      <c r="AL261" s="562" t="s">
        <v>1039</v>
      </c>
      <c r="AM261" s="562" t="s">
        <v>1039</v>
      </c>
      <c r="AN261" s="562" t="s">
        <v>1039</v>
      </c>
      <c r="AO261" s="562" t="s">
        <v>1039</v>
      </c>
      <c r="AP261" s="562" t="s">
        <v>351</v>
      </c>
      <c r="AQ261" s="562" t="s">
        <v>351</v>
      </c>
      <c r="AR261" s="562" t="s">
        <v>1039</v>
      </c>
      <c r="AS261" s="562" t="s">
        <v>351</v>
      </c>
      <c r="AT261" s="562" t="s">
        <v>1039</v>
      </c>
      <c r="AU261" s="562" t="s">
        <v>351</v>
      </c>
      <c r="AV261" s="562" t="s">
        <v>1039</v>
      </c>
      <c r="AW261" s="562" t="s">
        <v>351</v>
      </c>
      <c r="AX261" s="562" t="s">
        <v>1039</v>
      </c>
      <c r="AY261" s="562" t="s">
        <v>1039</v>
      </c>
      <c r="AZ261" s="562" t="s">
        <v>1039</v>
      </c>
      <c r="BA261" s="562" t="s">
        <v>1039</v>
      </c>
      <c r="BB261" s="562" t="s">
        <v>351</v>
      </c>
      <c r="BC261" s="562" t="s">
        <v>1039</v>
      </c>
      <c r="BD261" s="562" t="s">
        <v>1039</v>
      </c>
      <c r="BE261" s="562" t="s">
        <v>351</v>
      </c>
      <c r="BF261" s="562" t="s">
        <v>1039</v>
      </c>
      <c r="BG261" s="562" t="s">
        <v>1039</v>
      </c>
      <c r="BH261" s="562" t="s">
        <v>351</v>
      </c>
      <c r="BI261" s="562" t="s">
        <v>1039</v>
      </c>
      <c r="BJ261" s="562" t="s">
        <v>351</v>
      </c>
      <c r="BK261" s="562" t="s">
        <v>1039</v>
      </c>
      <c r="BL261" s="562" t="s">
        <v>1039</v>
      </c>
      <c r="BM261" s="562" t="s">
        <v>1039</v>
      </c>
      <c r="BN261" s="562" t="s">
        <v>1039</v>
      </c>
      <c r="BO261" s="562" t="s">
        <v>1039</v>
      </c>
      <c r="BP261" s="562" t="s">
        <v>1039</v>
      </c>
      <c r="BQ261" s="562" t="s">
        <v>351</v>
      </c>
      <c r="BR261" s="562" t="s">
        <v>1039</v>
      </c>
      <c r="BS261" s="562" t="s">
        <v>351</v>
      </c>
      <c r="BT261" s="562" t="s">
        <v>1039</v>
      </c>
      <c r="BU261" s="562" t="s">
        <v>1039</v>
      </c>
      <c r="BV261" s="562" t="s">
        <v>351</v>
      </c>
      <c r="BW261" s="562" t="s">
        <v>1039</v>
      </c>
      <c r="BX261" s="562" t="s">
        <v>1039</v>
      </c>
      <c r="BY261" s="562" t="s">
        <v>1039</v>
      </c>
      <c r="BZ261" s="562" t="s">
        <v>1039</v>
      </c>
      <c r="CA261" s="562" t="s">
        <v>1039</v>
      </c>
      <c r="CB261" s="562" t="s">
        <v>1039</v>
      </c>
      <c r="CC261" s="562" t="s">
        <v>351</v>
      </c>
      <c r="CD261" s="562" t="s">
        <v>1039</v>
      </c>
    </row>
    <row r="262" spans="1:82" s="180" customFormat="1" x14ac:dyDescent="0.3">
      <c r="A262" s="155">
        <v>9005</v>
      </c>
      <c r="B262" s="572" t="s">
        <v>1040</v>
      </c>
      <c r="C262" s="572" t="s">
        <v>1041</v>
      </c>
      <c r="D262" s="180">
        <v>0</v>
      </c>
      <c r="E262" s="180">
        <v>154406</v>
      </c>
      <c r="F262" s="180">
        <v>864983</v>
      </c>
      <c r="G262" s="180">
        <v>4716762</v>
      </c>
      <c r="H262" s="180">
        <v>6566850</v>
      </c>
      <c r="I262" s="180">
        <v>5805496</v>
      </c>
      <c r="J262" s="180">
        <v>137552</v>
      </c>
      <c r="K262" s="180">
        <v>1050691</v>
      </c>
      <c r="L262" s="180">
        <v>955670</v>
      </c>
      <c r="M262" s="180">
        <v>8845613</v>
      </c>
      <c r="N262" s="180">
        <v>725910</v>
      </c>
      <c r="O262" s="180">
        <v>6298343</v>
      </c>
      <c r="P262" s="180">
        <v>331611</v>
      </c>
      <c r="Q262" s="180">
        <v>24354676</v>
      </c>
      <c r="R262" s="180">
        <v>928581</v>
      </c>
      <c r="S262" s="180">
        <v>159766</v>
      </c>
      <c r="T262" s="180">
        <v>67050953</v>
      </c>
      <c r="U262" s="180">
        <v>7418076</v>
      </c>
      <c r="V262" s="180">
        <v>26180893</v>
      </c>
      <c r="W262" s="180">
        <v>24384826</v>
      </c>
      <c r="X262" s="180">
        <v>0</v>
      </c>
      <c r="Y262" s="180">
        <v>12646932</v>
      </c>
      <c r="Z262" s="180">
        <v>1059553</v>
      </c>
      <c r="AA262" s="180">
        <v>16469033</v>
      </c>
      <c r="AB262" s="180">
        <v>962600</v>
      </c>
      <c r="AC262" s="180">
        <v>2063877</v>
      </c>
      <c r="AD262" s="180">
        <v>1578931</v>
      </c>
      <c r="AE262" s="180">
        <v>3699695</v>
      </c>
      <c r="AF262" s="180">
        <v>14801141</v>
      </c>
      <c r="AG262" s="180">
        <v>4758899</v>
      </c>
      <c r="AH262" s="180">
        <v>1493729</v>
      </c>
      <c r="AI262" s="180">
        <v>14174733</v>
      </c>
      <c r="AJ262" s="180">
        <v>3596240</v>
      </c>
      <c r="AK262" s="180">
        <v>0</v>
      </c>
      <c r="AL262" s="180">
        <v>0</v>
      </c>
      <c r="AM262" s="180">
        <v>10746640</v>
      </c>
      <c r="AN262" s="180">
        <v>587089</v>
      </c>
      <c r="AO262" s="180">
        <v>775224</v>
      </c>
      <c r="AP262" s="180">
        <v>73889</v>
      </c>
      <c r="AQ262" s="180">
        <v>4385429</v>
      </c>
      <c r="AR262" s="180">
        <v>5773895</v>
      </c>
      <c r="AS262" s="180">
        <v>0</v>
      </c>
      <c r="AT262" s="180">
        <v>1514039</v>
      </c>
      <c r="AU262" s="180">
        <v>209392</v>
      </c>
      <c r="AV262" s="180">
        <v>20590034</v>
      </c>
      <c r="AW262" s="180">
        <v>3612621</v>
      </c>
      <c r="AX262" s="180">
        <v>910966</v>
      </c>
      <c r="AY262" s="180">
        <v>9066847</v>
      </c>
      <c r="AZ262" s="180">
        <v>2322404</v>
      </c>
      <c r="BA262" s="180">
        <v>995745</v>
      </c>
      <c r="BB262" s="180">
        <v>127262</v>
      </c>
      <c r="BC262" s="180">
        <v>479232</v>
      </c>
      <c r="BD262" s="180">
        <v>7780218</v>
      </c>
      <c r="BE262" s="180">
        <v>657864</v>
      </c>
      <c r="BF262" s="180">
        <v>842841</v>
      </c>
      <c r="BG262" s="180">
        <v>231347</v>
      </c>
      <c r="BH262" s="180">
        <v>298022</v>
      </c>
      <c r="BI262" s="180">
        <v>445598</v>
      </c>
      <c r="BJ262" s="180">
        <v>303392</v>
      </c>
      <c r="BK262" s="180">
        <v>2038774</v>
      </c>
      <c r="BL262" s="180">
        <v>0</v>
      </c>
      <c r="BM262" s="180">
        <v>263686</v>
      </c>
      <c r="BN262" s="180">
        <v>2776929</v>
      </c>
      <c r="BO262" s="180">
        <v>1376898</v>
      </c>
      <c r="BP262" s="180">
        <v>2066433</v>
      </c>
      <c r="BQ262" s="180">
        <v>12164112</v>
      </c>
      <c r="BR262" s="180">
        <v>414397</v>
      </c>
      <c r="BS262" s="180">
        <v>20603173</v>
      </c>
      <c r="BT262" s="180">
        <v>602245</v>
      </c>
      <c r="BU262" s="180">
        <v>6039201</v>
      </c>
      <c r="BV262" s="180">
        <v>2429602</v>
      </c>
      <c r="BW262" s="180">
        <v>1228235</v>
      </c>
      <c r="BX262" s="180">
        <v>1953461</v>
      </c>
      <c r="BY262" s="180">
        <v>217016</v>
      </c>
      <c r="BZ262" s="180">
        <v>323223</v>
      </c>
      <c r="CA262" s="180">
        <v>162530</v>
      </c>
      <c r="CB262" s="180">
        <v>128142</v>
      </c>
      <c r="CC262" s="180">
        <v>0</v>
      </c>
      <c r="CD262" s="180">
        <v>391754</v>
      </c>
    </row>
    <row r="263" spans="1:82" s="180" customFormat="1" x14ac:dyDescent="0.3">
      <c r="A263" s="155">
        <v>9006</v>
      </c>
      <c r="B263" s="572" t="s">
        <v>1042</v>
      </c>
      <c r="C263" s="572" t="s">
        <v>1043</v>
      </c>
      <c r="D263" s="180">
        <v>0</v>
      </c>
      <c r="E263" s="180">
        <v>60248</v>
      </c>
      <c r="F263" s="180">
        <v>925943</v>
      </c>
      <c r="G263" s="180">
        <v>1928778</v>
      </c>
      <c r="H263" s="180">
        <v>1733358</v>
      </c>
      <c r="I263" s="180">
        <v>4783995</v>
      </c>
      <c r="J263" s="180">
        <v>102981</v>
      </c>
      <c r="K263" s="180">
        <v>322463</v>
      </c>
      <c r="L263" s="180">
        <v>401995</v>
      </c>
      <c r="M263" s="180">
        <v>15551714</v>
      </c>
      <c r="N263" s="180">
        <v>557395</v>
      </c>
      <c r="O263" s="180">
        <v>5499632</v>
      </c>
      <c r="P263" s="180">
        <v>86501</v>
      </c>
      <c r="Q263" s="180">
        <v>54801457</v>
      </c>
      <c r="R263" s="180">
        <v>1618844</v>
      </c>
      <c r="S263" s="180">
        <v>41956</v>
      </c>
      <c r="T263" s="180">
        <v>83520461</v>
      </c>
      <c r="U263" s="180">
        <v>21726788</v>
      </c>
      <c r="V263" s="180">
        <v>21286999</v>
      </c>
      <c r="W263" s="180">
        <v>42577750</v>
      </c>
      <c r="X263" s="180">
        <v>0</v>
      </c>
      <c r="Y263" s="180">
        <v>14110619</v>
      </c>
      <c r="Z263" s="180">
        <v>1761432</v>
      </c>
      <c r="AA263" s="180">
        <v>16041183</v>
      </c>
      <c r="AB263" s="180">
        <v>5383389</v>
      </c>
      <c r="AC263" s="180">
        <v>2775575</v>
      </c>
      <c r="AD263" s="180">
        <v>1985592</v>
      </c>
      <c r="AE263" s="180">
        <v>2863183</v>
      </c>
      <c r="AF263" s="180">
        <v>23134668</v>
      </c>
      <c r="AG263" s="180">
        <v>7377442</v>
      </c>
      <c r="AH263" s="180">
        <v>811685</v>
      </c>
      <c r="AI263" s="180">
        <v>36200226</v>
      </c>
      <c r="AJ263" s="180">
        <v>588086</v>
      </c>
      <c r="AK263" s="180">
        <v>0</v>
      </c>
      <c r="AL263" s="180">
        <v>0</v>
      </c>
      <c r="AM263" s="180">
        <v>15172696</v>
      </c>
      <c r="AN263" s="180">
        <v>615375</v>
      </c>
      <c r="AO263" s="180">
        <v>754688</v>
      </c>
      <c r="AP263" s="180">
        <v>37303</v>
      </c>
      <c r="AQ263" s="180">
        <v>5699029</v>
      </c>
      <c r="AR263" s="180">
        <v>8040181</v>
      </c>
      <c r="AS263" s="180">
        <v>0</v>
      </c>
      <c r="AT263" s="180">
        <v>3098544</v>
      </c>
      <c r="AU263" s="180">
        <v>178903</v>
      </c>
      <c r="AV263" s="180">
        <v>13770447</v>
      </c>
      <c r="AW263" s="180">
        <v>2155580</v>
      </c>
      <c r="AX263" s="180">
        <v>2031654</v>
      </c>
      <c r="AY263" s="180">
        <v>22750637</v>
      </c>
      <c r="AZ263" s="180">
        <v>1013128</v>
      </c>
      <c r="BA263" s="180">
        <v>1151509</v>
      </c>
      <c r="BB263" s="180">
        <v>30895</v>
      </c>
      <c r="BC263" s="180">
        <v>238510</v>
      </c>
      <c r="BD263" s="180">
        <v>8920042</v>
      </c>
      <c r="BE263" s="180">
        <v>99236</v>
      </c>
      <c r="BF263" s="180">
        <v>473708</v>
      </c>
      <c r="BG263" s="180">
        <v>147164</v>
      </c>
      <c r="BH263" s="180">
        <v>120718</v>
      </c>
      <c r="BI263" s="180">
        <v>276139</v>
      </c>
      <c r="BJ263" s="180">
        <v>146282</v>
      </c>
      <c r="BK263" s="180">
        <v>3775473</v>
      </c>
      <c r="BL263" s="180">
        <v>0</v>
      </c>
      <c r="BM263" s="180">
        <v>2178621</v>
      </c>
      <c r="BN263" s="180">
        <v>4809613</v>
      </c>
      <c r="BO263" s="180">
        <v>1211809</v>
      </c>
      <c r="BP263" s="180">
        <v>1914656</v>
      </c>
      <c r="BQ263" s="180">
        <v>21143506</v>
      </c>
      <c r="BR263" s="180">
        <v>1240243</v>
      </c>
      <c r="BS263" s="180">
        <v>13489984</v>
      </c>
      <c r="BT263" s="180">
        <v>848867</v>
      </c>
      <c r="BU263" s="180">
        <v>6075490</v>
      </c>
      <c r="BV263" s="180">
        <v>623163</v>
      </c>
      <c r="BW263" s="180">
        <v>2078201</v>
      </c>
      <c r="BX263" s="180">
        <v>802239</v>
      </c>
      <c r="BY263" s="180">
        <v>66600</v>
      </c>
      <c r="BZ263" s="180">
        <v>231629</v>
      </c>
      <c r="CA263" s="180">
        <v>131238</v>
      </c>
      <c r="CB263" s="180">
        <v>1238092</v>
      </c>
      <c r="CC263" s="180">
        <v>0</v>
      </c>
      <c r="CD263" s="180">
        <v>66708</v>
      </c>
    </row>
    <row r="264" spans="1:82" s="180" customFormat="1" x14ac:dyDescent="0.3">
      <c r="A264" s="155">
        <v>9007</v>
      </c>
      <c r="B264" s="572" t="s">
        <v>1611</v>
      </c>
      <c r="C264" s="572" t="s">
        <v>1044</v>
      </c>
      <c r="D264" s="180">
        <v>0</v>
      </c>
      <c r="E264" s="180">
        <v>2.5628000000000002</v>
      </c>
      <c r="F264" s="180">
        <v>0.93420000000000003</v>
      </c>
      <c r="G264" s="180">
        <v>2.4455</v>
      </c>
      <c r="H264" s="180">
        <v>3.7885</v>
      </c>
      <c r="I264" s="180">
        <v>1.2135</v>
      </c>
      <c r="J264" s="180">
        <v>1.3357000000000001</v>
      </c>
      <c r="K264" s="180">
        <v>3.2583000000000002</v>
      </c>
      <c r="L264" s="180">
        <v>2.3773</v>
      </c>
      <c r="M264" s="180">
        <v>0.56879999999999997</v>
      </c>
      <c r="N264" s="180">
        <v>1.3023</v>
      </c>
      <c r="O264" s="180">
        <v>1.1452</v>
      </c>
      <c r="P264" s="180">
        <v>3.8336000000000001</v>
      </c>
      <c r="Q264" s="180">
        <v>0.44440000000000002</v>
      </c>
      <c r="R264" s="180">
        <v>0.5736</v>
      </c>
      <c r="S264" s="180">
        <v>3.8079000000000001</v>
      </c>
      <c r="T264" s="180">
        <v>0.80279999999999996</v>
      </c>
      <c r="U264" s="180">
        <v>0.34139999999999998</v>
      </c>
      <c r="V264" s="180">
        <v>1.2299</v>
      </c>
      <c r="W264" s="180">
        <v>0.57269999999999999</v>
      </c>
      <c r="X264" s="180">
        <v>0</v>
      </c>
      <c r="Y264" s="180">
        <v>0.89629999999999999</v>
      </c>
      <c r="Z264" s="180">
        <v>0.60150000000000003</v>
      </c>
      <c r="AA264" s="180">
        <v>1.0266999999999999</v>
      </c>
      <c r="AB264" s="180">
        <v>0.17879999999999999</v>
      </c>
      <c r="AC264" s="180">
        <v>0.74360000000000004</v>
      </c>
      <c r="AD264" s="180">
        <v>0.79520000000000002</v>
      </c>
      <c r="AE264" s="180">
        <v>1.2922</v>
      </c>
      <c r="AF264" s="180">
        <v>0.63980000000000004</v>
      </c>
      <c r="AG264" s="180">
        <v>0.64510000000000001</v>
      </c>
      <c r="AH264" s="180">
        <v>1.8403</v>
      </c>
      <c r="AI264" s="180">
        <v>0.3916</v>
      </c>
      <c r="AJ264" s="180">
        <v>6.1151999999999997</v>
      </c>
      <c r="AK264" s="180">
        <v>0</v>
      </c>
      <c r="AL264" s="180">
        <v>0</v>
      </c>
      <c r="AM264" s="180">
        <v>0.70830000000000004</v>
      </c>
      <c r="AN264" s="180">
        <v>0.95399999999999996</v>
      </c>
      <c r="AO264" s="180">
        <v>1.0271999999999999</v>
      </c>
      <c r="AP264" s="180">
        <v>1.9807999999999999</v>
      </c>
      <c r="AQ264" s="180">
        <v>0.76949999999999996</v>
      </c>
      <c r="AR264" s="180">
        <v>0.71809999999999996</v>
      </c>
      <c r="AS264" s="180">
        <v>0</v>
      </c>
      <c r="AT264" s="180">
        <v>0.48859999999999998</v>
      </c>
      <c r="AU264" s="180">
        <v>1.1704000000000001</v>
      </c>
      <c r="AV264" s="180">
        <v>1.4952000000000001</v>
      </c>
      <c r="AW264" s="180">
        <v>1.6758999999999999</v>
      </c>
      <c r="AX264" s="180">
        <v>0.44840000000000002</v>
      </c>
      <c r="AY264" s="180">
        <v>0.39850000000000002</v>
      </c>
      <c r="AZ264" s="180">
        <v>2.2923</v>
      </c>
      <c r="BA264" s="180">
        <v>0.86470000000000002</v>
      </c>
      <c r="BB264" s="180">
        <v>4.1192000000000002</v>
      </c>
      <c r="BC264" s="180">
        <v>2.0093000000000001</v>
      </c>
      <c r="BD264" s="180">
        <v>0.87219999999999998</v>
      </c>
      <c r="BE264" s="180">
        <v>6.6292999999999997</v>
      </c>
      <c r="BF264" s="180">
        <v>1.7791999999999999</v>
      </c>
      <c r="BG264" s="180">
        <v>1.5720000000000001</v>
      </c>
      <c r="BH264" s="180">
        <v>2.4687000000000001</v>
      </c>
      <c r="BI264" s="180">
        <v>1.6136999999999999</v>
      </c>
      <c r="BJ264" s="180">
        <v>2.0739999999999998</v>
      </c>
      <c r="BK264" s="180">
        <v>0.54</v>
      </c>
      <c r="BL264" s="180">
        <v>0</v>
      </c>
      <c r="BM264" s="180">
        <v>0.121</v>
      </c>
      <c r="BN264" s="180">
        <v>0.57740000000000002</v>
      </c>
      <c r="BO264" s="180">
        <v>1.1362000000000001</v>
      </c>
      <c r="BP264" s="180">
        <v>1.0792999999999999</v>
      </c>
      <c r="BQ264" s="180">
        <v>0.57530000000000003</v>
      </c>
      <c r="BR264" s="180">
        <v>0.33410000000000001</v>
      </c>
      <c r="BS264" s="180">
        <v>1.5273000000000001</v>
      </c>
      <c r="BT264" s="180">
        <v>0.70950000000000002</v>
      </c>
      <c r="BU264" s="180">
        <v>0.99399999999999999</v>
      </c>
      <c r="BV264" s="180">
        <v>3.8988</v>
      </c>
      <c r="BW264" s="180">
        <v>0.59099999999999997</v>
      </c>
      <c r="BX264" s="180">
        <v>2.4350000000000001</v>
      </c>
      <c r="BY264" s="180">
        <v>3.2585000000000002</v>
      </c>
      <c r="BZ264" s="180">
        <v>1.3954</v>
      </c>
      <c r="CA264" s="180">
        <v>1.2383999999999999</v>
      </c>
      <c r="CB264" s="180">
        <v>0.10349999999999999</v>
      </c>
      <c r="CC264" s="180">
        <v>0</v>
      </c>
      <c r="CD264" s="180">
        <v>5.8727</v>
      </c>
    </row>
    <row r="265" spans="1:82" s="180" customFormat="1" x14ac:dyDescent="0.3">
      <c r="A265" s="155">
        <v>9008</v>
      </c>
      <c r="B265" s="572" t="s">
        <v>1045</v>
      </c>
      <c r="C265" s="180" t="s">
        <v>351</v>
      </c>
      <c r="D265" s="180">
        <v>0</v>
      </c>
      <c r="E265" s="180">
        <v>0</v>
      </c>
      <c r="F265" s="180">
        <v>0</v>
      </c>
      <c r="G265" s="180">
        <v>0</v>
      </c>
      <c r="H265" s="180">
        <v>0</v>
      </c>
      <c r="I265" s="180">
        <v>0</v>
      </c>
      <c r="J265" s="180">
        <v>0</v>
      </c>
      <c r="K265" s="180">
        <v>0</v>
      </c>
      <c r="L265" s="180">
        <v>0</v>
      </c>
      <c r="M265" s="180">
        <v>0</v>
      </c>
      <c r="N265" s="180">
        <v>0</v>
      </c>
      <c r="O265" s="180">
        <v>0</v>
      </c>
      <c r="P265" s="180">
        <v>0</v>
      </c>
      <c r="Q265" s="180">
        <v>0</v>
      </c>
      <c r="R265" s="180">
        <v>0</v>
      </c>
      <c r="S265" s="180">
        <v>0</v>
      </c>
      <c r="T265" s="180">
        <v>0</v>
      </c>
      <c r="U265" s="180">
        <v>0</v>
      </c>
      <c r="V265" s="180">
        <v>0</v>
      </c>
      <c r="W265" s="180">
        <v>0</v>
      </c>
      <c r="X265" s="180">
        <v>0</v>
      </c>
      <c r="Y265" s="180">
        <v>0</v>
      </c>
      <c r="Z265" s="180">
        <v>0</v>
      </c>
      <c r="AA265" s="180">
        <v>0</v>
      </c>
      <c r="AB265" s="180">
        <v>0</v>
      </c>
      <c r="AC265" s="180">
        <v>0</v>
      </c>
      <c r="AD265" s="180">
        <v>0</v>
      </c>
      <c r="AE265" s="180">
        <v>0</v>
      </c>
      <c r="AF265" s="180">
        <v>0</v>
      </c>
      <c r="AG265" s="180">
        <v>0</v>
      </c>
      <c r="AH265" s="180">
        <v>0</v>
      </c>
      <c r="AI265" s="180">
        <v>0</v>
      </c>
      <c r="AJ265" s="180">
        <v>0</v>
      </c>
      <c r="AK265" s="180">
        <v>0</v>
      </c>
      <c r="AL265" s="180">
        <v>0</v>
      </c>
      <c r="AM265" s="180">
        <v>0</v>
      </c>
      <c r="AN265" s="180">
        <v>0</v>
      </c>
      <c r="AO265" s="180">
        <v>0</v>
      </c>
      <c r="AP265" s="180">
        <v>0</v>
      </c>
      <c r="AQ265" s="180">
        <v>0</v>
      </c>
      <c r="AR265" s="180">
        <v>0</v>
      </c>
      <c r="AS265" s="180">
        <v>0</v>
      </c>
      <c r="AT265" s="180">
        <v>0</v>
      </c>
      <c r="AU265" s="180">
        <v>0</v>
      </c>
      <c r="AV265" s="180">
        <v>0</v>
      </c>
      <c r="AW265" s="180">
        <v>0</v>
      </c>
      <c r="AX265" s="180">
        <v>0</v>
      </c>
      <c r="AY265" s="180">
        <v>0</v>
      </c>
      <c r="AZ265" s="180">
        <v>0</v>
      </c>
      <c r="BA265" s="180">
        <v>0</v>
      </c>
      <c r="BB265" s="180">
        <v>0</v>
      </c>
      <c r="BC265" s="180">
        <v>0</v>
      </c>
      <c r="BD265" s="180">
        <v>0</v>
      </c>
      <c r="BE265" s="180">
        <v>0</v>
      </c>
      <c r="BF265" s="180">
        <v>0</v>
      </c>
      <c r="BG265" s="180">
        <v>0</v>
      </c>
      <c r="BH265" s="180">
        <v>0</v>
      </c>
      <c r="BI265" s="180">
        <v>0</v>
      </c>
      <c r="BJ265" s="180">
        <v>0</v>
      </c>
      <c r="BK265" s="180">
        <v>0</v>
      </c>
      <c r="BL265" s="180">
        <v>0</v>
      </c>
      <c r="BM265" s="180">
        <v>0</v>
      </c>
      <c r="BN265" s="180">
        <v>0</v>
      </c>
      <c r="BO265" s="180">
        <v>0</v>
      </c>
      <c r="BP265" s="180">
        <v>0</v>
      </c>
      <c r="BQ265" s="180">
        <v>0</v>
      </c>
      <c r="BR265" s="180">
        <v>0</v>
      </c>
      <c r="BS265" s="180">
        <v>0</v>
      </c>
      <c r="BT265" s="180">
        <v>0</v>
      </c>
      <c r="BU265" s="180">
        <v>0</v>
      </c>
      <c r="BV265" s="180">
        <v>0</v>
      </c>
      <c r="BW265" s="180">
        <v>0</v>
      </c>
      <c r="BX265" s="180">
        <v>0</v>
      </c>
      <c r="BY265" s="180">
        <v>0</v>
      </c>
      <c r="BZ265" s="180">
        <v>0</v>
      </c>
      <c r="CA265" s="180">
        <v>0</v>
      </c>
      <c r="CB265" s="180">
        <v>0</v>
      </c>
      <c r="CC265" s="180">
        <v>0</v>
      </c>
      <c r="CD265" s="180">
        <v>0</v>
      </c>
    </row>
    <row r="266" spans="1:82" s="180" customFormat="1" x14ac:dyDescent="0.3">
      <c r="A266" s="155">
        <v>9010</v>
      </c>
      <c r="B266" s="572" t="s">
        <v>1046</v>
      </c>
      <c r="C266" s="572" t="s">
        <v>1047</v>
      </c>
      <c r="D266" s="180">
        <v>0</v>
      </c>
      <c r="E266" s="180">
        <v>0</v>
      </c>
      <c r="F266" s="180">
        <v>14.84</v>
      </c>
      <c r="G266" s="180">
        <v>0</v>
      </c>
      <c r="H266" s="180">
        <v>0</v>
      </c>
      <c r="I266" s="180">
        <v>0</v>
      </c>
      <c r="J266" s="180">
        <v>4.08</v>
      </c>
      <c r="K266" s="180">
        <v>0</v>
      </c>
      <c r="L266" s="180">
        <v>0</v>
      </c>
      <c r="M266" s="180">
        <v>0</v>
      </c>
      <c r="N266" s="180">
        <v>0</v>
      </c>
      <c r="O266" s="180">
        <v>8.4600000000000009</v>
      </c>
      <c r="P266" s="180">
        <v>0</v>
      </c>
      <c r="Q266" s="180">
        <v>21.54</v>
      </c>
      <c r="R266" s="180">
        <v>20.66</v>
      </c>
      <c r="S266" s="180">
        <v>0</v>
      </c>
      <c r="T266" s="180">
        <v>3.46</v>
      </c>
      <c r="U266" s="180">
        <v>4.45</v>
      </c>
      <c r="V266" s="180">
        <v>10.71</v>
      </c>
      <c r="W266" s="180">
        <v>0</v>
      </c>
      <c r="X266" s="180">
        <v>0</v>
      </c>
      <c r="Y266" s="180">
        <v>9.6</v>
      </c>
      <c r="Z266" s="180">
        <v>6.72</v>
      </c>
      <c r="AA266" s="180">
        <v>22.88</v>
      </c>
      <c r="AB266" s="180">
        <v>3</v>
      </c>
      <c r="AC266" s="180">
        <v>4.07</v>
      </c>
      <c r="AD266" s="180">
        <v>4.32</v>
      </c>
      <c r="AE266" s="180">
        <v>13.86</v>
      </c>
      <c r="AF266" s="180">
        <v>9.3800000000000008</v>
      </c>
      <c r="AG266" s="180">
        <v>3.5</v>
      </c>
      <c r="AH266" s="180">
        <v>0</v>
      </c>
      <c r="AI266" s="180">
        <v>4.68</v>
      </c>
      <c r="AJ266" s="180">
        <v>6.32</v>
      </c>
      <c r="AK266" s="180">
        <v>0</v>
      </c>
      <c r="AL266" s="180">
        <v>0</v>
      </c>
      <c r="AM266" s="180">
        <v>2.63</v>
      </c>
      <c r="AN266" s="180">
        <v>1.07</v>
      </c>
      <c r="AO266" s="180">
        <v>1.1499999999999999</v>
      </c>
      <c r="AP266" s="180">
        <v>0</v>
      </c>
      <c r="AQ266" s="180">
        <v>0</v>
      </c>
      <c r="AR266" s="180">
        <v>16.79</v>
      </c>
      <c r="AS266" s="180">
        <v>0</v>
      </c>
      <c r="AT266" s="180">
        <v>1.99</v>
      </c>
      <c r="AU266" s="180">
        <v>0</v>
      </c>
      <c r="AV266" s="180">
        <v>22.72</v>
      </c>
      <c r="AW266" s="180">
        <v>0</v>
      </c>
      <c r="AX266" s="180">
        <v>7.08</v>
      </c>
      <c r="AY266" s="180">
        <v>44.88</v>
      </c>
      <c r="AZ266" s="180">
        <v>21.44</v>
      </c>
      <c r="BA266" s="180">
        <v>3.39</v>
      </c>
      <c r="BB266" s="180">
        <v>0</v>
      </c>
      <c r="BC266" s="180">
        <v>9.01</v>
      </c>
      <c r="BD266" s="180">
        <v>3.35</v>
      </c>
      <c r="BE266" s="180">
        <v>0</v>
      </c>
      <c r="BF266" s="180">
        <v>1.1399999999999999</v>
      </c>
      <c r="BG266" s="180">
        <v>22.05</v>
      </c>
      <c r="BH266" s="180">
        <v>0</v>
      </c>
      <c r="BI266" s="180">
        <v>31.97</v>
      </c>
      <c r="BJ266" s="180">
        <v>0</v>
      </c>
      <c r="BK266" s="180">
        <v>4.8899999999999997</v>
      </c>
      <c r="BL266" s="180">
        <v>0</v>
      </c>
      <c r="BM266" s="180">
        <v>2.27</v>
      </c>
      <c r="BN266" s="180">
        <v>10.5</v>
      </c>
      <c r="BO266" s="180">
        <v>4.8099999999999996</v>
      </c>
      <c r="BP266" s="180">
        <v>10.96</v>
      </c>
      <c r="BQ266" s="180">
        <v>0</v>
      </c>
      <c r="BR266" s="180">
        <v>4.84</v>
      </c>
      <c r="BS266" s="180">
        <v>0</v>
      </c>
      <c r="BT266" s="180">
        <v>7.41</v>
      </c>
      <c r="BU266" s="180">
        <v>8.92</v>
      </c>
      <c r="BV266" s="180">
        <v>0</v>
      </c>
      <c r="BW266" s="180">
        <v>1.77</v>
      </c>
      <c r="BX266" s="180">
        <v>86.47</v>
      </c>
      <c r="BY266" s="180">
        <v>0.68</v>
      </c>
      <c r="BZ266" s="180">
        <v>0.56999999999999995</v>
      </c>
      <c r="CA266" s="180">
        <v>3.56</v>
      </c>
      <c r="CB266" s="180">
        <v>17.86</v>
      </c>
      <c r="CC266" s="180">
        <v>0</v>
      </c>
      <c r="CD266" s="180">
        <v>0</v>
      </c>
    </row>
    <row r="267" spans="1:82" s="180" customFormat="1" x14ac:dyDescent="0.3">
      <c r="A267" s="155">
        <v>9011</v>
      </c>
      <c r="B267" s="572" t="s">
        <v>1723</v>
      </c>
      <c r="C267" s="572" t="s">
        <v>1048</v>
      </c>
      <c r="D267" s="180">
        <v>0</v>
      </c>
      <c r="E267" s="180">
        <v>0</v>
      </c>
      <c r="F267" s="180">
        <v>62317</v>
      </c>
      <c r="G267" s="180">
        <v>0</v>
      </c>
      <c r="H267" s="180">
        <v>0</v>
      </c>
      <c r="I267" s="180">
        <v>0</v>
      </c>
      <c r="J267" s="180">
        <v>-7540</v>
      </c>
      <c r="K267" s="180">
        <v>0</v>
      </c>
      <c r="L267" s="180">
        <v>0</v>
      </c>
      <c r="M267" s="180">
        <v>0</v>
      </c>
      <c r="N267" s="180">
        <v>0</v>
      </c>
      <c r="O267" s="180">
        <v>1516730</v>
      </c>
      <c r="P267" s="180">
        <v>0</v>
      </c>
      <c r="Q267" s="180">
        <v>15799430</v>
      </c>
      <c r="R267" s="180">
        <v>52363</v>
      </c>
      <c r="S267" s="180">
        <v>0</v>
      </c>
      <c r="T267" s="180">
        <v>7450457</v>
      </c>
      <c r="U267" s="180">
        <v>931313</v>
      </c>
      <c r="V267" s="180">
        <v>3227635</v>
      </c>
      <c r="W267" s="180">
        <v>0</v>
      </c>
      <c r="X267" s="180">
        <v>0</v>
      </c>
      <c r="Y267" s="180">
        <v>1554409</v>
      </c>
      <c r="Z267" s="180">
        <v>194926</v>
      </c>
      <c r="AA267" s="180">
        <v>4767841</v>
      </c>
      <c r="AB267" s="180">
        <v>1082134</v>
      </c>
      <c r="AC267" s="180">
        <v>199152</v>
      </c>
      <c r="AD267" s="180">
        <v>488156</v>
      </c>
      <c r="AE267" s="180">
        <v>135076</v>
      </c>
      <c r="AF267" s="180">
        <v>738040</v>
      </c>
      <c r="AG267" s="180">
        <v>1833434</v>
      </c>
      <c r="AH267" s="180">
        <v>0</v>
      </c>
      <c r="AI267" s="180">
        <v>2993202</v>
      </c>
      <c r="AJ267" s="180">
        <v>69899</v>
      </c>
      <c r="AK267" s="180">
        <v>0</v>
      </c>
      <c r="AL267" s="180">
        <v>0</v>
      </c>
      <c r="AM267" s="180">
        <v>1793404</v>
      </c>
      <c r="AN267" s="180">
        <v>-20472</v>
      </c>
      <c r="AO267" s="180">
        <v>31266</v>
      </c>
      <c r="AP267" s="180">
        <v>0</v>
      </c>
      <c r="AQ267" s="180">
        <v>0</v>
      </c>
      <c r="AR267" s="180">
        <v>731601</v>
      </c>
      <c r="AS267" s="180">
        <v>0</v>
      </c>
      <c r="AT267" s="180">
        <v>617814</v>
      </c>
      <c r="AU267" s="180">
        <v>0</v>
      </c>
      <c r="AV267" s="180">
        <v>-185790</v>
      </c>
      <c r="AW267" s="180">
        <v>0</v>
      </c>
      <c r="AX267" s="180">
        <v>172893</v>
      </c>
      <c r="AY267" s="180">
        <v>1002513</v>
      </c>
      <c r="AZ267" s="180">
        <v>104857</v>
      </c>
      <c r="BA267" s="180">
        <v>25379</v>
      </c>
      <c r="BB267" s="180">
        <v>0</v>
      </c>
      <c r="BC267" s="180">
        <v>-4588</v>
      </c>
      <c r="BD267" s="180">
        <v>3278080</v>
      </c>
      <c r="BE267" s="180">
        <v>0</v>
      </c>
      <c r="BF267" s="180">
        <v>-33474</v>
      </c>
      <c r="BG267" s="180">
        <v>22066</v>
      </c>
      <c r="BH267" s="180">
        <v>0</v>
      </c>
      <c r="BI267" s="180">
        <v>41350</v>
      </c>
      <c r="BJ267" s="180">
        <v>0</v>
      </c>
      <c r="BK267" s="180">
        <v>11562</v>
      </c>
      <c r="BL267" s="180">
        <v>0</v>
      </c>
      <c r="BM267" s="180">
        <v>-281282</v>
      </c>
      <c r="BN267" s="180">
        <v>214042</v>
      </c>
      <c r="BO267" s="180">
        <v>116373</v>
      </c>
      <c r="BP267" s="180">
        <v>139254</v>
      </c>
      <c r="BQ267" s="180">
        <v>0</v>
      </c>
      <c r="BR267" s="180">
        <v>139122</v>
      </c>
      <c r="BS267" s="180">
        <v>0</v>
      </c>
      <c r="BT267" s="180">
        <v>26010</v>
      </c>
      <c r="BU267" s="180">
        <v>2278576</v>
      </c>
      <c r="BV267" s="180">
        <v>0</v>
      </c>
      <c r="BW267" s="180">
        <v>73707</v>
      </c>
      <c r="BX267" s="180">
        <v>118860</v>
      </c>
      <c r="BY267" s="180">
        <v>107</v>
      </c>
      <c r="BZ267" s="180">
        <v>40275</v>
      </c>
      <c r="CA267" s="180">
        <v>16346</v>
      </c>
      <c r="CB267" s="180">
        <v>174558</v>
      </c>
      <c r="CC267" s="180">
        <v>0</v>
      </c>
      <c r="CD267" s="180">
        <v>8154</v>
      </c>
    </row>
    <row r="268" spans="1:82" s="180" customFormat="1" x14ac:dyDescent="0.3">
      <c r="A268" s="155">
        <v>9012</v>
      </c>
      <c r="B268" s="572" t="s">
        <v>1724</v>
      </c>
      <c r="C268" s="572" t="s">
        <v>1048</v>
      </c>
      <c r="D268" s="180">
        <v>0</v>
      </c>
      <c r="E268" s="180">
        <v>0</v>
      </c>
      <c r="F268" s="180">
        <v>1.3367</v>
      </c>
      <c r="G268" s="180">
        <v>0</v>
      </c>
      <c r="H268" s="180">
        <v>0</v>
      </c>
      <c r="I268" s="180">
        <v>0</v>
      </c>
      <c r="J268" s="180">
        <v>0.13350000000000001</v>
      </c>
      <c r="K268" s="180">
        <v>0</v>
      </c>
      <c r="L268" s="180">
        <v>0</v>
      </c>
      <c r="M268" s="180">
        <v>0</v>
      </c>
      <c r="N268" s="180">
        <v>0</v>
      </c>
      <c r="O268" s="180">
        <v>0.68600000000000005</v>
      </c>
      <c r="P268" s="180">
        <v>0</v>
      </c>
      <c r="Q268" s="180">
        <v>7.5313999999999997</v>
      </c>
      <c r="R268" s="180">
        <v>2.9826999999999999</v>
      </c>
      <c r="S268" s="180">
        <v>0</v>
      </c>
      <c r="T268" s="180">
        <v>1.0577000000000001</v>
      </c>
      <c r="U268" s="180">
        <v>1.0353000000000001</v>
      </c>
      <c r="V268" s="180">
        <v>2.3290000000000002</v>
      </c>
      <c r="W268" s="180">
        <v>0</v>
      </c>
      <c r="X268" s="180">
        <v>0</v>
      </c>
      <c r="Y268" s="180">
        <v>1.2055</v>
      </c>
      <c r="Z268" s="180">
        <v>1.3451</v>
      </c>
      <c r="AA268" s="180">
        <v>2.1435</v>
      </c>
      <c r="AB268" s="180">
        <v>0.61919999999999997</v>
      </c>
      <c r="AC268" s="180">
        <v>1.1758</v>
      </c>
      <c r="AD268" s="180">
        <v>0.78420000000000001</v>
      </c>
      <c r="AE268" s="180">
        <v>1.024</v>
      </c>
      <c r="AF268" s="180">
        <v>1.1536</v>
      </c>
      <c r="AG268" s="180">
        <v>0.25030000000000002</v>
      </c>
      <c r="AH268" s="180">
        <v>0</v>
      </c>
      <c r="AI268" s="180">
        <v>1.0344</v>
      </c>
      <c r="AJ268" s="180">
        <v>1.357</v>
      </c>
      <c r="AK268" s="180">
        <v>0</v>
      </c>
      <c r="AL268" s="180">
        <v>0</v>
      </c>
      <c r="AM268" s="180">
        <v>0.28320000000000001</v>
      </c>
      <c r="AN268" s="180">
        <v>-6.0100000000000001E-2</v>
      </c>
      <c r="AO268" s="180">
        <v>6.3E-2</v>
      </c>
      <c r="AP268" s="180">
        <v>0</v>
      </c>
      <c r="AQ268" s="180">
        <v>0</v>
      </c>
      <c r="AR268" s="180">
        <v>2.0823</v>
      </c>
      <c r="AS268" s="180">
        <v>0</v>
      </c>
      <c r="AT268" s="180">
        <v>0.80210000000000004</v>
      </c>
      <c r="AU268" s="180">
        <v>0</v>
      </c>
      <c r="AV268" s="180">
        <v>1.7668999999999999</v>
      </c>
      <c r="AW268" s="180">
        <v>0</v>
      </c>
      <c r="AX268" s="180">
        <v>2.2646999999999999</v>
      </c>
      <c r="AY268" s="180">
        <v>5.8742000000000001</v>
      </c>
      <c r="AZ268" s="180">
        <v>1.9736</v>
      </c>
      <c r="BA268" s="180">
        <v>0.42620000000000002</v>
      </c>
      <c r="BB268" s="180">
        <v>0</v>
      </c>
      <c r="BC268" s="180">
        <v>0.53910000000000002</v>
      </c>
      <c r="BD268" s="180">
        <v>2.1667999999999998</v>
      </c>
      <c r="BE268" s="180">
        <v>0</v>
      </c>
      <c r="BF268" s="180">
        <v>0.94299999999999995</v>
      </c>
      <c r="BG268" s="180">
        <v>1.4863</v>
      </c>
      <c r="BH268" s="180">
        <v>0</v>
      </c>
      <c r="BI268" s="180">
        <v>2.7029999999999998</v>
      </c>
      <c r="BJ268" s="180">
        <v>0</v>
      </c>
      <c r="BK268" s="180">
        <v>0.64890000000000003</v>
      </c>
      <c r="BL268" s="180">
        <v>0</v>
      </c>
      <c r="BM268" s="180">
        <v>0.3004</v>
      </c>
      <c r="BN268" s="180">
        <v>1.3871</v>
      </c>
      <c r="BO268" s="180">
        <v>0.8901</v>
      </c>
      <c r="BP268" s="180">
        <v>3.5384000000000002</v>
      </c>
      <c r="BQ268" s="180">
        <v>0</v>
      </c>
      <c r="BR268" s="180">
        <v>1.2216</v>
      </c>
      <c r="BS268" s="180">
        <v>0</v>
      </c>
      <c r="BT268" s="180">
        <v>1.0242</v>
      </c>
      <c r="BU268" s="180">
        <v>1.7448999999999999</v>
      </c>
      <c r="BV268" s="180">
        <v>0</v>
      </c>
      <c r="BW268" s="180">
        <v>0.20899999999999999</v>
      </c>
      <c r="BX268" s="180">
        <v>4.7793000000000001</v>
      </c>
      <c r="BY268" s="180">
        <v>9.5600000000000004E-2</v>
      </c>
      <c r="BZ268" s="180">
        <v>1.4887999999999999</v>
      </c>
      <c r="CA268" s="180">
        <v>0.25929999999999997</v>
      </c>
      <c r="CB268" s="180">
        <v>2.1059000000000001</v>
      </c>
      <c r="CC268" s="180">
        <v>0</v>
      </c>
      <c r="CD268" s="180">
        <v>6.4199999999999993E-2</v>
      </c>
    </row>
    <row r="269" spans="1:82" s="180" customFormat="1" x14ac:dyDescent="0.3">
      <c r="A269" s="155">
        <v>9013</v>
      </c>
      <c r="B269" s="557" t="s">
        <v>1049</v>
      </c>
      <c r="C269" s="557" t="s">
        <v>1050</v>
      </c>
      <c r="D269" s="180">
        <v>0</v>
      </c>
      <c r="E269" s="180">
        <v>0</v>
      </c>
      <c r="F269" s="180">
        <v>14.84</v>
      </c>
      <c r="G269" s="180">
        <v>0</v>
      </c>
      <c r="H269" s="180">
        <v>0</v>
      </c>
      <c r="I269" s="180">
        <v>0</v>
      </c>
      <c r="J269" s="180">
        <v>4.08</v>
      </c>
      <c r="K269" s="180">
        <v>0</v>
      </c>
      <c r="L269" s="180">
        <v>0</v>
      </c>
      <c r="M269" s="180">
        <v>0</v>
      </c>
      <c r="N269" s="180">
        <v>0</v>
      </c>
      <c r="O269" s="180">
        <v>8.4600000000000009</v>
      </c>
      <c r="P269" s="180">
        <v>0</v>
      </c>
      <c r="Q269" s="180">
        <v>21.54</v>
      </c>
      <c r="R269" s="180">
        <v>20.66</v>
      </c>
      <c r="S269" s="180">
        <v>0</v>
      </c>
      <c r="T269" s="180">
        <v>3.46</v>
      </c>
      <c r="U269" s="180">
        <v>4.45</v>
      </c>
      <c r="V269" s="180">
        <v>10.71</v>
      </c>
      <c r="W269" s="180">
        <v>0</v>
      </c>
      <c r="X269" s="180">
        <v>0</v>
      </c>
      <c r="Y269" s="180">
        <v>9.6</v>
      </c>
      <c r="Z269" s="180">
        <v>6.72</v>
      </c>
      <c r="AA269" s="180">
        <v>22.88</v>
      </c>
      <c r="AB269" s="180">
        <v>3</v>
      </c>
      <c r="AC269" s="180">
        <v>4.07</v>
      </c>
      <c r="AD269" s="180">
        <v>4.32</v>
      </c>
      <c r="AE269" s="180">
        <v>13.86</v>
      </c>
      <c r="AF269" s="180">
        <v>9.3800000000000008</v>
      </c>
      <c r="AG269" s="180">
        <v>3.5</v>
      </c>
      <c r="AH269" s="180">
        <v>0</v>
      </c>
      <c r="AI269" s="180">
        <v>4.68</v>
      </c>
      <c r="AJ269" s="180">
        <v>6.32</v>
      </c>
      <c r="AK269" s="180">
        <v>0</v>
      </c>
      <c r="AL269" s="180">
        <v>0</v>
      </c>
      <c r="AM269" s="180">
        <v>2.63</v>
      </c>
      <c r="AN269" s="180">
        <v>1.07</v>
      </c>
      <c r="AO269" s="180">
        <v>1.1499999999999999</v>
      </c>
      <c r="AP269" s="180">
        <v>0</v>
      </c>
      <c r="AQ269" s="180">
        <v>0</v>
      </c>
      <c r="AR269" s="180">
        <v>16.79</v>
      </c>
      <c r="AS269" s="180">
        <v>0</v>
      </c>
      <c r="AT269" s="180">
        <v>1.99</v>
      </c>
      <c r="AU269" s="180">
        <v>0</v>
      </c>
      <c r="AV269" s="180">
        <v>22.72</v>
      </c>
      <c r="AW269" s="180">
        <v>0</v>
      </c>
      <c r="AX269" s="180">
        <v>7.08</v>
      </c>
      <c r="AY269" s="180">
        <v>44.88</v>
      </c>
      <c r="AZ269" s="180">
        <v>21.44</v>
      </c>
      <c r="BA269" s="180">
        <v>3.39</v>
      </c>
      <c r="BB269" s="180">
        <v>0</v>
      </c>
      <c r="BC269" s="180">
        <v>9.01</v>
      </c>
      <c r="BD269" s="180">
        <v>3.35</v>
      </c>
      <c r="BE269" s="180">
        <v>0</v>
      </c>
      <c r="BF269" s="180">
        <v>1.1399999999999999</v>
      </c>
      <c r="BG269" s="180">
        <v>22.05</v>
      </c>
      <c r="BH269" s="180">
        <v>0</v>
      </c>
      <c r="BI269" s="180">
        <v>31.97</v>
      </c>
      <c r="BJ269" s="180">
        <v>0</v>
      </c>
      <c r="BK269" s="180">
        <v>4.8899999999999997</v>
      </c>
      <c r="BL269" s="180">
        <v>0</v>
      </c>
      <c r="BM269" s="180">
        <v>2.27</v>
      </c>
      <c r="BN269" s="180">
        <v>10.5</v>
      </c>
      <c r="BO269" s="180">
        <v>4.8099999999999996</v>
      </c>
      <c r="BP269" s="180">
        <v>10.96</v>
      </c>
      <c r="BQ269" s="180">
        <v>0</v>
      </c>
      <c r="BR269" s="180">
        <v>4.84</v>
      </c>
      <c r="BS269" s="180">
        <v>0</v>
      </c>
      <c r="BT269" s="180">
        <v>7.41</v>
      </c>
      <c r="BU269" s="180">
        <v>8.92</v>
      </c>
      <c r="BV269" s="180">
        <v>0</v>
      </c>
      <c r="BW269" s="180">
        <v>1.77</v>
      </c>
      <c r="BX269" s="180">
        <v>86.47</v>
      </c>
      <c r="BY269" s="180">
        <v>0.68</v>
      </c>
      <c r="BZ269" s="180">
        <v>0.56999999999999995</v>
      </c>
      <c r="CA269" s="180">
        <v>3.56</v>
      </c>
      <c r="CB269" s="180">
        <v>17.86</v>
      </c>
      <c r="CC269" s="180">
        <v>0</v>
      </c>
      <c r="CD269" s="180">
        <v>0</v>
      </c>
    </row>
    <row r="270" spans="1:82" s="180" customFormat="1" x14ac:dyDescent="0.3">
      <c r="A270" s="155">
        <v>9014</v>
      </c>
      <c r="B270" s="572" t="s">
        <v>1051</v>
      </c>
      <c r="C270" s="572" t="s">
        <v>1052</v>
      </c>
      <c r="D270" s="180">
        <v>0</v>
      </c>
      <c r="E270" s="180">
        <v>0</v>
      </c>
      <c r="F270" s="180">
        <v>0</v>
      </c>
      <c r="G270" s="180">
        <v>0</v>
      </c>
      <c r="H270" s="180">
        <v>0</v>
      </c>
      <c r="I270" s="180">
        <v>0</v>
      </c>
      <c r="J270" s="180">
        <v>0</v>
      </c>
      <c r="K270" s="180">
        <v>0</v>
      </c>
      <c r="L270" s="180">
        <v>0</v>
      </c>
      <c r="M270" s="180">
        <v>0</v>
      </c>
      <c r="N270" s="180">
        <v>0</v>
      </c>
      <c r="O270" s="180">
        <v>0</v>
      </c>
      <c r="P270" s="180">
        <v>0</v>
      </c>
      <c r="Q270" s="180">
        <v>13.14</v>
      </c>
      <c r="R270" s="180">
        <v>0</v>
      </c>
      <c r="S270" s="180">
        <v>0</v>
      </c>
      <c r="T270" s="180">
        <v>0</v>
      </c>
      <c r="U270" s="180">
        <v>0</v>
      </c>
      <c r="V270" s="180">
        <v>8.36</v>
      </c>
      <c r="W270" s="180">
        <v>0</v>
      </c>
      <c r="X270" s="180">
        <v>0</v>
      </c>
      <c r="Y270" s="180">
        <v>0</v>
      </c>
      <c r="Z270" s="180">
        <v>0</v>
      </c>
      <c r="AA270" s="180">
        <v>0</v>
      </c>
      <c r="AB270" s="180">
        <v>0</v>
      </c>
      <c r="AC270" s="180">
        <v>0</v>
      </c>
      <c r="AD270" s="180">
        <v>0</v>
      </c>
      <c r="AE270" s="180">
        <v>0</v>
      </c>
      <c r="AF270" s="180">
        <v>0</v>
      </c>
      <c r="AG270" s="180">
        <v>0</v>
      </c>
      <c r="AH270" s="180">
        <v>0</v>
      </c>
      <c r="AI270" s="180">
        <v>2.9</v>
      </c>
      <c r="AJ270" s="180">
        <v>0</v>
      </c>
      <c r="AK270" s="180">
        <v>0</v>
      </c>
      <c r="AL270" s="180">
        <v>0</v>
      </c>
      <c r="AM270" s="180">
        <v>6.93</v>
      </c>
      <c r="AN270" s="180">
        <v>0</v>
      </c>
      <c r="AO270" s="180">
        <v>0</v>
      </c>
      <c r="AP270" s="180">
        <v>0</v>
      </c>
      <c r="AQ270" s="180">
        <v>0</v>
      </c>
      <c r="AR270" s="180">
        <v>0</v>
      </c>
      <c r="AS270" s="180">
        <v>0</v>
      </c>
      <c r="AT270" s="180">
        <v>0</v>
      </c>
      <c r="AU270" s="180">
        <v>11.98</v>
      </c>
      <c r="AV270" s="180">
        <v>0</v>
      </c>
      <c r="AW270" s="180">
        <v>0</v>
      </c>
      <c r="AX270" s="180">
        <v>0</v>
      </c>
      <c r="AY270" s="180">
        <v>0</v>
      </c>
      <c r="AZ270" s="180">
        <v>0</v>
      </c>
      <c r="BA270" s="180">
        <v>0</v>
      </c>
      <c r="BB270" s="180">
        <v>0</v>
      </c>
      <c r="BC270" s="180">
        <v>0</v>
      </c>
      <c r="BD270" s="180">
        <v>0</v>
      </c>
      <c r="BE270" s="180">
        <v>0</v>
      </c>
      <c r="BF270" s="180">
        <v>0</v>
      </c>
      <c r="BG270" s="180">
        <v>0</v>
      </c>
      <c r="BH270" s="180">
        <v>0</v>
      </c>
      <c r="BI270" s="180">
        <v>0</v>
      </c>
      <c r="BJ270" s="180">
        <v>0</v>
      </c>
      <c r="BK270" s="180">
        <v>0</v>
      </c>
      <c r="BL270" s="180">
        <v>0</v>
      </c>
      <c r="BM270" s="180">
        <v>0</v>
      </c>
      <c r="BN270" s="180">
        <v>0</v>
      </c>
      <c r="BO270" s="180">
        <v>0</v>
      </c>
      <c r="BP270" s="180">
        <v>0</v>
      </c>
      <c r="BQ270" s="180">
        <v>0</v>
      </c>
      <c r="BR270" s="180">
        <v>6.63</v>
      </c>
      <c r="BS270" s="180">
        <v>5.42</v>
      </c>
      <c r="BT270" s="180">
        <v>0</v>
      </c>
      <c r="BU270" s="180">
        <v>0</v>
      </c>
      <c r="BV270" s="180">
        <v>0</v>
      </c>
      <c r="BW270" s="180">
        <v>0</v>
      </c>
      <c r="BX270" s="180">
        <v>0</v>
      </c>
      <c r="BY270" s="180">
        <v>0</v>
      </c>
      <c r="BZ270" s="180">
        <v>0</v>
      </c>
      <c r="CA270" s="180">
        <v>0</v>
      </c>
      <c r="CB270" s="180">
        <v>0</v>
      </c>
      <c r="CC270" s="180">
        <v>0</v>
      </c>
      <c r="CD270" s="180">
        <v>0</v>
      </c>
    </row>
    <row r="271" spans="1:82" s="180" customFormat="1" x14ac:dyDescent="0.3">
      <c r="A271" s="155">
        <v>9015</v>
      </c>
      <c r="B271" s="572" t="s">
        <v>1725</v>
      </c>
      <c r="C271" s="572" t="s">
        <v>351</v>
      </c>
      <c r="D271" s="180">
        <v>0</v>
      </c>
      <c r="E271" s="180">
        <v>0</v>
      </c>
      <c r="F271" s="180">
        <v>0</v>
      </c>
      <c r="G271" s="180">
        <v>0</v>
      </c>
      <c r="H271" s="180">
        <v>0</v>
      </c>
      <c r="I271" s="180">
        <v>0</v>
      </c>
      <c r="J271" s="180">
        <v>0</v>
      </c>
      <c r="K271" s="180">
        <v>0</v>
      </c>
      <c r="L271" s="180">
        <v>0</v>
      </c>
      <c r="M271" s="180">
        <v>0</v>
      </c>
      <c r="N271" s="180">
        <v>0</v>
      </c>
      <c r="O271" s="180">
        <v>0</v>
      </c>
      <c r="P271" s="180">
        <v>0</v>
      </c>
      <c r="Q271" s="180">
        <v>6126257</v>
      </c>
      <c r="R271" s="180">
        <v>0</v>
      </c>
      <c r="S271" s="180">
        <v>0</v>
      </c>
      <c r="T271" s="180">
        <v>0</v>
      </c>
      <c r="U271" s="180">
        <v>0</v>
      </c>
      <c r="V271" s="180">
        <v>2489285</v>
      </c>
      <c r="W271" s="180">
        <v>0</v>
      </c>
      <c r="X271" s="180">
        <v>0</v>
      </c>
      <c r="Y271" s="180">
        <v>0</v>
      </c>
      <c r="Z271" s="180">
        <v>0</v>
      </c>
      <c r="AA271" s="180">
        <v>0</v>
      </c>
      <c r="AB271" s="180">
        <v>0</v>
      </c>
      <c r="AC271" s="180">
        <v>0</v>
      </c>
      <c r="AD271" s="180">
        <v>0</v>
      </c>
      <c r="AE271" s="180">
        <v>0</v>
      </c>
      <c r="AF271" s="180">
        <v>0</v>
      </c>
      <c r="AG271" s="180">
        <v>0</v>
      </c>
      <c r="AH271" s="180">
        <v>0</v>
      </c>
      <c r="AI271" s="180">
        <v>3021703</v>
      </c>
      <c r="AJ271" s="180">
        <v>0</v>
      </c>
      <c r="AK271" s="180">
        <v>0</v>
      </c>
      <c r="AL271" s="180">
        <v>0</v>
      </c>
      <c r="AM271" s="180">
        <v>412260</v>
      </c>
      <c r="AN271" s="180">
        <v>0</v>
      </c>
      <c r="AO271" s="180">
        <v>0</v>
      </c>
      <c r="AP271" s="180">
        <v>0</v>
      </c>
      <c r="AQ271" s="180">
        <v>0</v>
      </c>
      <c r="AR271" s="180">
        <v>0</v>
      </c>
      <c r="AS271" s="180">
        <v>0</v>
      </c>
      <c r="AT271" s="180">
        <v>0</v>
      </c>
      <c r="AU271" s="180">
        <v>32469</v>
      </c>
      <c r="AV271" s="180">
        <v>0</v>
      </c>
      <c r="AW271" s="180">
        <v>0</v>
      </c>
      <c r="AX271" s="180">
        <v>0</v>
      </c>
      <c r="AY271" s="180">
        <v>0</v>
      </c>
      <c r="AZ271" s="180">
        <v>0</v>
      </c>
      <c r="BA271" s="180">
        <v>0</v>
      </c>
      <c r="BB271" s="180">
        <v>0</v>
      </c>
      <c r="BC271" s="180">
        <v>0</v>
      </c>
      <c r="BD271" s="180">
        <v>0</v>
      </c>
      <c r="BE271" s="180">
        <v>0</v>
      </c>
      <c r="BF271" s="180">
        <v>0</v>
      </c>
      <c r="BG271" s="180">
        <v>0</v>
      </c>
      <c r="BH271" s="180">
        <v>0</v>
      </c>
      <c r="BI271" s="180">
        <v>0</v>
      </c>
      <c r="BJ271" s="180">
        <v>0</v>
      </c>
      <c r="BK271" s="180">
        <v>0</v>
      </c>
      <c r="BL271" s="180">
        <v>0</v>
      </c>
      <c r="BM271" s="180">
        <v>0</v>
      </c>
      <c r="BN271" s="180">
        <v>0</v>
      </c>
      <c r="BO271" s="180">
        <v>0</v>
      </c>
      <c r="BP271" s="180">
        <v>0</v>
      </c>
      <c r="BQ271" s="180">
        <v>0</v>
      </c>
      <c r="BR271" s="180">
        <v>739977</v>
      </c>
      <c r="BS271" s="180">
        <v>1486773</v>
      </c>
      <c r="BT271" s="180">
        <v>0</v>
      </c>
      <c r="BU271" s="180">
        <v>0</v>
      </c>
      <c r="BV271" s="180">
        <v>0</v>
      </c>
      <c r="BW271" s="180">
        <v>0</v>
      </c>
      <c r="BX271" s="180">
        <v>0</v>
      </c>
      <c r="BY271" s="180">
        <v>0</v>
      </c>
      <c r="BZ271" s="180">
        <v>0</v>
      </c>
      <c r="CA271" s="180">
        <v>0</v>
      </c>
      <c r="CB271" s="180">
        <v>0</v>
      </c>
      <c r="CC271" s="180">
        <v>0</v>
      </c>
      <c r="CD271" s="180">
        <v>0</v>
      </c>
    </row>
    <row r="272" spans="1:82" s="180" customFormat="1" x14ac:dyDescent="0.3">
      <c r="A272" s="155">
        <v>9016</v>
      </c>
      <c r="B272" s="572" t="s">
        <v>1726</v>
      </c>
      <c r="C272" s="572" t="s">
        <v>351</v>
      </c>
      <c r="D272" s="180">
        <v>0</v>
      </c>
      <c r="E272" s="180">
        <v>0</v>
      </c>
      <c r="F272" s="180">
        <v>0</v>
      </c>
      <c r="G272" s="180">
        <v>0</v>
      </c>
      <c r="H272" s="180">
        <v>0</v>
      </c>
      <c r="I272" s="180">
        <v>0</v>
      </c>
      <c r="J272" s="180">
        <v>0</v>
      </c>
      <c r="K272" s="180">
        <v>0</v>
      </c>
      <c r="L272" s="180">
        <v>0</v>
      </c>
      <c r="M272" s="180">
        <v>0</v>
      </c>
      <c r="N272" s="180">
        <v>0</v>
      </c>
      <c r="O272" s="180">
        <v>0</v>
      </c>
      <c r="P272" s="180">
        <v>0</v>
      </c>
      <c r="Q272" s="180">
        <v>1.5152000000000001</v>
      </c>
      <c r="R272" s="180">
        <v>0</v>
      </c>
      <c r="S272" s="180">
        <v>0</v>
      </c>
      <c r="T272" s="180">
        <v>0</v>
      </c>
      <c r="U272" s="180">
        <v>0</v>
      </c>
      <c r="V272" s="180">
        <v>0.71289999999999998</v>
      </c>
      <c r="W272" s="180">
        <v>0</v>
      </c>
      <c r="X272" s="180">
        <v>0</v>
      </c>
      <c r="Y272" s="180">
        <v>0</v>
      </c>
      <c r="Z272" s="180">
        <v>0</v>
      </c>
      <c r="AA272" s="180">
        <v>0</v>
      </c>
      <c r="AB272" s="180">
        <v>0</v>
      </c>
      <c r="AC272" s="180">
        <v>0</v>
      </c>
      <c r="AD272" s="180">
        <v>0</v>
      </c>
      <c r="AE272" s="180">
        <v>0</v>
      </c>
      <c r="AF272" s="180">
        <v>0</v>
      </c>
      <c r="AG272" s="180">
        <v>0</v>
      </c>
      <c r="AH272" s="180">
        <v>0</v>
      </c>
      <c r="AI272" s="180">
        <v>0.31990000000000002</v>
      </c>
      <c r="AJ272" s="180">
        <v>0</v>
      </c>
      <c r="AK272" s="180">
        <v>0</v>
      </c>
      <c r="AL272" s="180">
        <v>0</v>
      </c>
      <c r="AM272" s="180">
        <v>0.65639999999999998</v>
      </c>
      <c r="AN272" s="180">
        <v>0</v>
      </c>
      <c r="AO272" s="180">
        <v>0</v>
      </c>
      <c r="AP272" s="180">
        <v>0</v>
      </c>
      <c r="AQ272" s="180">
        <v>0</v>
      </c>
      <c r="AR272" s="180">
        <v>0</v>
      </c>
      <c r="AS272" s="180">
        <v>0</v>
      </c>
      <c r="AT272" s="180">
        <v>0</v>
      </c>
      <c r="AU272" s="180">
        <v>1.7685999999999999</v>
      </c>
      <c r="AV272" s="180">
        <v>0</v>
      </c>
      <c r="AW272" s="180">
        <v>0</v>
      </c>
      <c r="AX272" s="180">
        <v>0</v>
      </c>
      <c r="AY272" s="180">
        <v>0</v>
      </c>
      <c r="AZ272" s="180">
        <v>0</v>
      </c>
      <c r="BA272" s="180">
        <v>0</v>
      </c>
      <c r="BB272" s="180">
        <v>0</v>
      </c>
      <c r="BC272" s="180">
        <v>0</v>
      </c>
      <c r="BD272" s="180">
        <v>0</v>
      </c>
      <c r="BE272" s="180">
        <v>0</v>
      </c>
      <c r="BF272" s="180">
        <v>0</v>
      </c>
      <c r="BG272" s="180">
        <v>0</v>
      </c>
      <c r="BH272" s="180">
        <v>0</v>
      </c>
      <c r="BI272" s="180">
        <v>0</v>
      </c>
      <c r="BJ272" s="180">
        <v>0</v>
      </c>
      <c r="BK272" s="180">
        <v>0</v>
      </c>
      <c r="BL272" s="180">
        <v>0</v>
      </c>
      <c r="BM272" s="180">
        <v>0</v>
      </c>
      <c r="BN272" s="180">
        <v>0</v>
      </c>
      <c r="BO272" s="180">
        <v>0</v>
      </c>
      <c r="BP272" s="180">
        <v>0</v>
      </c>
      <c r="BQ272" s="180">
        <v>0</v>
      </c>
      <c r="BR272" s="180">
        <v>0.84589999999999999</v>
      </c>
      <c r="BS272" s="180">
        <v>0.38450000000000001</v>
      </c>
      <c r="BT272" s="180">
        <v>0</v>
      </c>
      <c r="BU272" s="180">
        <v>0</v>
      </c>
      <c r="BV272" s="180">
        <v>0</v>
      </c>
      <c r="BW272" s="180">
        <v>0</v>
      </c>
      <c r="BX272" s="180">
        <v>0</v>
      </c>
      <c r="BY272" s="180">
        <v>0</v>
      </c>
      <c r="BZ272" s="180">
        <v>0</v>
      </c>
      <c r="CA272" s="180">
        <v>0</v>
      </c>
      <c r="CB272" s="180">
        <v>0</v>
      </c>
      <c r="CC272" s="180">
        <v>0</v>
      </c>
      <c r="CD272" s="180">
        <v>0</v>
      </c>
    </row>
    <row r="273" spans="1:104" s="180" customFormat="1" x14ac:dyDescent="0.3">
      <c r="A273" s="155">
        <v>9017</v>
      </c>
      <c r="B273" s="557" t="s">
        <v>1053</v>
      </c>
      <c r="C273" s="557" t="s">
        <v>1054</v>
      </c>
      <c r="D273" s="180">
        <v>0</v>
      </c>
      <c r="E273" s="180">
        <v>0</v>
      </c>
      <c r="F273" s="180">
        <v>0</v>
      </c>
      <c r="G273" s="180">
        <v>0</v>
      </c>
      <c r="H273" s="180">
        <v>0</v>
      </c>
      <c r="I273" s="180">
        <v>0</v>
      </c>
      <c r="J273" s="180">
        <v>0</v>
      </c>
      <c r="K273" s="180">
        <v>0</v>
      </c>
      <c r="L273" s="180">
        <v>0</v>
      </c>
      <c r="M273" s="180">
        <v>0</v>
      </c>
      <c r="N273" s="180">
        <v>0</v>
      </c>
      <c r="O273" s="180">
        <v>0</v>
      </c>
      <c r="P273" s="180">
        <v>0</v>
      </c>
      <c r="Q273" s="180">
        <v>13.14</v>
      </c>
      <c r="R273" s="180">
        <v>0</v>
      </c>
      <c r="S273" s="180">
        <v>0</v>
      </c>
      <c r="T273" s="180">
        <v>0</v>
      </c>
      <c r="U273" s="180">
        <v>0</v>
      </c>
      <c r="V273" s="180">
        <v>8.36</v>
      </c>
      <c r="W273" s="180">
        <v>0</v>
      </c>
      <c r="X273" s="180">
        <v>0</v>
      </c>
      <c r="Y273" s="180">
        <v>0</v>
      </c>
      <c r="Z273" s="180">
        <v>0</v>
      </c>
      <c r="AA273" s="180">
        <v>0</v>
      </c>
      <c r="AB273" s="180">
        <v>0</v>
      </c>
      <c r="AC273" s="180">
        <v>0</v>
      </c>
      <c r="AD273" s="180">
        <v>0</v>
      </c>
      <c r="AE273" s="180">
        <v>0</v>
      </c>
      <c r="AF273" s="180">
        <v>0</v>
      </c>
      <c r="AG273" s="180">
        <v>0</v>
      </c>
      <c r="AH273" s="180">
        <v>0</v>
      </c>
      <c r="AI273" s="180">
        <v>2.9</v>
      </c>
      <c r="AJ273" s="180">
        <v>0</v>
      </c>
      <c r="AK273" s="180">
        <v>0</v>
      </c>
      <c r="AL273" s="180">
        <v>0</v>
      </c>
      <c r="AM273" s="180">
        <v>6.93</v>
      </c>
      <c r="AN273" s="180">
        <v>0</v>
      </c>
      <c r="AO273" s="180">
        <v>0</v>
      </c>
      <c r="AP273" s="180">
        <v>0</v>
      </c>
      <c r="AQ273" s="180">
        <v>0</v>
      </c>
      <c r="AR273" s="180">
        <v>0</v>
      </c>
      <c r="AS273" s="180">
        <v>0</v>
      </c>
      <c r="AT273" s="180">
        <v>0</v>
      </c>
      <c r="AU273" s="180">
        <v>11.98</v>
      </c>
      <c r="AV273" s="180">
        <v>0</v>
      </c>
      <c r="AW273" s="180">
        <v>0</v>
      </c>
      <c r="AX273" s="180">
        <v>0</v>
      </c>
      <c r="AY273" s="180">
        <v>0</v>
      </c>
      <c r="AZ273" s="180">
        <v>0</v>
      </c>
      <c r="BA273" s="180">
        <v>0</v>
      </c>
      <c r="BB273" s="180">
        <v>0</v>
      </c>
      <c r="BC273" s="180">
        <v>0</v>
      </c>
      <c r="BD273" s="180">
        <v>0</v>
      </c>
      <c r="BE273" s="180">
        <v>0</v>
      </c>
      <c r="BF273" s="180">
        <v>0</v>
      </c>
      <c r="BG273" s="180">
        <v>0</v>
      </c>
      <c r="BH273" s="180">
        <v>0</v>
      </c>
      <c r="BI273" s="180">
        <v>0</v>
      </c>
      <c r="BJ273" s="180">
        <v>0</v>
      </c>
      <c r="BK273" s="180">
        <v>0</v>
      </c>
      <c r="BL273" s="180">
        <v>0</v>
      </c>
      <c r="BM273" s="180">
        <v>0</v>
      </c>
      <c r="BN273" s="180">
        <v>0</v>
      </c>
      <c r="BO273" s="180">
        <v>0</v>
      </c>
      <c r="BP273" s="180">
        <v>0</v>
      </c>
      <c r="BQ273" s="180">
        <v>0</v>
      </c>
      <c r="BR273" s="180">
        <v>6.63</v>
      </c>
      <c r="BS273" s="180">
        <v>5.42</v>
      </c>
      <c r="BT273" s="180">
        <v>0</v>
      </c>
      <c r="BU273" s="180">
        <v>0</v>
      </c>
      <c r="BV273" s="180">
        <v>0</v>
      </c>
      <c r="BW273" s="180">
        <v>0</v>
      </c>
      <c r="BX273" s="180">
        <v>0</v>
      </c>
      <c r="BY273" s="180">
        <v>0</v>
      </c>
      <c r="BZ273" s="180">
        <v>0</v>
      </c>
      <c r="CA273" s="180">
        <v>0</v>
      </c>
      <c r="CB273" s="180">
        <v>0</v>
      </c>
      <c r="CC273" s="180">
        <v>0</v>
      </c>
      <c r="CD273" s="180">
        <v>0</v>
      </c>
    </row>
    <row r="274" spans="1:104" s="180" customFormat="1" ht="86.4" x14ac:dyDescent="0.3">
      <c r="A274" s="155">
        <v>9018</v>
      </c>
      <c r="B274" s="527" t="s">
        <v>1055</v>
      </c>
      <c r="C274" s="527" t="s">
        <v>1056</v>
      </c>
      <c r="D274" s="180">
        <v>0</v>
      </c>
      <c r="E274" s="180">
        <v>22201</v>
      </c>
      <c r="F274" s="180">
        <v>119273</v>
      </c>
      <c r="G274" s="180">
        <v>308210</v>
      </c>
      <c r="H274" s="180">
        <v>42059</v>
      </c>
      <c r="I274" s="180">
        <v>60898</v>
      </c>
      <c r="J274" s="180">
        <v>377</v>
      </c>
      <c r="K274" s="180">
        <v>146585</v>
      </c>
      <c r="L274" s="180">
        <v>38980</v>
      </c>
      <c r="M274" s="180">
        <v>5392249</v>
      </c>
      <c r="N274" s="180">
        <v>38031</v>
      </c>
      <c r="O274" s="180">
        <v>270026</v>
      </c>
      <c r="P274" s="180">
        <v>780</v>
      </c>
      <c r="Q274" s="180">
        <v>8691620</v>
      </c>
      <c r="R274" s="180">
        <v>102761</v>
      </c>
      <c r="S274" s="180">
        <v>2483</v>
      </c>
      <c r="T274" s="180">
        <v>15063266</v>
      </c>
      <c r="U274" s="180">
        <v>3401733</v>
      </c>
      <c r="V274" s="180">
        <v>5399143</v>
      </c>
      <c r="W274" s="180">
        <v>12597200</v>
      </c>
      <c r="X274" s="180">
        <v>0</v>
      </c>
      <c r="Y274" s="180">
        <v>3631884</v>
      </c>
      <c r="Z274" s="180">
        <v>79130</v>
      </c>
      <c r="AA274" s="180">
        <v>3994880</v>
      </c>
      <c r="AB274" s="180">
        <v>319527</v>
      </c>
      <c r="AC274" s="180">
        <v>135801</v>
      </c>
      <c r="AD274" s="180">
        <v>62904</v>
      </c>
      <c r="AE274" s="180">
        <v>250988</v>
      </c>
      <c r="AF274" s="180">
        <v>6172121</v>
      </c>
      <c r="AG274" s="180">
        <v>525008</v>
      </c>
      <c r="AH274" s="180">
        <v>32041</v>
      </c>
      <c r="AI274" s="180">
        <v>13393945</v>
      </c>
      <c r="AJ274" s="180">
        <v>10579</v>
      </c>
      <c r="AK274" s="180">
        <v>0</v>
      </c>
      <c r="AL274" s="180">
        <v>0</v>
      </c>
      <c r="AM274" s="180">
        <v>4395098</v>
      </c>
      <c r="AN274" s="180">
        <v>72456</v>
      </c>
      <c r="AO274" s="180">
        <v>30964</v>
      </c>
      <c r="AP274" s="180">
        <v>0</v>
      </c>
      <c r="AQ274" s="180">
        <v>2376576</v>
      </c>
      <c r="AR274" s="180">
        <v>160379</v>
      </c>
      <c r="AS274" s="180">
        <v>0</v>
      </c>
      <c r="AT274" s="180">
        <v>451223</v>
      </c>
      <c r="AU274" s="180">
        <v>7545</v>
      </c>
      <c r="AV274" s="180">
        <v>460713</v>
      </c>
      <c r="AW274" s="180">
        <v>1136880</v>
      </c>
      <c r="AX274" s="180">
        <v>34734</v>
      </c>
      <c r="AY274" s="180">
        <v>1520593</v>
      </c>
      <c r="AZ274" s="180">
        <v>25965</v>
      </c>
      <c r="BA274" s="180">
        <v>41656</v>
      </c>
      <c r="BB274" s="180">
        <v>0</v>
      </c>
      <c r="BC274" s="180">
        <v>10959</v>
      </c>
      <c r="BD274" s="180">
        <v>678173</v>
      </c>
      <c r="BE274" s="180">
        <v>30798</v>
      </c>
      <c r="BF274" s="180">
        <v>13125</v>
      </c>
      <c r="BG274" s="180">
        <v>13182</v>
      </c>
      <c r="BH274" s="180">
        <v>780</v>
      </c>
      <c r="BI274" s="180">
        <v>2698</v>
      </c>
      <c r="BJ274" s="180">
        <v>51967</v>
      </c>
      <c r="BK274" s="180">
        <v>1175221</v>
      </c>
      <c r="BL274" s="180">
        <v>0</v>
      </c>
      <c r="BM274" s="180">
        <v>123243</v>
      </c>
      <c r="BN274" s="180">
        <v>373206</v>
      </c>
      <c r="BO274" s="180">
        <v>70887</v>
      </c>
      <c r="BP274" s="180">
        <v>31187</v>
      </c>
      <c r="BQ274" s="180">
        <v>2034902</v>
      </c>
      <c r="BR274" s="180">
        <v>94181</v>
      </c>
      <c r="BS274" s="180">
        <v>4667328</v>
      </c>
      <c r="BT274" s="180">
        <v>96724</v>
      </c>
      <c r="BU274" s="180">
        <v>555102</v>
      </c>
      <c r="BV274" s="180">
        <v>42493</v>
      </c>
      <c r="BW274" s="180">
        <v>200662</v>
      </c>
      <c r="BX274" s="180">
        <v>45071</v>
      </c>
      <c r="BY274" s="180">
        <v>1783</v>
      </c>
      <c r="BZ274" s="180">
        <v>1250334</v>
      </c>
      <c r="CA274" s="180">
        <v>11009</v>
      </c>
      <c r="CB274" s="180">
        <v>486306</v>
      </c>
      <c r="CC274" s="180">
        <v>0</v>
      </c>
      <c r="CD274" s="180">
        <v>24574</v>
      </c>
    </row>
    <row r="275" spans="1:104" s="180" customFormat="1" ht="115.2" x14ac:dyDescent="0.3">
      <c r="A275" s="155">
        <v>9019</v>
      </c>
      <c r="B275" s="557" t="s">
        <v>1057</v>
      </c>
      <c r="C275" s="578" t="s">
        <v>1058</v>
      </c>
      <c r="D275" s="180">
        <v>0</v>
      </c>
      <c r="E275" s="180">
        <v>22201</v>
      </c>
      <c r="F275" s="180">
        <v>119273</v>
      </c>
      <c r="G275" s="180">
        <v>308210</v>
      </c>
      <c r="H275" s="180">
        <v>42059</v>
      </c>
      <c r="I275" s="180">
        <v>60898</v>
      </c>
      <c r="J275" s="180">
        <v>377</v>
      </c>
      <c r="K275" s="180">
        <v>146585</v>
      </c>
      <c r="L275" s="180">
        <v>38980</v>
      </c>
      <c r="M275" s="180">
        <v>5392249</v>
      </c>
      <c r="N275" s="180">
        <v>38031</v>
      </c>
      <c r="O275" s="180">
        <v>270026</v>
      </c>
      <c r="P275" s="180">
        <v>780</v>
      </c>
      <c r="Q275" s="180">
        <v>8691620</v>
      </c>
      <c r="R275" s="180">
        <v>102761</v>
      </c>
      <c r="S275" s="180">
        <v>2483</v>
      </c>
      <c r="T275" s="180">
        <v>15063266</v>
      </c>
      <c r="U275" s="180">
        <v>3401733</v>
      </c>
      <c r="V275" s="180">
        <v>5399143</v>
      </c>
      <c r="W275" s="180">
        <v>12597200</v>
      </c>
      <c r="X275" s="180">
        <v>0</v>
      </c>
      <c r="Y275" s="180">
        <v>3631884</v>
      </c>
      <c r="Z275" s="180">
        <v>79130</v>
      </c>
      <c r="AA275" s="180">
        <v>3994880</v>
      </c>
      <c r="AB275" s="180">
        <v>319527</v>
      </c>
      <c r="AC275" s="180">
        <v>135801</v>
      </c>
      <c r="AD275" s="180">
        <v>62904</v>
      </c>
      <c r="AE275" s="180">
        <v>250988</v>
      </c>
      <c r="AF275" s="180">
        <v>6172121</v>
      </c>
      <c r="AG275" s="180">
        <v>525008</v>
      </c>
      <c r="AH275" s="180">
        <v>32041</v>
      </c>
      <c r="AI275" s="180">
        <v>13393945</v>
      </c>
      <c r="AJ275" s="180">
        <v>10579</v>
      </c>
      <c r="AK275" s="180">
        <v>0</v>
      </c>
      <c r="AL275" s="180">
        <v>0</v>
      </c>
      <c r="AM275" s="180">
        <v>4395098</v>
      </c>
      <c r="AN275" s="180">
        <v>72456</v>
      </c>
      <c r="AO275" s="180">
        <v>30964</v>
      </c>
      <c r="AP275" s="180">
        <v>0</v>
      </c>
      <c r="AQ275" s="180">
        <v>2376576</v>
      </c>
      <c r="AR275" s="180">
        <v>160379</v>
      </c>
      <c r="AS275" s="180">
        <v>0</v>
      </c>
      <c r="AT275" s="180">
        <v>451223</v>
      </c>
      <c r="AU275" s="180">
        <v>7545</v>
      </c>
      <c r="AV275" s="180">
        <v>460713</v>
      </c>
      <c r="AW275" s="180">
        <v>1136880</v>
      </c>
      <c r="AX275" s="180">
        <v>34734</v>
      </c>
      <c r="AY275" s="180">
        <v>1520593</v>
      </c>
      <c r="AZ275" s="180">
        <v>25965</v>
      </c>
      <c r="BA275" s="180">
        <v>41656</v>
      </c>
      <c r="BB275" s="180">
        <v>0</v>
      </c>
      <c r="BC275" s="180">
        <v>10959</v>
      </c>
      <c r="BD275" s="180">
        <v>678173</v>
      </c>
      <c r="BE275" s="180">
        <v>30798</v>
      </c>
      <c r="BF275" s="180">
        <v>13125</v>
      </c>
      <c r="BG275" s="180">
        <v>13182</v>
      </c>
      <c r="BH275" s="180">
        <v>780</v>
      </c>
      <c r="BI275" s="180">
        <v>2698</v>
      </c>
      <c r="BJ275" s="180">
        <v>51967</v>
      </c>
      <c r="BK275" s="180">
        <v>1175221</v>
      </c>
      <c r="BL275" s="180">
        <v>0</v>
      </c>
      <c r="BM275" s="180">
        <v>123243</v>
      </c>
      <c r="BN275" s="180">
        <v>373206</v>
      </c>
      <c r="BO275" s="180">
        <v>70887</v>
      </c>
      <c r="BP275" s="180">
        <v>31187</v>
      </c>
      <c r="BQ275" s="180">
        <v>2034902</v>
      </c>
      <c r="BR275" s="180">
        <v>94181</v>
      </c>
      <c r="BS275" s="180">
        <v>4667328</v>
      </c>
      <c r="BT275" s="180">
        <v>96724</v>
      </c>
      <c r="BU275" s="180">
        <v>555102</v>
      </c>
      <c r="BV275" s="180">
        <v>42493</v>
      </c>
      <c r="BW275" s="180">
        <v>200662</v>
      </c>
      <c r="BX275" s="180">
        <v>45071</v>
      </c>
      <c r="BY275" s="180">
        <v>1783</v>
      </c>
      <c r="BZ275" s="180">
        <v>1250334</v>
      </c>
      <c r="CA275" s="180">
        <v>11009</v>
      </c>
      <c r="CB275" s="180">
        <v>486306</v>
      </c>
      <c r="CC275" s="180">
        <v>0</v>
      </c>
      <c r="CD275" s="180">
        <v>24574</v>
      </c>
    </row>
    <row r="276" spans="1:104" s="807" customFormat="1" ht="28.8" x14ac:dyDescent="0.3">
      <c r="A276" s="808"/>
      <c r="B276" s="807" t="s">
        <v>1939</v>
      </c>
      <c r="C276" s="949" t="s">
        <v>1731</v>
      </c>
      <c r="D276" s="807" t="e">
        <f t="shared" ref="D276:J276" si="0">(D106+D135-D3-D4-D5-D8+D191)/(D132+D109+D11-D133-D108-D240)</f>
        <v>#DIV/0!</v>
      </c>
      <c r="E276" s="807">
        <f t="shared" si="0"/>
        <v>2.6770345712403341</v>
      </c>
      <c r="F276" s="807">
        <f t="shared" si="0"/>
        <v>0.96612789550870148</v>
      </c>
      <c r="G276" s="807">
        <f t="shared" si="0"/>
        <v>2.4502634282977369</v>
      </c>
      <c r="H276" s="807">
        <f t="shared" si="0"/>
        <v>3.7885133942324667</v>
      </c>
      <c r="I276" s="807">
        <f t="shared" si="0"/>
        <v>1.2135246796871653</v>
      </c>
      <c r="J276" s="807">
        <f t="shared" si="0"/>
        <v>1.3357027024402559</v>
      </c>
      <c r="K276" s="807">
        <f>(L106+L135-L3-L4-L5-L8+L191)/(L132+L109+L11-L133-L108-L240)</f>
        <v>2.6308153939327203</v>
      </c>
      <c r="L276" s="807">
        <f t="shared" ref="L276:T276" si="1">(L106+L135-L3-L4-L5-L8+L191)/(L132+L109+L11-L133-L108-L240)</f>
        <v>2.6308153939327203</v>
      </c>
      <c r="M276" s="807">
        <f t="shared" si="1"/>
        <v>0.56878701601636961</v>
      </c>
      <c r="N276" s="807">
        <f t="shared" si="1"/>
        <v>1.3118246924690842</v>
      </c>
      <c r="O276" s="807">
        <f t="shared" si="1"/>
        <v>1.145229899018698</v>
      </c>
      <c r="P276" s="807">
        <f t="shared" si="1"/>
        <v>3.8336088600131792</v>
      </c>
      <c r="Q276" s="807">
        <f t="shared" si="1"/>
        <v>0.44739934625369293</v>
      </c>
      <c r="R276" s="807">
        <f t="shared" si="1"/>
        <v>0.57360746310330091</v>
      </c>
      <c r="S276" s="807">
        <f t="shared" si="1"/>
        <v>3.8079416531604537</v>
      </c>
      <c r="T276" s="807">
        <f t="shared" si="1"/>
        <v>0.80280870336671151</v>
      </c>
      <c r="V276" s="807">
        <f t="shared" ref="V276:AU276" si="2">(V106+V135-V3-V4-V5-V8+V191)/(V132+V109+V11-V133-V108-V240)</f>
        <v>1.2525458153957796</v>
      </c>
      <c r="W276" s="807">
        <f t="shared" si="2"/>
        <v>0.59161561271762586</v>
      </c>
      <c r="X276" s="807" t="e">
        <f t="shared" si="2"/>
        <v>#DIV/0!</v>
      </c>
      <c r="Y276" s="807">
        <f t="shared" si="2"/>
        <v>0.91622704267313992</v>
      </c>
      <c r="Z276" s="807">
        <f t="shared" si="2"/>
        <v>0.622715550477695</v>
      </c>
      <c r="AA276" s="807">
        <f t="shared" si="2"/>
        <v>1.0527765431449261</v>
      </c>
      <c r="AB276" s="807">
        <f t="shared" si="2"/>
        <v>0.17880929652306382</v>
      </c>
      <c r="AC276" s="807">
        <f t="shared" si="2"/>
        <v>0.74358538320888468</v>
      </c>
      <c r="AD276" s="807">
        <f t="shared" si="2"/>
        <v>0.83575548928502996</v>
      </c>
      <c r="AE276" s="807">
        <f t="shared" si="2"/>
        <v>1.3162609698939185</v>
      </c>
      <c r="AF276" s="807">
        <f t="shared" si="2"/>
        <v>0.64049296327752714</v>
      </c>
      <c r="AG276" s="807">
        <f t="shared" si="2"/>
        <v>0.65733445566468851</v>
      </c>
      <c r="AH276" s="807">
        <f t="shared" si="2"/>
        <v>2.012667011603904</v>
      </c>
      <c r="AI276" s="807">
        <f t="shared" si="2"/>
        <v>0.40393289008070887</v>
      </c>
      <c r="AJ276" s="807">
        <f t="shared" si="2"/>
        <v>6.1151600276150084</v>
      </c>
      <c r="AK276" s="807" t="e">
        <f t="shared" si="2"/>
        <v>#DIV/0!</v>
      </c>
      <c r="AL276" s="807" t="e">
        <f t="shared" si="2"/>
        <v>#DIV/0!</v>
      </c>
      <c r="AM276" s="807">
        <f t="shared" si="2"/>
        <v>0.71560283517930023</v>
      </c>
      <c r="AN276" s="807">
        <f t="shared" si="2"/>
        <v>1.056932479994239</v>
      </c>
      <c r="AO276" s="807">
        <f t="shared" si="2"/>
        <v>1.0600875447672105</v>
      </c>
      <c r="AP276" s="807">
        <f t="shared" si="2"/>
        <v>1.9807790258156182</v>
      </c>
      <c r="AQ276" s="807">
        <f t="shared" si="2"/>
        <v>0.77140121128925387</v>
      </c>
      <c r="AR276" s="807">
        <f t="shared" si="2"/>
        <v>0.71812997742215012</v>
      </c>
      <c r="AS276" s="807" t="e">
        <f t="shared" si="2"/>
        <v>#DIV/0!</v>
      </c>
      <c r="AT276" s="807">
        <f t="shared" si="2"/>
        <v>0.50578548232619247</v>
      </c>
      <c r="AU276" s="807">
        <f t="shared" si="2"/>
        <v>1.1717318679596873</v>
      </c>
      <c r="AV276" s="807">
        <f>(AW106+AW135-AW3-AW4-AW5-AW8+AW191)/(AW132+AW109+AW11-AW133-AW108-AW240)</f>
        <v>1.6759391903803154</v>
      </c>
      <c r="AW276" s="807">
        <f t="shared" ref="AW276:BR276" si="3">(AW106+AW135-AW3-AW4-AW5-AW8+AW191)/(AW132+AW109+AW11-AW133-AW108-AW240)</f>
        <v>1.6759391903803154</v>
      </c>
      <c r="AX276" s="807">
        <f t="shared" si="3"/>
        <v>0.46731302933768348</v>
      </c>
      <c r="AY276" s="807">
        <f t="shared" si="3"/>
        <v>0.39853156639086634</v>
      </c>
      <c r="AZ276" s="807">
        <f t="shared" si="3"/>
        <v>2.3926818513374846</v>
      </c>
      <c r="BA276" s="807">
        <f t="shared" si="3"/>
        <v>0.8647305405342034</v>
      </c>
      <c r="BB276" s="807">
        <f t="shared" si="3"/>
        <v>4.1191778604952258</v>
      </c>
      <c r="BC276" s="807">
        <f t="shared" si="3"/>
        <v>2.0092742442664879</v>
      </c>
      <c r="BD276" s="807">
        <f t="shared" si="3"/>
        <v>0.89195955386304537</v>
      </c>
      <c r="BE276" s="807">
        <f t="shared" si="3"/>
        <v>6.6292877584747467</v>
      </c>
      <c r="BF276" s="807">
        <f t="shared" si="3"/>
        <v>1.9848505900333697</v>
      </c>
      <c r="BG276" s="807">
        <f t="shared" si="3"/>
        <v>1.5922571320417083</v>
      </c>
      <c r="BH276" s="807">
        <f t="shared" si="3"/>
        <v>2.4687453403800594</v>
      </c>
      <c r="BI276" s="807">
        <f t="shared" si="3"/>
        <v>1.703962035433086</v>
      </c>
      <c r="BJ276" s="807">
        <f t="shared" si="3"/>
        <v>2.2568436086646035</v>
      </c>
      <c r="BK276" s="807">
        <f t="shared" si="3"/>
        <v>0.55419192497165537</v>
      </c>
      <c r="BL276" s="807" t="e">
        <f t="shared" si="3"/>
        <v>#DIV/0!</v>
      </c>
      <c r="BM276" s="807">
        <f t="shared" si="3"/>
        <v>0.12103344271445102</v>
      </c>
      <c r="BN276" s="807">
        <f t="shared" si="3"/>
        <v>0.58167226778806391</v>
      </c>
      <c r="BO276" s="807">
        <f t="shared" si="3"/>
        <v>1.1384120579748489</v>
      </c>
      <c r="BP276" s="807">
        <f t="shared" si="3"/>
        <v>1.0795564610923909</v>
      </c>
      <c r="BQ276" s="807">
        <f t="shared" si="3"/>
        <v>0.60781009796925145</v>
      </c>
      <c r="BR276" s="807">
        <f t="shared" si="3"/>
        <v>0.33552402528107628</v>
      </c>
      <c r="BS276" s="807">
        <f t="shared" ref="BS276:CA276" si="4">(BS106+BS135-BS3-BS4-BS5-BS8+BS191)/(BS132+BS109+BS11-BS133-BS108-BS240)</f>
        <v>1.5477723361174671</v>
      </c>
      <c r="BT276" s="807">
        <f t="shared" si="4"/>
        <v>0.70946921013539221</v>
      </c>
      <c r="BU276" s="807">
        <f t="shared" si="4"/>
        <v>1.0316537530601377</v>
      </c>
      <c r="BV276" s="807">
        <f t="shared" si="4"/>
        <v>3.8988226194430671</v>
      </c>
      <c r="BW276" s="807">
        <f t="shared" si="4"/>
        <v>0.62576326728582277</v>
      </c>
      <c r="BX276" s="807">
        <f t="shared" si="4"/>
        <v>2.7033481500343202</v>
      </c>
      <c r="BY276" s="807">
        <f t="shared" si="4"/>
        <v>3.4778205128205126</v>
      </c>
      <c r="BZ276" s="807">
        <f t="shared" si="4"/>
        <v>1.4711212860471889</v>
      </c>
      <c r="CA276" s="807">
        <f t="shared" si="4"/>
        <v>1.238437038053003</v>
      </c>
      <c r="CB276" s="807">
        <f t="shared" ref="CB276:CD276" si="5">(CB106+CB135-CB3-CB4-CB5-CB8+CB191)/(CB132+CB109+CB11-CB133-CB108-CB240)</f>
        <v>0.10349957838351269</v>
      </c>
      <c r="CC276" s="807" t="e">
        <f t="shared" si="5"/>
        <v>#DIV/0!</v>
      </c>
      <c r="CD276" s="807">
        <f t="shared" si="5"/>
        <v>5.8726689452539427</v>
      </c>
    </row>
    <row r="277" spans="1:104" s="571" customFormat="1" ht="25.2" customHeight="1" x14ac:dyDescent="0.3">
      <c r="A277" s="570" t="s">
        <v>1948</v>
      </c>
      <c r="B277" s="571" t="s">
        <v>1949</v>
      </c>
      <c r="D277" s="995" t="e">
        <f t="shared" ref="D277:AI277" si="6">1-((D123+D124+D125+D126)/(D115+D116+D117+D118))</f>
        <v>#DIV/0!</v>
      </c>
      <c r="E277" s="995" t="e">
        <f t="shared" si="6"/>
        <v>#DIV/0!</v>
      </c>
      <c r="F277" s="995">
        <f t="shared" si="6"/>
        <v>0.55382575522145161</v>
      </c>
      <c r="G277" s="995" t="e">
        <f t="shared" si="6"/>
        <v>#DIV/0!</v>
      </c>
      <c r="H277" s="995" t="e">
        <f t="shared" si="6"/>
        <v>#DIV/0!</v>
      </c>
      <c r="I277" s="995" t="e">
        <f t="shared" si="6"/>
        <v>#DIV/0!</v>
      </c>
      <c r="J277" s="995">
        <f t="shared" si="6"/>
        <v>0.67538412628533884</v>
      </c>
      <c r="K277" s="995" t="e">
        <f t="shared" si="6"/>
        <v>#DIV/0!</v>
      </c>
      <c r="L277" s="995" t="e">
        <f t="shared" si="6"/>
        <v>#DIV/0!</v>
      </c>
      <c r="M277" s="995" t="e">
        <f t="shared" si="6"/>
        <v>#DIV/0!</v>
      </c>
      <c r="N277" s="995" t="e">
        <f t="shared" si="6"/>
        <v>#DIV/0!</v>
      </c>
      <c r="O277" s="995">
        <f t="shared" si="6"/>
        <v>0.43876745442268283</v>
      </c>
      <c r="P277" s="995" t="e">
        <f t="shared" si="6"/>
        <v>#DIV/0!</v>
      </c>
      <c r="Q277" s="995">
        <f t="shared" si="6"/>
        <v>0.64553247607523856</v>
      </c>
      <c r="R277" s="995">
        <f t="shared" si="6"/>
        <v>0.33292109520687618</v>
      </c>
      <c r="S277" s="995" t="e">
        <f t="shared" si="6"/>
        <v>#DIV/0!</v>
      </c>
      <c r="T277" s="995">
        <f t="shared" si="6"/>
        <v>0.54390341707971457</v>
      </c>
      <c r="U277" s="995">
        <f t="shared" si="6"/>
        <v>0.61693104266137566</v>
      </c>
      <c r="V277" s="995">
        <f t="shared" si="6"/>
        <v>0.45819371841765788</v>
      </c>
      <c r="W277" s="995" t="e">
        <f t="shared" si="6"/>
        <v>#DIV/0!</v>
      </c>
      <c r="X277" s="995" t="e">
        <f t="shared" si="6"/>
        <v>#DIV/0!</v>
      </c>
      <c r="Y277" s="995">
        <f t="shared" si="6"/>
        <v>0.45022668378945752</v>
      </c>
      <c r="Z277" s="995">
        <f t="shared" si="6"/>
        <v>0.42020178836940048</v>
      </c>
      <c r="AA277" s="995">
        <f t="shared" si="6"/>
        <v>0.43461250553484265</v>
      </c>
      <c r="AB277" s="995">
        <f t="shared" si="6"/>
        <v>0.65622497357389831</v>
      </c>
      <c r="AC277" s="995">
        <f t="shared" si="6"/>
        <v>0.56438668788429747</v>
      </c>
      <c r="AD277" s="995">
        <f t="shared" si="6"/>
        <v>0.52117482737709353</v>
      </c>
      <c r="AE277" s="995">
        <f t="shared" si="6"/>
        <v>0.49417574832503741</v>
      </c>
      <c r="AF277" s="995">
        <f t="shared" si="6"/>
        <v>0.34447645192241338</v>
      </c>
      <c r="AG277" s="995">
        <f t="shared" si="6"/>
        <v>0.52810443895740677</v>
      </c>
      <c r="AH277" s="995" t="e">
        <f t="shared" si="6"/>
        <v>#DIV/0!</v>
      </c>
      <c r="AI277" s="995">
        <f t="shared" si="6"/>
        <v>0.58404590393693268</v>
      </c>
      <c r="AJ277" s="995">
        <f t="shared" ref="AJ277:BR277" si="7">1-((AJ123+AJ124+AJ125+AJ126)/(AJ115+AJ116+AJ117+AJ118))</f>
        <v>0.52480795320531204</v>
      </c>
      <c r="AK277" s="995" t="e">
        <f t="shared" si="7"/>
        <v>#DIV/0!</v>
      </c>
      <c r="AL277" s="995" t="e">
        <f t="shared" si="7"/>
        <v>#DIV/0!</v>
      </c>
      <c r="AM277" s="995">
        <f t="shared" si="7"/>
        <v>0.35809167202269188</v>
      </c>
      <c r="AN277" s="995">
        <f t="shared" si="7"/>
        <v>0.24575005573212283</v>
      </c>
      <c r="AO277" s="995">
        <f t="shared" si="7"/>
        <v>0.5727140191640836</v>
      </c>
      <c r="AP277" s="995" t="e">
        <f t="shared" si="7"/>
        <v>#DIV/0!</v>
      </c>
      <c r="AQ277" s="995" t="e">
        <f t="shared" si="7"/>
        <v>#DIV/0!</v>
      </c>
      <c r="AR277" s="995">
        <f t="shared" si="7"/>
        <v>0.42336825847635351</v>
      </c>
      <c r="AS277" s="995" t="e">
        <f t="shared" si="7"/>
        <v>#DIV/0!</v>
      </c>
      <c r="AT277" s="995">
        <f t="shared" si="7"/>
        <v>0.53611859324821243</v>
      </c>
      <c r="AU277" s="995" t="e">
        <f t="shared" si="7"/>
        <v>#DIV/0!</v>
      </c>
      <c r="AV277" s="995">
        <f t="shared" si="7"/>
        <v>0.64141049200946909</v>
      </c>
      <c r="AW277" s="995" t="e">
        <f t="shared" si="7"/>
        <v>#DIV/0!</v>
      </c>
      <c r="AX277" s="995">
        <f t="shared" si="7"/>
        <v>0.11562225017863148</v>
      </c>
      <c r="AY277" s="995">
        <f t="shared" si="7"/>
        <v>0.57109088273300035</v>
      </c>
      <c r="AZ277" s="995">
        <f t="shared" si="7"/>
        <v>0.50648508442545381</v>
      </c>
      <c r="BA277" s="995">
        <f t="shared" si="7"/>
        <v>0.39898139488202311</v>
      </c>
      <c r="BB277" s="995" t="e">
        <f t="shared" si="7"/>
        <v>#DIV/0!</v>
      </c>
      <c r="BC277" s="995">
        <f t="shared" si="7"/>
        <v>0.51246742343413842</v>
      </c>
      <c r="BD277" s="995">
        <f t="shared" si="7"/>
        <v>0.51668095335459441</v>
      </c>
      <c r="BE277" s="995" t="e">
        <f t="shared" si="7"/>
        <v>#DIV/0!</v>
      </c>
      <c r="BF277" s="995">
        <f t="shared" si="7"/>
        <v>0.6125596812764984</v>
      </c>
      <c r="BG277" s="995">
        <f t="shared" si="7"/>
        <v>0.58613427540659369</v>
      </c>
      <c r="BH277" s="995" t="e">
        <f t="shared" si="7"/>
        <v>#DIV/0!</v>
      </c>
      <c r="BI277" s="995">
        <f t="shared" si="7"/>
        <v>0.59729474500991531</v>
      </c>
      <c r="BJ277" s="995" t="e">
        <f t="shared" si="7"/>
        <v>#DIV/0!</v>
      </c>
      <c r="BK277" s="995">
        <f t="shared" si="7"/>
        <v>0.61412599755697928</v>
      </c>
      <c r="BL277" s="995" t="e">
        <f t="shared" si="7"/>
        <v>#DIV/0!</v>
      </c>
      <c r="BM277" s="995">
        <f t="shared" si="7"/>
        <v>0.33729948550225708</v>
      </c>
      <c r="BN277" s="995">
        <f t="shared" si="7"/>
        <v>0.59210065681514101</v>
      </c>
      <c r="BO277" s="995">
        <f t="shared" si="7"/>
        <v>0.38380101332190464</v>
      </c>
      <c r="BP277" s="995">
        <f t="shared" si="7"/>
        <v>0.28205646748895774</v>
      </c>
      <c r="BQ277" s="995" t="e">
        <f t="shared" si="7"/>
        <v>#DIV/0!</v>
      </c>
      <c r="BR277" s="995">
        <f t="shared" si="7"/>
        <v>0.40055397862355946</v>
      </c>
      <c r="BS277" s="995" t="e">
        <f t="shared" ref="BS277:CA277" si="8">1-((BS123+BS124+BS125+BS126)/(BS115+BS116+BS117+BS118))</f>
        <v>#DIV/0!</v>
      </c>
      <c r="BT277" s="995">
        <f t="shared" si="8"/>
        <v>0.5265564999863388</v>
      </c>
      <c r="BU277" s="995">
        <f t="shared" si="8"/>
        <v>0.44903036975291988</v>
      </c>
      <c r="BV277" s="995" t="e">
        <f t="shared" si="8"/>
        <v>#DIV/0!</v>
      </c>
      <c r="BW277" s="995">
        <f t="shared" si="8"/>
        <v>0.59406165800473887</v>
      </c>
      <c r="BX277" s="995">
        <f t="shared" si="8"/>
        <v>0.56428586656481561</v>
      </c>
      <c r="BY277" s="995">
        <f t="shared" si="8"/>
        <v>0.71413325330132049</v>
      </c>
      <c r="BZ277" s="995">
        <f t="shared" si="8"/>
        <v>0.58520996594665897</v>
      </c>
      <c r="CA277" s="995">
        <f t="shared" si="8"/>
        <v>0.6878807979969801</v>
      </c>
      <c r="CB277" s="995">
        <f t="shared" ref="CB277:CD277" si="9">1-((CB123+CB124+CB125+CB126)/(CB115+CB116+CB117+CB118))</f>
        <v>0.45604514428411325</v>
      </c>
      <c r="CC277" s="995" t="e">
        <f t="shared" si="9"/>
        <v>#DIV/0!</v>
      </c>
      <c r="CD277" s="995">
        <f t="shared" si="9"/>
        <v>0.60984404654536495</v>
      </c>
      <c r="CE277" s="995"/>
      <c r="CF277" s="995"/>
      <c r="CG277" s="995"/>
      <c r="CH277" s="995"/>
      <c r="CI277" s="995"/>
      <c r="CJ277" s="995"/>
      <c r="CK277" s="995"/>
    </row>
    <row r="278" spans="1:104" s="562" customFormat="1" x14ac:dyDescent="0.3">
      <c r="A278" s="561"/>
      <c r="D278" s="965"/>
      <c r="E278" s="965"/>
      <c r="F278" s="965"/>
      <c r="G278" s="965"/>
      <c r="H278" s="965"/>
      <c r="I278" s="965"/>
      <c r="J278" s="965"/>
      <c r="K278" s="965"/>
      <c r="L278"/>
      <c r="M278" s="965"/>
      <c r="N278" s="965"/>
      <c r="O278" s="965"/>
      <c r="P278" s="965"/>
      <c r="Q278" s="965"/>
      <c r="R278" s="965"/>
      <c r="S278" s="965"/>
      <c r="T278" s="965"/>
      <c r="U278" s="965"/>
      <c r="V278" s="965"/>
      <c r="W278" s="965"/>
      <c r="X278" s="965"/>
      <c r="Y278" s="965"/>
      <c r="Z278" s="965"/>
      <c r="AA278" s="965"/>
      <c r="AB278" s="965"/>
      <c r="AC278" s="965"/>
      <c r="AD278" s="965"/>
      <c r="AE278" s="965"/>
      <c r="AF278" s="965"/>
      <c r="AG278" s="965"/>
      <c r="AH278" s="965"/>
      <c r="AI278" s="965"/>
      <c r="AJ278" s="965"/>
      <c r="AK278" s="965"/>
      <c r="AL278" s="965"/>
      <c r="AM278" s="965"/>
      <c r="AN278" s="965"/>
      <c r="AO278" s="965"/>
      <c r="AP278" s="965"/>
      <c r="AQ278" s="965"/>
      <c r="AR278" s="965"/>
      <c r="AS278" s="965"/>
      <c r="AT278" s="965"/>
      <c r="AU278" s="965"/>
      <c r="AV278" s="965"/>
      <c r="AW278" s="965"/>
      <c r="AX278" s="965"/>
      <c r="AY278" s="965"/>
      <c r="AZ278" s="965"/>
      <c r="BA278" s="965"/>
      <c r="BB278" s="965"/>
      <c r="BC278" s="965"/>
      <c r="BD278" s="965"/>
      <c r="BE278" s="965"/>
      <c r="BF278" s="965"/>
      <c r="BG278" s="965"/>
      <c r="BH278" s="965"/>
      <c r="BI278" s="965"/>
      <c r="BJ278" s="965"/>
      <c r="BK278" s="965"/>
      <c r="BL278" s="965"/>
      <c r="BM278" s="965"/>
      <c r="BN278" s="965"/>
      <c r="BO278" s="965"/>
      <c r="BP278" s="965"/>
      <c r="BQ278" s="965"/>
      <c r="BR278" s="965"/>
    </row>
    <row r="279" spans="1:104" s="562" customFormat="1" x14ac:dyDescent="0.3">
      <c r="A279" s="561"/>
      <c r="D279" s="965"/>
      <c r="E279" s="965"/>
      <c r="F279" s="965"/>
      <c r="G279" s="965"/>
      <c r="H279" s="965"/>
      <c r="I279" s="965"/>
      <c r="J279" s="965"/>
      <c r="K279" s="965"/>
      <c r="L279"/>
      <c r="M279" s="965"/>
      <c r="N279" s="965"/>
      <c r="O279" s="965"/>
      <c r="P279" s="965"/>
      <c r="Q279" s="965"/>
      <c r="R279" s="965"/>
      <c r="S279" s="965"/>
      <c r="T279" s="965"/>
      <c r="U279" s="965"/>
      <c r="V279" s="965"/>
      <c r="W279" s="965"/>
      <c r="X279" s="965"/>
      <c r="Y279" s="965"/>
      <c r="Z279" s="965"/>
      <c r="AA279" s="965"/>
      <c r="AB279" s="965"/>
      <c r="AC279" s="965"/>
      <c r="AD279" s="965"/>
      <c r="AE279" s="965"/>
      <c r="AF279" s="965"/>
      <c r="AG279" s="965"/>
      <c r="AH279" s="965"/>
      <c r="AI279" s="965"/>
      <c r="AJ279" s="965"/>
      <c r="AK279" s="965"/>
      <c r="AL279" s="965"/>
      <c r="AM279" s="965"/>
      <c r="AN279" s="965"/>
      <c r="AO279" s="965"/>
      <c r="AP279" s="965"/>
      <c r="AQ279" s="965"/>
      <c r="AR279" s="965"/>
      <c r="AS279" s="965"/>
      <c r="AT279" s="965"/>
      <c r="AU279" s="965"/>
      <c r="AV279" s="965"/>
      <c r="AW279" s="965"/>
      <c r="AX279" s="965"/>
      <c r="AY279" s="965"/>
      <c r="AZ279" s="965"/>
      <c r="BA279" s="965"/>
      <c r="BB279" s="965"/>
      <c r="BC279" s="965"/>
      <c r="BD279" s="965"/>
      <c r="BE279" s="965"/>
      <c r="BF279" s="965"/>
      <c r="BG279" s="965"/>
      <c r="BH279" s="965"/>
      <c r="BI279" s="965"/>
      <c r="BJ279" s="965"/>
      <c r="BK279" s="965"/>
      <c r="BL279" s="965"/>
      <c r="BM279" s="965"/>
      <c r="BN279" s="965"/>
      <c r="BO279" s="965"/>
      <c r="BP279" s="965"/>
      <c r="BQ279" s="965"/>
      <c r="BR279" s="965"/>
    </row>
    <row r="280" spans="1:104" x14ac:dyDescent="0.3">
      <c r="B280" s="180"/>
      <c r="C280" s="180" t="s">
        <v>1730</v>
      </c>
      <c r="D280" s="574">
        <f t="shared" ref="D280:AI280" si="10">D257</f>
        <v>50304.01</v>
      </c>
      <c r="E280" s="574">
        <f t="shared" si="10"/>
        <v>2809002.62</v>
      </c>
      <c r="F280" s="574">
        <f t="shared" si="10"/>
        <v>55853251.7557</v>
      </c>
      <c r="G280" s="574">
        <f t="shared" si="10"/>
        <v>85504431.549999997</v>
      </c>
      <c r="H280" s="574">
        <f t="shared" si="10"/>
        <v>74864723.090000004</v>
      </c>
      <c r="I280" s="574">
        <f t="shared" si="10"/>
        <v>103912442.63</v>
      </c>
      <c r="J280" s="574">
        <f t="shared" si="10"/>
        <v>12455811.58</v>
      </c>
      <c r="K280" s="574">
        <f t="shared" si="10"/>
        <v>15380188.540999999</v>
      </c>
      <c r="L280" s="574">
        <f t="shared" si="10"/>
        <v>11153484.26</v>
      </c>
      <c r="M280" s="574">
        <f t="shared" si="10"/>
        <v>529955771.005</v>
      </c>
      <c r="N280" s="574">
        <f t="shared" si="10"/>
        <v>12250883.73</v>
      </c>
      <c r="O280" s="574">
        <f t="shared" si="10"/>
        <v>274275045.80000001</v>
      </c>
      <c r="P280" s="574">
        <f t="shared" si="10"/>
        <v>3451141.58</v>
      </c>
      <c r="Q280" s="574">
        <f t="shared" si="10"/>
        <v>3734039608.3125</v>
      </c>
      <c r="R280" s="574">
        <f t="shared" si="10"/>
        <v>60679020.689999998</v>
      </c>
      <c r="S280" s="574">
        <f t="shared" si="10"/>
        <v>2218109</v>
      </c>
      <c r="T280" s="574">
        <f t="shared" si="10"/>
        <v>3456109189.2399998</v>
      </c>
      <c r="U280" s="574">
        <f t="shared" si="10"/>
        <v>831618471.94000006</v>
      </c>
      <c r="V280" s="574">
        <f t="shared" si="10"/>
        <v>1611313981.03</v>
      </c>
      <c r="W280" s="574">
        <f t="shared" si="10"/>
        <v>1324607048.8399999</v>
      </c>
      <c r="X280" s="574">
        <f t="shared" si="10"/>
        <v>50315.01</v>
      </c>
      <c r="Y280" s="574">
        <f t="shared" si="10"/>
        <v>709686610.63</v>
      </c>
      <c r="Z280" s="574">
        <f t="shared" si="10"/>
        <v>108316635.27</v>
      </c>
      <c r="AA280" s="574">
        <f t="shared" si="10"/>
        <v>774068974.54499996</v>
      </c>
      <c r="AB280" s="574">
        <f t="shared" si="10"/>
        <v>262644304.75999999</v>
      </c>
      <c r="AC280" s="574">
        <f t="shared" si="10"/>
        <v>89463860.234999999</v>
      </c>
      <c r="AD280" s="574">
        <f t="shared" si="10"/>
        <v>90777756.579999998</v>
      </c>
      <c r="AE280" s="574">
        <f t="shared" si="10"/>
        <v>159722361.63999999</v>
      </c>
      <c r="AF280" s="574">
        <f t="shared" si="10"/>
        <v>716188094.29999995</v>
      </c>
      <c r="AG280" s="574">
        <f t="shared" si="10"/>
        <v>196148988.84</v>
      </c>
      <c r="AH280" s="574">
        <f t="shared" si="10"/>
        <v>30503553.690000001</v>
      </c>
      <c r="AI280" s="574">
        <f t="shared" si="10"/>
        <v>2342784005.7821999</v>
      </c>
      <c r="AJ280" s="574">
        <f t="shared" ref="AJ280:CD280" si="11">AJ257</f>
        <v>59859580.509999998</v>
      </c>
      <c r="AK280" s="574">
        <f t="shared" si="11"/>
        <v>50326.01</v>
      </c>
      <c r="AL280" s="574">
        <f t="shared" si="11"/>
        <v>50328.01</v>
      </c>
      <c r="AM280" s="574">
        <f t="shared" si="11"/>
        <v>889317976.67999995</v>
      </c>
      <c r="AN280" s="574">
        <f t="shared" si="11"/>
        <v>22561337.59</v>
      </c>
      <c r="AO280" s="574">
        <f t="shared" si="11"/>
        <v>30481210.300000001</v>
      </c>
      <c r="AP280" s="574">
        <f t="shared" si="11"/>
        <v>1440984</v>
      </c>
      <c r="AQ280" s="574">
        <f t="shared" si="11"/>
        <v>271242521.61000001</v>
      </c>
      <c r="AR280" s="574">
        <f t="shared" si="11"/>
        <v>623118034.38</v>
      </c>
      <c r="AS280" s="574">
        <f t="shared" si="11"/>
        <v>50575</v>
      </c>
      <c r="AT280" s="574">
        <f t="shared" si="11"/>
        <v>164170541.37</v>
      </c>
      <c r="AU280" s="574">
        <f t="shared" si="11"/>
        <v>12811052.24</v>
      </c>
      <c r="AV280" s="574">
        <f t="shared" si="11"/>
        <v>1282261031.26</v>
      </c>
      <c r="AW280" s="574">
        <f t="shared" si="11"/>
        <v>76308332.319999993</v>
      </c>
      <c r="AX280" s="574">
        <f t="shared" si="11"/>
        <v>133413891.31999999</v>
      </c>
      <c r="AY280" s="574">
        <f t="shared" si="11"/>
        <v>438138112.94639999</v>
      </c>
      <c r="AZ280" s="574">
        <f t="shared" si="11"/>
        <v>73101510.629999995</v>
      </c>
      <c r="BA280" s="574">
        <f t="shared" si="11"/>
        <v>36863891.090000004</v>
      </c>
      <c r="BB280" s="574">
        <f t="shared" si="11"/>
        <v>1231523</v>
      </c>
      <c r="BC280" s="574">
        <f t="shared" si="11"/>
        <v>11134262.0725</v>
      </c>
      <c r="BD280" s="574">
        <f t="shared" si="11"/>
        <v>549326513.24000001</v>
      </c>
      <c r="BE280" s="574">
        <f t="shared" si="11"/>
        <v>6243845</v>
      </c>
      <c r="BF280" s="574">
        <f t="shared" si="11"/>
        <v>26677612.239999998</v>
      </c>
      <c r="BG280" s="574">
        <f t="shared" si="11"/>
        <v>29162321.809999999</v>
      </c>
      <c r="BH280" s="574">
        <f t="shared" si="11"/>
        <v>3474629.19</v>
      </c>
      <c r="BI280" s="574">
        <f t="shared" si="11"/>
        <v>22663436.449999999</v>
      </c>
      <c r="BJ280" s="574">
        <f t="shared" si="11"/>
        <v>5266257.6550000003</v>
      </c>
      <c r="BK280" s="574">
        <f t="shared" si="11"/>
        <v>187515030.99000001</v>
      </c>
      <c r="BL280" s="574">
        <f t="shared" si="11"/>
        <v>50346.09</v>
      </c>
      <c r="BM280" s="574">
        <f t="shared" si="11"/>
        <v>123007159.90000001</v>
      </c>
      <c r="BN280" s="574">
        <f t="shared" si="11"/>
        <v>133018046.837</v>
      </c>
      <c r="BO280" s="574">
        <f t="shared" si="11"/>
        <v>67067510.908</v>
      </c>
      <c r="BP280" s="574">
        <f t="shared" si="11"/>
        <v>60632308.130000003</v>
      </c>
      <c r="BQ280" s="574">
        <f t="shared" si="11"/>
        <v>414505509.18000001</v>
      </c>
      <c r="BR280" s="574">
        <f t="shared" si="11"/>
        <v>98031432.640000001</v>
      </c>
      <c r="BS280" s="574">
        <f t="shared" si="11"/>
        <v>693166914.85000002</v>
      </c>
      <c r="BT280" s="574">
        <f t="shared" si="11"/>
        <v>56120650.990000002</v>
      </c>
      <c r="BU280" s="574">
        <f t="shared" si="11"/>
        <v>267127497.2033</v>
      </c>
      <c r="BV280" s="574">
        <f t="shared" si="11"/>
        <v>40535618.579999998</v>
      </c>
      <c r="BW280" s="574">
        <f t="shared" si="11"/>
        <v>128461649.14</v>
      </c>
      <c r="BX280" s="574">
        <f t="shared" si="11"/>
        <v>48835893.109999999</v>
      </c>
      <c r="BY280" s="574">
        <f t="shared" si="11"/>
        <v>6952322.5099999998</v>
      </c>
      <c r="BZ280" s="574">
        <f t="shared" si="11"/>
        <v>50952031.630000003</v>
      </c>
      <c r="CA280" s="574">
        <f t="shared" si="11"/>
        <v>21861023.030000001</v>
      </c>
      <c r="CB280" s="574">
        <f t="shared" si="11"/>
        <v>67933522.189999998</v>
      </c>
      <c r="CC280" s="574">
        <f t="shared" si="11"/>
        <v>50360</v>
      </c>
      <c r="CD280" s="574">
        <f t="shared" si="11"/>
        <v>7603038.9699999997</v>
      </c>
      <c r="CE280" s="180"/>
      <c r="CF280" s="180"/>
      <c r="CG280" s="180"/>
      <c r="CH280" s="180"/>
      <c r="CI280" s="180"/>
      <c r="CJ280" s="180"/>
      <c r="CK280" s="180"/>
      <c r="CL280" s="180"/>
      <c r="CM280" s="180"/>
      <c r="CN280" s="180"/>
      <c r="CO280" s="180"/>
      <c r="CP280" s="180"/>
      <c r="CQ280" s="180"/>
      <c r="CR280" s="180"/>
      <c r="CS280" s="180"/>
      <c r="CT280" s="180"/>
      <c r="CU280" s="180"/>
    </row>
    <row r="281" spans="1:104" x14ac:dyDescent="0.3">
      <c r="B281" s="180"/>
      <c r="C281" s="180"/>
      <c r="D281" s="180"/>
      <c r="E281" s="180"/>
      <c r="F281" s="180"/>
      <c r="G281" s="180"/>
      <c r="H281" s="180"/>
      <c r="I281" s="180"/>
      <c r="J281" s="180"/>
      <c r="K281" s="180"/>
      <c r="L281" s="996" t="e">
        <f>L278/L279</f>
        <v>#DIV/0!</v>
      </c>
      <c r="M281" s="180"/>
      <c r="N281" s="180"/>
      <c r="O281" s="180"/>
      <c r="P281" s="180"/>
      <c r="Q281" s="180"/>
      <c r="R281" s="180"/>
      <c r="S281" s="180"/>
      <c r="T281" s="180"/>
      <c r="U281" s="180"/>
      <c r="V281" s="180"/>
      <c r="W281" s="180"/>
      <c r="X281" s="180"/>
      <c r="Y281" s="180"/>
      <c r="Z281" s="180"/>
      <c r="AA281" s="180"/>
      <c r="AB281" s="180"/>
      <c r="AC281" s="180"/>
      <c r="AD281" s="180"/>
      <c r="AE281" s="180"/>
      <c r="AF281" s="180"/>
      <c r="AG281" s="180"/>
      <c r="AH281" s="180"/>
      <c r="AI281" s="180"/>
      <c r="AJ281" s="180"/>
      <c r="AK281" s="180"/>
      <c r="AL281" s="180"/>
      <c r="AM281" s="180"/>
      <c r="AN281" s="180"/>
      <c r="AO281" s="180"/>
      <c r="AP281" s="180"/>
      <c r="AQ281" s="180"/>
      <c r="AR281" s="180"/>
      <c r="AS281" s="180"/>
      <c r="AT281" s="180"/>
      <c r="AU281" s="180"/>
      <c r="AV281" s="180"/>
      <c r="AW281" s="180"/>
      <c r="AX281" s="180"/>
      <c r="AY281" s="180"/>
      <c r="AZ281" s="180"/>
      <c r="BA281" s="180"/>
      <c r="BB281" s="180"/>
      <c r="BC281" s="180"/>
      <c r="BD281" s="180"/>
      <c r="BE281" s="180"/>
      <c r="BF281" s="180"/>
      <c r="BG281" s="180"/>
      <c r="BH281" s="180"/>
      <c r="BI281" s="180"/>
      <c r="BJ281" s="180"/>
      <c r="BK281" s="180"/>
      <c r="BL281" s="180"/>
      <c r="BM281" s="180"/>
      <c r="BN281" s="180"/>
      <c r="BO281" s="180"/>
      <c r="BP281" s="180"/>
      <c r="BQ281" s="180"/>
      <c r="BR281" s="180"/>
      <c r="BS281" s="180"/>
      <c r="BT281" s="180"/>
      <c r="BU281" s="180"/>
      <c r="BV281" s="180"/>
      <c r="BW281" s="180"/>
      <c r="BX281" s="180"/>
      <c r="BY281" s="180"/>
      <c r="BZ281" s="180"/>
      <c r="CA281" s="180"/>
      <c r="CB281" s="180"/>
      <c r="CC281" s="180"/>
      <c r="CD281" s="180"/>
      <c r="CE281" s="180"/>
      <c r="CF281" s="180"/>
      <c r="CG281" s="180"/>
      <c r="CH281" s="180"/>
      <c r="CI281" s="180"/>
      <c r="CJ281" s="180"/>
      <c r="CK281" s="180"/>
      <c r="CL281" s="180"/>
      <c r="CM281" s="180"/>
      <c r="CN281" s="180"/>
      <c r="CO281" s="180"/>
      <c r="CP281" s="180"/>
      <c r="CQ281" s="180"/>
      <c r="CR281" s="180"/>
      <c r="CS281" s="180"/>
      <c r="CT281" s="180"/>
      <c r="CU281" s="180"/>
    </row>
    <row r="282" spans="1:104" x14ac:dyDescent="0.3">
      <c r="B282" s="180"/>
      <c r="C282" s="180"/>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c r="AA282" s="180"/>
      <c r="AB282" s="180"/>
      <c r="AC282" s="180"/>
      <c r="AD282" s="180"/>
      <c r="AE282" s="180"/>
      <c r="AF282" s="180"/>
      <c r="AG282" s="180"/>
      <c r="AH282" s="180"/>
      <c r="AI282" s="180"/>
      <c r="AJ282" s="180"/>
      <c r="AK282" s="180"/>
      <c r="AL282" s="180"/>
      <c r="AM282" s="180"/>
      <c r="AN282" s="180"/>
      <c r="AO282" s="180"/>
      <c r="AP282" s="180"/>
      <c r="AQ282" s="180"/>
      <c r="AR282" s="180"/>
      <c r="AS282" s="180"/>
      <c r="AT282" s="180"/>
      <c r="AU282" s="180"/>
      <c r="AV282" s="180"/>
      <c r="AW282" s="180"/>
      <c r="AX282" s="180"/>
      <c r="AY282" s="180"/>
      <c r="AZ282" s="180"/>
      <c r="BA282" s="180"/>
      <c r="BB282" s="180"/>
      <c r="BC282" s="180"/>
      <c r="BD282" s="180"/>
      <c r="BE282" s="180"/>
      <c r="BF282" s="180"/>
      <c r="BG282" s="180"/>
      <c r="BH282" s="180"/>
      <c r="BI282" s="180"/>
      <c r="BJ282" s="180"/>
      <c r="BK282" s="180"/>
      <c r="BL282" s="180"/>
      <c r="BM282" s="180"/>
      <c r="BN282" s="180"/>
      <c r="BO282" s="180"/>
      <c r="BP282" s="180"/>
      <c r="BQ282" s="180"/>
      <c r="BR282" s="180"/>
      <c r="BS282" s="180"/>
      <c r="BT282" s="180"/>
      <c r="BU282" s="180"/>
      <c r="BV282" s="180"/>
      <c r="BW282" s="180"/>
      <c r="BX282" s="180"/>
      <c r="BY282" s="180"/>
      <c r="BZ282" s="180"/>
      <c r="CA282" s="180"/>
      <c r="CB282" s="180"/>
      <c r="CC282" s="180"/>
      <c r="CD282" s="180"/>
      <c r="CE282" s="180"/>
      <c r="CF282" s="180"/>
      <c r="CG282" s="180"/>
      <c r="CH282" s="180"/>
      <c r="CI282" s="180"/>
      <c r="CJ282" s="180"/>
      <c r="CK282" s="180"/>
      <c r="CL282" s="180"/>
      <c r="CM282" s="180"/>
      <c r="CN282" s="180"/>
      <c r="CO282" s="180"/>
      <c r="CP282" s="180"/>
      <c r="CQ282" s="180"/>
      <c r="CR282" s="180"/>
      <c r="CS282" s="180"/>
      <c r="CT282" s="180"/>
      <c r="CU282" s="180"/>
    </row>
    <row r="283" spans="1:104" x14ac:dyDescent="0.3">
      <c r="B283" s="180"/>
      <c r="C283" s="180"/>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c r="AA283" s="180"/>
      <c r="AB283" s="180"/>
      <c r="AC283" s="180"/>
      <c r="AD283" s="180"/>
      <c r="AE283" s="180"/>
      <c r="AF283" s="180"/>
      <c r="AG283" s="180"/>
      <c r="AH283" s="180"/>
      <c r="AI283" s="180"/>
      <c r="AJ283" s="180"/>
      <c r="AK283" s="180"/>
      <c r="AL283" s="180"/>
      <c r="AM283" s="180"/>
      <c r="AN283" s="180"/>
      <c r="AO283" s="180"/>
      <c r="AP283" s="180"/>
      <c r="AQ283" s="180"/>
      <c r="AR283" s="180"/>
      <c r="AS283" s="180"/>
      <c r="AT283" s="180"/>
      <c r="AU283" s="180"/>
      <c r="AV283" s="180"/>
      <c r="AW283" s="180"/>
      <c r="AX283" s="180"/>
      <c r="AY283" s="180"/>
      <c r="AZ283" s="180"/>
      <c r="BA283" s="180"/>
      <c r="BB283" s="180"/>
      <c r="BC283" s="180"/>
      <c r="BD283" s="180"/>
      <c r="BE283" s="180"/>
      <c r="BF283" s="180"/>
      <c r="BG283" s="180"/>
      <c r="BH283" s="180"/>
      <c r="BI283" s="180"/>
      <c r="BJ283" s="180"/>
      <c r="BK283" s="180"/>
      <c r="BL283" s="180"/>
      <c r="BM283" s="180"/>
      <c r="BN283" s="180"/>
      <c r="BO283" s="180"/>
      <c r="BP283" s="180"/>
      <c r="BQ283" s="180"/>
      <c r="BR283" s="180"/>
      <c r="BS283" s="180"/>
      <c r="BT283" s="180"/>
      <c r="BU283" s="180"/>
      <c r="BV283" s="180"/>
      <c r="BW283" s="180"/>
      <c r="BX283" s="180"/>
      <c r="BY283" s="180"/>
      <c r="BZ283" s="180"/>
      <c r="CA283" s="180"/>
      <c r="CB283" s="180"/>
      <c r="CC283" s="180"/>
      <c r="CD283" s="180"/>
      <c r="CE283" s="180"/>
      <c r="CF283" s="180"/>
      <c r="CG283" s="180"/>
      <c r="CH283" s="180"/>
      <c r="CI283" s="180"/>
      <c r="CJ283" s="180"/>
      <c r="CK283" s="180"/>
      <c r="CL283" s="180"/>
      <c r="CM283" s="180"/>
      <c r="CN283" s="180"/>
      <c r="CO283" s="180"/>
      <c r="CP283" s="180"/>
      <c r="CQ283" s="180"/>
      <c r="CR283" s="180"/>
      <c r="CS283" s="180"/>
      <c r="CT283" s="180"/>
      <c r="CU283" s="180"/>
      <c r="CV283" s="180"/>
      <c r="CW283" s="180"/>
      <c r="CX283" s="180"/>
      <c r="CY283" s="180"/>
      <c r="CZ283" s="180"/>
    </row>
    <row r="284" spans="1:104" x14ac:dyDescent="0.3">
      <c r="B284" s="180"/>
      <c r="C284" s="180"/>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c r="AA284" s="180"/>
      <c r="AB284" s="180"/>
      <c r="AC284" s="180"/>
      <c r="AD284" s="180"/>
      <c r="AE284" s="180"/>
      <c r="AF284" s="180"/>
      <c r="AG284" s="180"/>
      <c r="AH284" s="180"/>
      <c r="AI284" s="180"/>
      <c r="AJ284" s="180"/>
      <c r="AK284" s="180"/>
      <c r="AL284" s="180"/>
      <c r="AM284" s="180"/>
      <c r="AN284" s="180"/>
      <c r="AO284" s="180"/>
      <c r="AP284" s="180"/>
      <c r="AQ284" s="180"/>
      <c r="AR284" s="180"/>
      <c r="AS284" s="180"/>
      <c r="AT284" s="180"/>
      <c r="AU284" s="180"/>
      <c r="AV284" s="180"/>
      <c r="AW284" s="180"/>
      <c r="AX284" s="180"/>
      <c r="AY284" s="180"/>
      <c r="AZ284" s="180"/>
      <c r="BA284" s="180"/>
      <c r="BB284" s="180"/>
      <c r="BC284" s="180"/>
      <c r="BD284" s="180"/>
      <c r="BE284" s="180"/>
      <c r="BF284" s="180"/>
      <c r="BG284" s="180"/>
      <c r="BH284" s="180"/>
      <c r="BI284" s="180"/>
      <c r="BJ284" s="180"/>
      <c r="BK284" s="180"/>
      <c r="BL284" s="180"/>
      <c r="BM284" s="180"/>
      <c r="BN284" s="180"/>
      <c r="BO284" s="180"/>
      <c r="BP284" s="180"/>
      <c r="BQ284" s="180"/>
      <c r="BR284" s="180"/>
      <c r="BS284" s="180"/>
      <c r="BT284" s="180"/>
      <c r="BU284" s="180"/>
      <c r="BV284" s="180"/>
      <c r="BW284" s="180"/>
      <c r="BX284" s="180"/>
      <c r="BY284" s="180"/>
      <c r="BZ284" s="180"/>
      <c r="CA284" s="180"/>
      <c r="CB284" s="180"/>
      <c r="CC284" s="180"/>
      <c r="CD284" s="180"/>
      <c r="CE284" s="180"/>
      <c r="CF284" s="180"/>
      <c r="CG284" s="180"/>
      <c r="CH284" s="180"/>
      <c r="CI284" s="180"/>
      <c r="CJ284" s="180"/>
      <c r="CK284" s="180"/>
      <c r="CL284" s="180"/>
      <c r="CM284" s="180"/>
      <c r="CN284" s="180"/>
      <c r="CO284" s="180"/>
      <c r="CP284" s="180"/>
      <c r="CQ284" s="180"/>
      <c r="CR284" s="180"/>
      <c r="CS284" s="180"/>
      <c r="CT284" s="180"/>
      <c r="CU284" s="180"/>
      <c r="CV284" s="180"/>
      <c r="CW284" s="180"/>
      <c r="CX284" s="180"/>
      <c r="CY284" s="180"/>
      <c r="CZ284" s="180"/>
    </row>
    <row r="285" spans="1:104" x14ac:dyDescent="0.3">
      <c r="A285" s="556">
        <v>906</v>
      </c>
      <c r="B285" s="180"/>
      <c r="C285" s="180">
        <v>204</v>
      </c>
      <c r="D285" s="180">
        <f t="shared" ref="D285:AI285" si="12">D203</f>
        <v>0</v>
      </c>
      <c r="E285" s="180">
        <f t="shared" si="12"/>
        <v>1</v>
      </c>
      <c r="F285" s="180">
        <f t="shared" si="12"/>
        <v>1</v>
      </c>
      <c r="G285" s="180">
        <f t="shared" si="12"/>
        <v>1</v>
      </c>
      <c r="H285" s="180">
        <f t="shared" si="12"/>
        <v>1</v>
      </c>
      <c r="I285" s="180">
        <f t="shared" si="12"/>
        <v>1</v>
      </c>
      <c r="J285" s="180">
        <f t="shared" si="12"/>
        <v>1</v>
      </c>
      <c r="K285" s="180">
        <f t="shared" si="12"/>
        <v>1</v>
      </c>
      <c r="L285" s="180">
        <f t="shared" si="12"/>
        <v>1</v>
      </c>
      <c r="M285" s="180">
        <f t="shared" si="12"/>
        <v>1</v>
      </c>
      <c r="N285" s="180">
        <f t="shared" si="12"/>
        <v>1</v>
      </c>
      <c r="O285" s="180">
        <f t="shared" si="12"/>
        <v>1</v>
      </c>
      <c r="P285" s="180">
        <f t="shared" si="12"/>
        <v>1</v>
      </c>
      <c r="Q285" s="180">
        <f t="shared" si="12"/>
        <v>1</v>
      </c>
      <c r="R285" s="180">
        <f t="shared" si="12"/>
        <v>1</v>
      </c>
      <c r="S285" s="180">
        <f t="shared" si="12"/>
        <v>1</v>
      </c>
      <c r="T285" s="180">
        <f t="shared" si="12"/>
        <v>1</v>
      </c>
      <c r="U285" s="180">
        <f t="shared" si="12"/>
        <v>1</v>
      </c>
      <c r="V285" s="180">
        <f t="shared" si="12"/>
        <v>1</v>
      </c>
      <c r="W285" s="180">
        <f t="shared" si="12"/>
        <v>1</v>
      </c>
      <c r="X285" s="180">
        <f t="shared" si="12"/>
        <v>0</v>
      </c>
      <c r="Y285" s="180">
        <f t="shared" si="12"/>
        <v>1</v>
      </c>
      <c r="Z285" s="180">
        <f t="shared" si="12"/>
        <v>1</v>
      </c>
      <c r="AA285" s="180">
        <f t="shared" si="12"/>
        <v>1</v>
      </c>
      <c r="AB285" s="180">
        <f t="shared" si="12"/>
        <v>1</v>
      </c>
      <c r="AC285" s="180">
        <f t="shared" si="12"/>
        <v>1</v>
      </c>
      <c r="AD285" s="180">
        <f t="shared" si="12"/>
        <v>1</v>
      </c>
      <c r="AE285" s="180">
        <f t="shared" si="12"/>
        <v>1</v>
      </c>
      <c r="AF285" s="180">
        <f t="shared" si="12"/>
        <v>1</v>
      </c>
      <c r="AG285" s="180">
        <f t="shared" si="12"/>
        <v>1</v>
      </c>
      <c r="AH285" s="180">
        <f t="shared" si="12"/>
        <v>1</v>
      </c>
      <c r="AI285" s="180">
        <f t="shared" si="12"/>
        <v>1</v>
      </c>
      <c r="AJ285" s="180">
        <f t="shared" ref="AJ285:BO285" si="13">AJ203</f>
        <v>1</v>
      </c>
      <c r="AK285" s="180">
        <f t="shared" si="13"/>
        <v>0</v>
      </c>
      <c r="AL285" s="180">
        <f t="shared" si="13"/>
        <v>0</v>
      </c>
      <c r="AM285" s="180">
        <f t="shared" si="13"/>
        <v>1</v>
      </c>
      <c r="AN285" s="180">
        <f t="shared" si="13"/>
        <v>1</v>
      </c>
      <c r="AO285" s="180">
        <f t="shared" si="13"/>
        <v>1</v>
      </c>
      <c r="AP285" s="180">
        <f t="shared" si="13"/>
        <v>1</v>
      </c>
      <c r="AQ285" s="180">
        <f t="shared" si="13"/>
        <v>1</v>
      </c>
      <c r="AR285" s="180">
        <f t="shared" si="13"/>
        <v>1</v>
      </c>
      <c r="AS285" s="180">
        <f t="shared" si="13"/>
        <v>0</v>
      </c>
      <c r="AT285" s="180">
        <f t="shared" si="13"/>
        <v>1</v>
      </c>
      <c r="AU285" s="180">
        <f t="shared" si="13"/>
        <v>1</v>
      </c>
      <c r="AV285" s="180">
        <f t="shared" si="13"/>
        <v>1</v>
      </c>
      <c r="AW285" s="180">
        <f t="shared" si="13"/>
        <v>1</v>
      </c>
      <c r="AX285" s="180">
        <f t="shared" si="13"/>
        <v>1</v>
      </c>
      <c r="AY285" s="180">
        <f t="shared" si="13"/>
        <v>1</v>
      </c>
      <c r="AZ285" s="180">
        <f t="shared" si="13"/>
        <v>1</v>
      </c>
      <c r="BA285" s="180">
        <f t="shared" si="13"/>
        <v>1</v>
      </c>
      <c r="BB285" s="180">
        <f t="shared" si="13"/>
        <v>1</v>
      </c>
      <c r="BC285" s="180">
        <f t="shared" si="13"/>
        <v>1</v>
      </c>
      <c r="BD285" s="180">
        <f t="shared" si="13"/>
        <v>1</v>
      </c>
      <c r="BE285" s="180">
        <f t="shared" si="13"/>
        <v>1</v>
      </c>
      <c r="BF285" s="180">
        <f t="shared" si="13"/>
        <v>1</v>
      </c>
      <c r="BG285" s="180">
        <f t="shared" si="13"/>
        <v>1</v>
      </c>
      <c r="BH285" s="180">
        <f t="shared" si="13"/>
        <v>1</v>
      </c>
      <c r="BI285" s="180">
        <f t="shared" si="13"/>
        <v>1</v>
      </c>
      <c r="BJ285" s="180">
        <f t="shared" si="13"/>
        <v>1</v>
      </c>
      <c r="BK285" s="180">
        <f t="shared" si="13"/>
        <v>1</v>
      </c>
      <c r="BL285" s="180">
        <f t="shared" si="13"/>
        <v>0</v>
      </c>
      <c r="BM285" s="180">
        <f t="shared" si="13"/>
        <v>1</v>
      </c>
      <c r="BN285" s="180">
        <f t="shared" si="13"/>
        <v>1</v>
      </c>
      <c r="BO285" s="180">
        <f t="shared" si="13"/>
        <v>1</v>
      </c>
      <c r="BP285" s="180">
        <f t="shared" ref="BP285:CZ285" si="14">BP203</f>
        <v>1</v>
      </c>
      <c r="BQ285" s="180">
        <f t="shared" si="14"/>
        <v>1</v>
      </c>
      <c r="BR285" s="180">
        <f t="shared" si="14"/>
        <v>1</v>
      </c>
      <c r="BS285" s="180">
        <f t="shared" si="14"/>
        <v>1</v>
      </c>
      <c r="BT285" s="180">
        <f t="shared" si="14"/>
        <v>1</v>
      </c>
      <c r="BU285" s="180">
        <f t="shared" si="14"/>
        <v>1</v>
      </c>
      <c r="BV285" s="180">
        <f t="shared" si="14"/>
        <v>1</v>
      </c>
      <c r="BW285" s="180">
        <f t="shared" si="14"/>
        <v>1</v>
      </c>
      <c r="BX285" s="180">
        <f t="shared" si="14"/>
        <v>1</v>
      </c>
      <c r="BY285" s="180">
        <f t="shared" si="14"/>
        <v>1</v>
      </c>
      <c r="BZ285" s="180">
        <f t="shared" si="14"/>
        <v>1</v>
      </c>
      <c r="CA285" s="180">
        <f t="shared" si="14"/>
        <v>1</v>
      </c>
      <c r="CB285" s="180">
        <f t="shared" si="14"/>
        <v>1</v>
      </c>
      <c r="CC285" s="180">
        <f t="shared" si="14"/>
        <v>0</v>
      </c>
      <c r="CD285" s="180">
        <f t="shared" si="14"/>
        <v>1</v>
      </c>
      <c r="CE285" s="180">
        <f t="shared" si="14"/>
        <v>0</v>
      </c>
      <c r="CF285" s="180">
        <f t="shared" si="14"/>
        <v>0</v>
      </c>
      <c r="CG285" s="180">
        <f t="shared" si="14"/>
        <v>0</v>
      </c>
      <c r="CH285" s="180">
        <f t="shared" si="14"/>
        <v>0</v>
      </c>
      <c r="CI285" s="180">
        <f t="shared" si="14"/>
        <v>0</v>
      </c>
      <c r="CJ285" s="180">
        <f t="shared" si="14"/>
        <v>0</v>
      </c>
      <c r="CK285" s="180">
        <f t="shared" si="14"/>
        <v>0</v>
      </c>
      <c r="CL285" s="180">
        <f t="shared" si="14"/>
        <v>0</v>
      </c>
      <c r="CM285" s="180">
        <f t="shared" si="14"/>
        <v>0</v>
      </c>
      <c r="CN285" s="180">
        <f t="shared" si="14"/>
        <v>0</v>
      </c>
      <c r="CO285" s="180">
        <f t="shared" si="14"/>
        <v>0</v>
      </c>
      <c r="CP285" s="180">
        <f t="shared" si="14"/>
        <v>0</v>
      </c>
      <c r="CQ285" s="180">
        <f t="shared" si="14"/>
        <v>0</v>
      </c>
      <c r="CR285" s="180">
        <f t="shared" si="14"/>
        <v>0</v>
      </c>
      <c r="CS285" s="180">
        <f t="shared" si="14"/>
        <v>0</v>
      </c>
      <c r="CT285" s="180">
        <f t="shared" si="14"/>
        <v>0</v>
      </c>
      <c r="CU285" s="180">
        <f t="shared" si="14"/>
        <v>0</v>
      </c>
      <c r="CV285" s="180">
        <f t="shared" si="14"/>
        <v>0</v>
      </c>
      <c r="CW285" s="180">
        <f t="shared" si="14"/>
        <v>0</v>
      </c>
      <c r="CX285" s="180">
        <f t="shared" si="14"/>
        <v>0</v>
      </c>
      <c r="CY285" s="180">
        <f t="shared" si="14"/>
        <v>0</v>
      </c>
      <c r="CZ285" s="180">
        <f t="shared" si="14"/>
        <v>0</v>
      </c>
    </row>
    <row r="286" spans="1:104" x14ac:dyDescent="0.3">
      <c r="A286" s="556">
        <v>907</v>
      </c>
      <c r="B286" s="180"/>
      <c r="C286" s="180">
        <v>205</v>
      </c>
      <c r="D286" s="180">
        <f t="shared" ref="D286:AI286" si="15">D204</f>
        <v>0</v>
      </c>
      <c r="E286" s="180">
        <f t="shared" si="15"/>
        <v>2</v>
      </c>
      <c r="F286" s="180">
        <f t="shared" si="15"/>
        <v>2</v>
      </c>
      <c r="G286" s="180">
        <f t="shared" si="15"/>
        <v>2</v>
      </c>
      <c r="H286" s="180">
        <f t="shared" si="15"/>
        <v>1</v>
      </c>
      <c r="I286" s="180">
        <f t="shared" si="15"/>
        <v>2</v>
      </c>
      <c r="J286" s="180">
        <f t="shared" si="15"/>
        <v>1</v>
      </c>
      <c r="K286" s="180">
        <f t="shared" si="15"/>
        <v>2</v>
      </c>
      <c r="L286" s="180">
        <f t="shared" si="15"/>
        <v>2</v>
      </c>
      <c r="M286" s="180">
        <f t="shared" si="15"/>
        <v>1</v>
      </c>
      <c r="N286" s="180">
        <f t="shared" si="15"/>
        <v>2</v>
      </c>
      <c r="O286" s="180">
        <f t="shared" si="15"/>
        <v>2</v>
      </c>
      <c r="P286" s="180">
        <f t="shared" si="15"/>
        <v>1</v>
      </c>
      <c r="Q286" s="180">
        <f t="shared" si="15"/>
        <v>2</v>
      </c>
      <c r="R286" s="180">
        <f t="shared" si="15"/>
        <v>2</v>
      </c>
      <c r="S286" s="180">
        <f t="shared" si="15"/>
        <v>1</v>
      </c>
      <c r="T286" s="180">
        <f t="shared" si="15"/>
        <v>2</v>
      </c>
      <c r="U286" s="180">
        <f t="shared" si="15"/>
        <v>2</v>
      </c>
      <c r="V286" s="180">
        <f t="shared" si="15"/>
        <v>2</v>
      </c>
      <c r="W286" s="180">
        <f t="shared" si="15"/>
        <v>2</v>
      </c>
      <c r="X286" s="180">
        <f t="shared" si="15"/>
        <v>0</v>
      </c>
      <c r="Y286" s="180">
        <f t="shared" si="15"/>
        <v>2</v>
      </c>
      <c r="Z286" s="180">
        <f t="shared" si="15"/>
        <v>1</v>
      </c>
      <c r="AA286" s="180">
        <f t="shared" si="15"/>
        <v>2</v>
      </c>
      <c r="AB286" s="180">
        <f t="shared" si="15"/>
        <v>2</v>
      </c>
      <c r="AC286" s="180">
        <f t="shared" si="15"/>
        <v>1</v>
      </c>
      <c r="AD286" s="180">
        <f t="shared" si="15"/>
        <v>2</v>
      </c>
      <c r="AE286" s="180">
        <f t="shared" si="15"/>
        <v>2</v>
      </c>
      <c r="AF286" s="180">
        <f t="shared" si="15"/>
        <v>2</v>
      </c>
      <c r="AG286" s="180">
        <f t="shared" si="15"/>
        <v>2</v>
      </c>
      <c r="AH286" s="180">
        <f t="shared" si="15"/>
        <v>1</v>
      </c>
      <c r="AI286" s="180">
        <f t="shared" si="15"/>
        <v>2</v>
      </c>
      <c r="AJ286" s="180">
        <f t="shared" ref="AJ286:BO286" si="16">AJ204</f>
        <v>2</v>
      </c>
      <c r="AK286" s="180">
        <f t="shared" si="16"/>
        <v>0</v>
      </c>
      <c r="AL286" s="180">
        <f t="shared" si="16"/>
        <v>0</v>
      </c>
      <c r="AM286" s="180">
        <f t="shared" si="16"/>
        <v>2</v>
      </c>
      <c r="AN286" s="180">
        <f t="shared" si="16"/>
        <v>2</v>
      </c>
      <c r="AO286" s="180">
        <f t="shared" si="16"/>
        <v>2</v>
      </c>
      <c r="AP286" s="180">
        <f t="shared" si="16"/>
        <v>1</v>
      </c>
      <c r="AQ286" s="180">
        <f t="shared" si="16"/>
        <v>2</v>
      </c>
      <c r="AR286" s="180">
        <f t="shared" si="16"/>
        <v>2</v>
      </c>
      <c r="AS286" s="180">
        <f t="shared" si="16"/>
        <v>0</v>
      </c>
      <c r="AT286" s="180">
        <f t="shared" si="16"/>
        <v>1</v>
      </c>
      <c r="AU286" s="180">
        <f t="shared" si="16"/>
        <v>1</v>
      </c>
      <c r="AV286" s="180">
        <f t="shared" si="16"/>
        <v>2</v>
      </c>
      <c r="AW286" s="180">
        <f t="shared" si="16"/>
        <v>2</v>
      </c>
      <c r="AX286" s="180">
        <f t="shared" si="16"/>
        <v>2</v>
      </c>
      <c r="AY286" s="180">
        <f t="shared" si="16"/>
        <v>2</v>
      </c>
      <c r="AZ286" s="180">
        <f t="shared" si="16"/>
        <v>1</v>
      </c>
      <c r="BA286" s="180">
        <f t="shared" si="16"/>
        <v>2</v>
      </c>
      <c r="BB286" s="180">
        <f t="shared" si="16"/>
        <v>1</v>
      </c>
      <c r="BC286" s="180">
        <f t="shared" si="16"/>
        <v>1</v>
      </c>
      <c r="BD286" s="180">
        <f t="shared" si="16"/>
        <v>1</v>
      </c>
      <c r="BE286" s="180">
        <f t="shared" si="16"/>
        <v>1</v>
      </c>
      <c r="BF286" s="180">
        <f t="shared" si="16"/>
        <v>1</v>
      </c>
      <c r="BG286" s="180">
        <f t="shared" si="16"/>
        <v>2</v>
      </c>
      <c r="BH286" s="180">
        <f t="shared" si="16"/>
        <v>1</v>
      </c>
      <c r="BI286" s="180">
        <f t="shared" si="16"/>
        <v>1</v>
      </c>
      <c r="BJ286" s="180">
        <f t="shared" si="16"/>
        <v>1</v>
      </c>
      <c r="BK286" s="180">
        <f t="shared" si="16"/>
        <v>2</v>
      </c>
      <c r="BL286" s="180">
        <f t="shared" si="16"/>
        <v>0</v>
      </c>
      <c r="BM286" s="180">
        <f t="shared" si="16"/>
        <v>2</v>
      </c>
      <c r="BN286" s="180">
        <f t="shared" si="16"/>
        <v>1</v>
      </c>
      <c r="BO286" s="180">
        <f t="shared" si="16"/>
        <v>1</v>
      </c>
      <c r="BP286" s="180">
        <f t="shared" ref="BP286:CZ286" si="17">BP204</f>
        <v>2</v>
      </c>
      <c r="BQ286" s="180">
        <f t="shared" si="17"/>
        <v>2</v>
      </c>
      <c r="BR286" s="180">
        <f t="shared" si="17"/>
        <v>2</v>
      </c>
      <c r="BS286" s="180">
        <f t="shared" si="17"/>
        <v>2</v>
      </c>
      <c r="BT286" s="180">
        <f t="shared" si="17"/>
        <v>1</v>
      </c>
      <c r="BU286" s="180">
        <f t="shared" si="17"/>
        <v>2</v>
      </c>
      <c r="BV286" s="180">
        <f t="shared" si="17"/>
        <v>2</v>
      </c>
      <c r="BW286" s="180">
        <f t="shared" si="17"/>
        <v>2</v>
      </c>
      <c r="BX286" s="180">
        <f t="shared" si="17"/>
        <v>1</v>
      </c>
      <c r="BY286" s="180">
        <f t="shared" si="17"/>
        <v>1</v>
      </c>
      <c r="BZ286" s="180">
        <f t="shared" si="17"/>
        <v>2</v>
      </c>
      <c r="CA286" s="180">
        <f t="shared" si="17"/>
        <v>1</v>
      </c>
      <c r="CB286" s="180">
        <f t="shared" si="17"/>
        <v>1</v>
      </c>
      <c r="CC286" s="180">
        <f t="shared" si="17"/>
        <v>0</v>
      </c>
      <c r="CD286" s="180">
        <f t="shared" si="17"/>
        <v>2</v>
      </c>
      <c r="CE286" s="180">
        <f t="shared" si="17"/>
        <v>0</v>
      </c>
      <c r="CF286" s="180">
        <f t="shared" si="17"/>
        <v>0</v>
      </c>
      <c r="CG286" s="180">
        <f t="shared" si="17"/>
        <v>0</v>
      </c>
      <c r="CH286" s="180">
        <f t="shared" si="17"/>
        <v>0</v>
      </c>
      <c r="CI286" s="180">
        <f t="shared" si="17"/>
        <v>0</v>
      </c>
      <c r="CJ286" s="180">
        <f t="shared" si="17"/>
        <v>0</v>
      </c>
      <c r="CK286" s="180">
        <f t="shared" si="17"/>
        <v>0</v>
      </c>
      <c r="CL286" s="180">
        <f t="shared" si="17"/>
        <v>0</v>
      </c>
      <c r="CM286" s="180">
        <f t="shared" si="17"/>
        <v>0</v>
      </c>
      <c r="CN286" s="180">
        <f t="shared" si="17"/>
        <v>0</v>
      </c>
      <c r="CO286" s="180">
        <f t="shared" si="17"/>
        <v>0</v>
      </c>
      <c r="CP286" s="180">
        <f t="shared" si="17"/>
        <v>0</v>
      </c>
      <c r="CQ286" s="180">
        <f t="shared" si="17"/>
        <v>0</v>
      </c>
      <c r="CR286" s="180">
        <f t="shared" si="17"/>
        <v>0</v>
      </c>
      <c r="CS286" s="180">
        <f t="shared" si="17"/>
        <v>0</v>
      </c>
      <c r="CT286" s="180">
        <f t="shared" si="17"/>
        <v>0</v>
      </c>
      <c r="CU286" s="180">
        <f t="shared" si="17"/>
        <v>0</v>
      </c>
      <c r="CV286" s="180">
        <f t="shared" si="17"/>
        <v>0</v>
      </c>
      <c r="CW286" s="180">
        <f t="shared" si="17"/>
        <v>0</v>
      </c>
      <c r="CX286" s="180">
        <f t="shared" si="17"/>
        <v>0</v>
      </c>
      <c r="CY286" s="180">
        <f t="shared" si="17"/>
        <v>0</v>
      </c>
      <c r="CZ286" s="180">
        <f t="shared" si="17"/>
        <v>0</v>
      </c>
    </row>
    <row r="287" spans="1:104" x14ac:dyDescent="0.3">
      <c r="A287" s="556">
        <v>951</v>
      </c>
      <c r="B287" s="180"/>
      <c r="C287" s="180">
        <v>209</v>
      </c>
      <c r="D287" s="180">
        <f t="shared" ref="D287:AI287" si="18">D209</f>
        <v>0</v>
      </c>
      <c r="E287" s="180">
        <f t="shared" si="18"/>
        <v>2</v>
      </c>
      <c r="F287" s="180">
        <f t="shared" si="18"/>
        <v>2</v>
      </c>
      <c r="G287" s="180">
        <f t="shared" si="18"/>
        <v>2</v>
      </c>
      <c r="H287" s="180">
        <f t="shared" si="18"/>
        <v>2</v>
      </c>
      <c r="I287" s="180">
        <f t="shared" si="18"/>
        <v>2</v>
      </c>
      <c r="J287" s="180">
        <f t="shared" si="18"/>
        <v>1</v>
      </c>
      <c r="K287" s="180">
        <f t="shared" si="18"/>
        <v>2</v>
      </c>
      <c r="L287" s="180">
        <f t="shared" si="18"/>
        <v>2</v>
      </c>
      <c r="M287" s="180">
        <f t="shared" si="18"/>
        <v>2</v>
      </c>
      <c r="N287" s="180">
        <f t="shared" si="18"/>
        <v>2</v>
      </c>
      <c r="O287" s="180">
        <f t="shared" si="18"/>
        <v>2</v>
      </c>
      <c r="P287" s="180">
        <f t="shared" si="18"/>
        <v>2</v>
      </c>
      <c r="Q287" s="180">
        <f t="shared" si="18"/>
        <v>2</v>
      </c>
      <c r="R287" s="180">
        <f t="shared" si="18"/>
        <v>2</v>
      </c>
      <c r="S287" s="180">
        <f t="shared" si="18"/>
        <v>2</v>
      </c>
      <c r="T287" s="180">
        <f t="shared" si="18"/>
        <v>2</v>
      </c>
      <c r="U287" s="180">
        <f t="shared" si="18"/>
        <v>2</v>
      </c>
      <c r="V287" s="180">
        <f t="shared" si="18"/>
        <v>2</v>
      </c>
      <c r="W287" s="180">
        <f t="shared" si="18"/>
        <v>2</v>
      </c>
      <c r="X287" s="180">
        <f t="shared" si="18"/>
        <v>0</v>
      </c>
      <c r="Y287" s="180">
        <f t="shared" si="18"/>
        <v>2</v>
      </c>
      <c r="Z287" s="180">
        <f t="shared" si="18"/>
        <v>2</v>
      </c>
      <c r="AA287" s="180">
        <f t="shared" si="18"/>
        <v>2</v>
      </c>
      <c r="AB287" s="180">
        <f t="shared" si="18"/>
        <v>1</v>
      </c>
      <c r="AC287" s="180">
        <f t="shared" si="18"/>
        <v>2</v>
      </c>
      <c r="AD287" s="180">
        <f t="shared" si="18"/>
        <v>2</v>
      </c>
      <c r="AE287" s="180">
        <f t="shared" si="18"/>
        <v>2</v>
      </c>
      <c r="AF287" s="180">
        <f t="shared" si="18"/>
        <v>2</v>
      </c>
      <c r="AG287" s="180">
        <f t="shared" si="18"/>
        <v>2</v>
      </c>
      <c r="AH287" s="180">
        <f t="shared" si="18"/>
        <v>2</v>
      </c>
      <c r="AI287" s="180">
        <f t="shared" si="18"/>
        <v>2</v>
      </c>
      <c r="AJ287" s="180">
        <f t="shared" ref="AJ287:BO287" si="19">AJ209</f>
        <v>2</v>
      </c>
      <c r="AK287" s="180">
        <f t="shared" si="19"/>
        <v>0</v>
      </c>
      <c r="AL287" s="180">
        <f t="shared" si="19"/>
        <v>0</v>
      </c>
      <c r="AM287" s="180">
        <f t="shared" si="19"/>
        <v>2</v>
      </c>
      <c r="AN287" s="180">
        <f t="shared" si="19"/>
        <v>2</v>
      </c>
      <c r="AO287" s="180">
        <f t="shared" si="19"/>
        <v>2</v>
      </c>
      <c r="AP287" s="180">
        <f t="shared" si="19"/>
        <v>2</v>
      </c>
      <c r="AQ287" s="180">
        <f t="shared" si="19"/>
        <v>2</v>
      </c>
      <c r="AR287" s="180">
        <f t="shared" si="19"/>
        <v>2</v>
      </c>
      <c r="AS287" s="180">
        <f t="shared" si="19"/>
        <v>0</v>
      </c>
      <c r="AT287" s="180">
        <f t="shared" si="19"/>
        <v>2</v>
      </c>
      <c r="AU287" s="180">
        <f t="shared" si="19"/>
        <v>2</v>
      </c>
      <c r="AV287" s="180">
        <f t="shared" si="19"/>
        <v>2</v>
      </c>
      <c r="AW287" s="180">
        <f t="shared" si="19"/>
        <v>2</v>
      </c>
      <c r="AX287" s="180">
        <f t="shared" si="19"/>
        <v>2</v>
      </c>
      <c r="AY287" s="180">
        <f t="shared" si="19"/>
        <v>2</v>
      </c>
      <c r="AZ287" s="180">
        <f t="shared" si="19"/>
        <v>2</v>
      </c>
      <c r="BA287" s="180">
        <f t="shared" si="19"/>
        <v>2</v>
      </c>
      <c r="BB287" s="180">
        <f t="shared" si="19"/>
        <v>1</v>
      </c>
      <c r="BC287" s="180">
        <f t="shared" si="19"/>
        <v>1</v>
      </c>
      <c r="BD287" s="180">
        <f t="shared" si="19"/>
        <v>2</v>
      </c>
      <c r="BE287" s="180">
        <f t="shared" si="19"/>
        <v>2</v>
      </c>
      <c r="BF287" s="180">
        <f t="shared" si="19"/>
        <v>2</v>
      </c>
      <c r="BG287" s="180">
        <f t="shared" si="19"/>
        <v>2</v>
      </c>
      <c r="BH287" s="180">
        <f t="shared" si="19"/>
        <v>1</v>
      </c>
      <c r="BI287" s="180">
        <f t="shared" si="19"/>
        <v>1</v>
      </c>
      <c r="BJ287" s="180">
        <f t="shared" si="19"/>
        <v>2</v>
      </c>
      <c r="BK287" s="180">
        <f t="shared" si="19"/>
        <v>2</v>
      </c>
      <c r="BL287" s="180">
        <f t="shared" si="19"/>
        <v>0</v>
      </c>
      <c r="BM287" s="180">
        <f t="shared" si="19"/>
        <v>2</v>
      </c>
      <c r="BN287" s="180">
        <f t="shared" si="19"/>
        <v>2</v>
      </c>
      <c r="BO287" s="180">
        <f t="shared" si="19"/>
        <v>2</v>
      </c>
      <c r="BP287" s="180">
        <f t="shared" ref="BP287:CZ287" si="20">BP209</f>
        <v>2</v>
      </c>
      <c r="BQ287" s="180">
        <f t="shared" si="20"/>
        <v>2</v>
      </c>
      <c r="BR287" s="180">
        <f t="shared" si="20"/>
        <v>2</v>
      </c>
      <c r="BS287" s="180">
        <f t="shared" si="20"/>
        <v>2</v>
      </c>
      <c r="BT287" s="180">
        <f t="shared" si="20"/>
        <v>2</v>
      </c>
      <c r="BU287" s="180">
        <f t="shared" si="20"/>
        <v>2</v>
      </c>
      <c r="BV287" s="180">
        <f t="shared" si="20"/>
        <v>2</v>
      </c>
      <c r="BW287" s="180">
        <f t="shared" si="20"/>
        <v>2</v>
      </c>
      <c r="BX287" s="180">
        <f t="shared" si="20"/>
        <v>1</v>
      </c>
      <c r="BY287" s="180">
        <f t="shared" si="20"/>
        <v>2</v>
      </c>
      <c r="BZ287" s="180">
        <f t="shared" si="20"/>
        <v>2</v>
      </c>
      <c r="CA287" s="180">
        <f t="shared" si="20"/>
        <v>1</v>
      </c>
      <c r="CB287" s="180">
        <f t="shared" si="20"/>
        <v>2</v>
      </c>
      <c r="CC287" s="180">
        <f t="shared" si="20"/>
        <v>0</v>
      </c>
      <c r="CD287" s="180">
        <f t="shared" si="20"/>
        <v>2</v>
      </c>
      <c r="CE287" s="180">
        <f t="shared" si="20"/>
        <v>0</v>
      </c>
      <c r="CF287" s="180">
        <f t="shared" si="20"/>
        <v>0</v>
      </c>
      <c r="CG287" s="180">
        <f t="shared" si="20"/>
        <v>0</v>
      </c>
      <c r="CH287" s="180">
        <f t="shared" si="20"/>
        <v>0</v>
      </c>
      <c r="CI287" s="180">
        <f t="shared" si="20"/>
        <v>0</v>
      </c>
      <c r="CJ287" s="180">
        <f t="shared" si="20"/>
        <v>0</v>
      </c>
      <c r="CK287" s="180">
        <f t="shared" si="20"/>
        <v>0</v>
      </c>
      <c r="CL287" s="180">
        <f t="shared" si="20"/>
        <v>0</v>
      </c>
      <c r="CM287" s="180">
        <f t="shared" si="20"/>
        <v>0</v>
      </c>
      <c r="CN287" s="180">
        <f t="shared" si="20"/>
        <v>0</v>
      </c>
      <c r="CO287" s="180">
        <f t="shared" si="20"/>
        <v>0</v>
      </c>
      <c r="CP287" s="180">
        <f t="shared" si="20"/>
        <v>0</v>
      </c>
      <c r="CQ287" s="180">
        <f t="shared" si="20"/>
        <v>0</v>
      </c>
      <c r="CR287" s="180">
        <f t="shared" si="20"/>
        <v>0</v>
      </c>
      <c r="CS287" s="180">
        <f t="shared" si="20"/>
        <v>0</v>
      </c>
      <c r="CT287" s="180">
        <f t="shared" si="20"/>
        <v>0</v>
      </c>
      <c r="CU287" s="180">
        <f t="shared" si="20"/>
        <v>0</v>
      </c>
      <c r="CV287" s="180">
        <f t="shared" si="20"/>
        <v>0</v>
      </c>
      <c r="CW287" s="180">
        <f t="shared" si="20"/>
        <v>0</v>
      </c>
      <c r="CX287" s="180">
        <f t="shared" si="20"/>
        <v>0</v>
      </c>
      <c r="CY287" s="180">
        <f t="shared" si="20"/>
        <v>0</v>
      </c>
      <c r="CZ287" s="180">
        <f t="shared" si="20"/>
        <v>0</v>
      </c>
    </row>
    <row r="288" spans="1:104" x14ac:dyDescent="0.3">
      <c r="A288" s="556">
        <v>953</v>
      </c>
      <c r="B288" s="180"/>
      <c r="C288" s="180">
        <v>211</v>
      </c>
      <c r="D288" s="180">
        <f t="shared" ref="D288:AI288" si="21">D211</f>
        <v>0</v>
      </c>
      <c r="E288" s="180">
        <f t="shared" si="21"/>
        <v>2</v>
      </c>
      <c r="F288" s="180">
        <f t="shared" si="21"/>
        <v>2</v>
      </c>
      <c r="G288" s="180">
        <f t="shared" si="21"/>
        <v>2</v>
      </c>
      <c r="H288" s="180">
        <f t="shared" si="21"/>
        <v>2</v>
      </c>
      <c r="I288" s="180">
        <f t="shared" si="21"/>
        <v>2</v>
      </c>
      <c r="J288" s="180">
        <f t="shared" si="21"/>
        <v>2</v>
      </c>
      <c r="K288" s="180">
        <f t="shared" si="21"/>
        <v>2</v>
      </c>
      <c r="L288" s="180">
        <f t="shared" si="21"/>
        <v>2</v>
      </c>
      <c r="M288" s="180">
        <f t="shared" si="21"/>
        <v>2</v>
      </c>
      <c r="N288" s="180">
        <f t="shared" si="21"/>
        <v>2</v>
      </c>
      <c r="O288" s="180">
        <f t="shared" si="21"/>
        <v>2</v>
      </c>
      <c r="P288" s="180">
        <f t="shared" si="21"/>
        <v>2</v>
      </c>
      <c r="Q288" s="180">
        <f t="shared" si="21"/>
        <v>2</v>
      </c>
      <c r="R288" s="180">
        <f t="shared" si="21"/>
        <v>2</v>
      </c>
      <c r="S288" s="180">
        <f t="shared" si="21"/>
        <v>2</v>
      </c>
      <c r="T288" s="180">
        <f t="shared" si="21"/>
        <v>2</v>
      </c>
      <c r="U288" s="180">
        <f t="shared" si="21"/>
        <v>2</v>
      </c>
      <c r="V288" s="180">
        <f t="shared" si="21"/>
        <v>2</v>
      </c>
      <c r="W288" s="180">
        <f t="shared" si="21"/>
        <v>2</v>
      </c>
      <c r="X288" s="180">
        <f t="shared" si="21"/>
        <v>0</v>
      </c>
      <c r="Y288" s="180">
        <f t="shared" si="21"/>
        <v>2</v>
      </c>
      <c r="Z288" s="180">
        <f t="shared" si="21"/>
        <v>2</v>
      </c>
      <c r="AA288" s="180">
        <f t="shared" si="21"/>
        <v>2</v>
      </c>
      <c r="AB288" s="180">
        <f t="shared" si="21"/>
        <v>2</v>
      </c>
      <c r="AC288" s="180">
        <f t="shared" si="21"/>
        <v>2</v>
      </c>
      <c r="AD288" s="180">
        <f t="shared" si="21"/>
        <v>2</v>
      </c>
      <c r="AE288" s="180">
        <f t="shared" si="21"/>
        <v>2</v>
      </c>
      <c r="AF288" s="180">
        <f t="shared" si="21"/>
        <v>2</v>
      </c>
      <c r="AG288" s="180">
        <f t="shared" si="21"/>
        <v>2</v>
      </c>
      <c r="AH288" s="180">
        <f t="shared" si="21"/>
        <v>2</v>
      </c>
      <c r="AI288" s="180">
        <f t="shared" si="21"/>
        <v>2</v>
      </c>
      <c r="AJ288" s="180">
        <f t="shared" ref="AJ288:BO288" si="22">AJ211</f>
        <v>2</v>
      </c>
      <c r="AK288" s="180">
        <f t="shared" si="22"/>
        <v>0</v>
      </c>
      <c r="AL288" s="180">
        <f t="shared" si="22"/>
        <v>0</v>
      </c>
      <c r="AM288" s="180">
        <f t="shared" si="22"/>
        <v>2</v>
      </c>
      <c r="AN288" s="180">
        <f t="shared" si="22"/>
        <v>2</v>
      </c>
      <c r="AO288" s="180">
        <f t="shared" si="22"/>
        <v>2</v>
      </c>
      <c r="AP288" s="180">
        <f t="shared" si="22"/>
        <v>2</v>
      </c>
      <c r="AQ288" s="180">
        <f t="shared" si="22"/>
        <v>2</v>
      </c>
      <c r="AR288" s="180">
        <f t="shared" si="22"/>
        <v>2</v>
      </c>
      <c r="AS288" s="180">
        <f t="shared" si="22"/>
        <v>0</v>
      </c>
      <c r="AT288" s="180">
        <f t="shared" si="22"/>
        <v>2</v>
      </c>
      <c r="AU288" s="180">
        <f t="shared" si="22"/>
        <v>2</v>
      </c>
      <c r="AV288" s="180">
        <f t="shared" si="22"/>
        <v>2</v>
      </c>
      <c r="AW288" s="180">
        <f t="shared" si="22"/>
        <v>2</v>
      </c>
      <c r="AX288" s="180">
        <f t="shared" si="22"/>
        <v>2</v>
      </c>
      <c r="AY288" s="180">
        <f t="shared" si="22"/>
        <v>2</v>
      </c>
      <c r="AZ288" s="180">
        <f t="shared" si="22"/>
        <v>2</v>
      </c>
      <c r="BA288" s="180">
        <f t="shared" si="22"/>
        <v>2</v>
      </c>
      <c r="BB288" s="180">
        <f t="shared" si="22"/>
        <v>2</v>
      </c>
      <c r="BC288" s="180">
        <f t="shared" si="22"/>
        <v>2</v>
      </c>
      <c r="BD288" s="180">
        <f t="shared" si="22"/>
        <v>2</v>
      </c>
      <c r="BE288" s="180">
        <f t="shared" si="22"/>
        <v>2</v>
      </c>
      <c r="BF288" s="180">
        <f t="shared" si="22"/>
        <v>2</v>
      </c>
      <c r="BG288" s="180">
        <f t="shared" si="22"/>
        <v>2</v>
      </c>
      <c r="BH288" s="180">
        <f t="shared" si="22"/>
        <v>2</v>
      </c>
      <c r="BI288" s="180">
        <f t="shared" si="22"/>
        <v>2</v>
      </c>
      <c r="BJ288" s="180">
        <f t="shared" si="22"/>
        <v>2</v>
      </c>
      <c r="BK288" s="180">
        <f t="shared" si="22"/>
        <v>2</v>
      </c>
      <c r="BL288" s="180">
        <f t="shared" si="22"/>
        <v>0</v>
      </c>
      <c r="BM288" s="180">
        <f t="shared" si="22"/>
        <v>2</v>
      </c>
      <c r="BN288" s="180">
        <f t="shared" si="22"/>
        <v>2</v>
      </c>
      <c r="BO288" s="180">
        <f t="shared" si="22"/>
        <v>2</v>
      </c>
      <c r="BP288" s="180">
        <f t="shared" ref="BP288:CZ288" si="23">BP211</f>
        <v>2</v>
      </c>
      <c r="BQ288" s="180">
        <f t="shared" si="23"/>
        <v>2</v>
      </c>
      <c r="BR288" s="180">
        <f t="shared" si="23"/>
        <v>2</v>
      </c>
      <c r="BS288" s="180">
        <f t="shared" si="23"/>
        <v>2</v>
      </c>
      <c r="BT288" s="180">
        <f t="shared" si="23"/>
        <v>2</v>
      </c>
      <c r="BU288" s="180">
        <f t="shared" si="23"/>
        <v>2</v>
      </c>
      <c r="BV288" s="180">
        <f t="shared" si="23"/>
        <v>2</v>
      </c>
      <c r="BW288" s="180">
        <f t="shared" si="23"/>
        <v>2</v>
      </c>
      <c r="BX288" s="180">
        <f t="shared" si="23"/>
        <v>2</v>
      </c>
      <c r="BY288" s="180">
        <f t="shared" si="23"/>
        <v>2</v>
      </c>
      <c r="BZ288" s="180">
        <f t="shared" si="23"/>
        <v>2</v>
      </c>
      <c r="CA288" s="180">
        <f t="shared" si="23"/>
        <v>2</v>
      </c>
      <c r="CB288" s="180">
        <f t="shared" si="23"/>
        <v>2</v>
      </c>
      <c r="CC288" s="180">
        <f t="shared" si="23"/>
        <v>0</v>
      </c>
      <c r="CD288" s="180">
        <f t="shared" si="23"/>
        <v>2</v>
      </c>
      <c r="CE288" s="180">
        <f t="shared" si="23"/>
        <v>0</v>
      </c>
      <c r="CF288" s="180">
        <f t="shared" si="23"/>
        <v>0</v>
      </c>
      <c r="CG288" s="180">
        <f t="shared" si="23"/>
        <v>0</v>
      </c>
      <c r="CH288" s="180">
        <f t="shared" si="23"/>
        <v>0</v>
      </c>
      <c r="CI288" s="180">
        <f t="shared" si="23"/>
        <v>0</v>
      </c>
      <c r="CJ288" s="180">
        <f t="shared" si="23"/>
        <v>0</v>
      </c>
      <c r="CK288" s="180">
        <f t="shared" si="23"/>
        <v>0</v>
      </c>
      <c r="CL288" s="180">
        <f t="shared" si="23"/>
        <v>0</v>
      </c>
      <c r="CM288" s="180">
        <f t="shared" si="23"/>
        <v>0</v>
      </c>
      <c r="CN288" s="180">
        <f t="shared" si="23"/>
        <v>0</v>
      </c>
      <c r="CO288" s="180">
        <f t="shared" si="23"/>
        <v>0</v>
      </c>
      <c r="CP288" s="180">
        <f t="shared" si="23"/>
        <v>0</v>
      </c>
      <c r="CQ288" s="180">
        <f t="shared" si="23"/>
        <v>0</v>
      </c>
      <c r="CR288" s="180">
        <f t="shared" si="23"/>
        <v>0</v>
      </c>
      <c r="CS288" s="180">
        <f t="shared" si="23"/>
        <v>0</v>
      </c>
      <c r="CT288" s="180">
        <f t="shared" si="23"/>
        <v>0</v>
      </c>
      <c r="CU288" s="180">
        <f t="shared" si="23"/>
        <v>0</v>
      </c>
      <c r="CV288" s="180">
        <f t="shared" si="23"/>
        <v>0</v>
      </c>
      <c r="CW288" s="180">
        <f t="shared" si="23"/>
        <v>0</v>
      </c>
      <c r="CX288" s="180">
        <f t="shared" si="23"/>
        <v>0</v>
      </c>
      <c r="CY288" s="180">
        <f t="shared" si="23"/>
        <v>0</v>
      </c>
      <c r="CZ288" s="180">
        <f t="shared" si="23"/>
        <v>0</v>
      </c>
    </row>
    <row r="289" spans="1:104" x14ac:dyDescent="0.3">
      <c r="A289" s="556">
        <v>955</v>
      </c>
      <c r="B289" s="180"/>
      <c r="C289" s="180">
        <v>213</v>
      </c>
      <c r="D289" s="180">
        <f t="shared" ref="D289:AI289" si="24">D213</f>
        <v>0</v>
      </c>
      <c r="E289" s="180">
        <f t="shared" si="24"/>
        <v>0</v>
      </c>
      <c r="F289" s="180">
        <f t="shared" si="24"/>
        <v>0</v>
      </c>
      <c r="G289" s="180">
        <f t="shared" si="24"/>
        <v>0</v>
      </c>
      <c r="H289" s="180">
        <f t="shared" si="24"/>
        <v>0</v>
      </c>
      <c r="I289" s="180">
        <f t="shared" si="24"/>
        <v>0</v>
      </c>
      <c r="J289" s="180">
        <f t="shared" si="24"/>
        <v>1</v>
      </c>
      <c r="K289" s="180">
        <f t="shared" si="24"/>
        <v>0</v>
      </c>
      <c r="L289" s="180">
        <f t="shared" si="24"/>
        <v>0</v>
      </c>
      <c r="M289" s="180">
        <f t="shared" si="24"/>
        <v>0</v>
      </c>
      <c r="N289" s="180">
        <f t="shared" si="24"/>
        <v>0</v>
      </c>
      <c r="O289" s="180">
        <f t="shared" si="24"/>
        <v>0</v>
      </c>
      <c r="P289" s="180">
        <f t="shared" si="24"/>
        <v>0</v>
      </c>
      <c r="Q289" s="180">
        <f t="shared" si="24"/>
        <v>0</v>
      </c>
      <c r="R289" s="180">
        <f t="shared" si="24"/>
        <v>0</v>
      </c>
      <c r="S289" s="180">
        <f t="shared" si="24"/>
        <v>0</v>
      </c>
      <c r="T289" s="180">
        <f t="shared" si="24"/>
        <v>0</v>
      </c>
      <c r="U289" s="180">
        <f t="shared" si="24"/>
        <v>0</v>
      </c>
      <c r="V289" s="180">
        <f t="shared" si="24"/>
        <v>1</v>
      </c>
      <c r="W289" s="180">
        <f t="shared" si="24"/>
        <v>0</v>
      </c>
      <c r="X289" s="180">
        <f t="shared" si="24"/>
        <v>0</v>
      </c>
      <c r="Y289" s="180">
        <f t="shared" si="24"/>
        <v>0</v>
      </c>
      <c r="Z289" s="180">
        <f t="shared" si="24"/>
        <v>0</v>
      </c>
      <c r="AA289" s="180">
        <f t="shared" si="24"/>
        <v>0</v>
      </c>
      <c r="AB289" s="180">
        <f t="shared" si="24"/>
        <v>0</v>
      </c>
      <c r="AC289" s="180">
        <f t="shared" si="24"/>
        <v>0</v>
      </c>
      <c r="AD289" s="180">
        <f t="shared" si="24"/>
        <v>0</v>
      </c>
      <c r="AE289" s="180">
        <f t="shared" si="24"/>
        <v>0</v>
      </c>
      <c r="AF289" s="180">
        <f t="shared" si="24"/>
        <v>0</v>
      </c>
      <c r="AG289" s="180">
        <f t="shared" si="24"/>
        <v>0</v>
      </c>
      <c r="AH289" s="180">
        <f t="shared" si="24"/>
        <v>1</v>
      </c>
      <c r="AI289" s="180">
        <f t="shared" si="24"/>
        <v>2</v>
      </c>
      <c r="AJ289" s="180">
        <f t="shared" ref="AJ289:BO289" si="25">AJ213</f>
        <v>0</v>
      </c>
      <c r="AK289" s="180">
        <f t="shared" si="25"/>
        <v>0</v>
      </c>
      <c r="AL289" s="180">
        <f t="shared" si="25"/>
        <v>0</v>
      </c>
      <c r="AM289" s="180">
        <f t="shared" si="25"/>
        <v>0</v>
      </c>
      <c r="AN289" s="180">
        <f t="shared" si="25"/>
        <v>0</v>
      </c>
      <c r="AO289" s="180">
        <f t="shared" si="25"/>
        <v>0</v>
      </c>
      <c r="AP289" s="180">
        <f t="shared" si="25"/>
        <v>0</v>
      </c>
      <c r="AQ289" s="180">
        <f t="shared" si="25"/>
        <v>0</v>
      </c>
      <c r="AR289" s="180">
        <f t="shared" si="25"/>
        <v>0</v>
      </c>
      <c r="AS289" s="180">
        <f t="shared" si="25"/>
        <v>0</v>
      </c>
      <c r="AT289" s="180">
        <f t="shared" si="25"/>
        <v>0</v>
      </c>
      <c r="AU289" s="180">
        <f t="shared" si="25"/>
        <v>0</v>
      </c>
      <c r="AV289" s="180">
        <f t="shared" si="25"/>
        <v>0</v>
      </c>
      <c r="AW289" s="180">
        <f t="shared" si="25"/>
        <v>0</v>
      </c>
      <c r="AX289" s="180">
        <f t="shared" si="25"/>
        <v>0</v>
      </c>
      <c r="AY289" s="180">
        <f t="shared" si="25"/>
        <v>0</v>
      </c>
      <c r="AZ289" s="180">
        <f t="shared" si="25"/>
        <v>2</v>
      </c>
      <c r="BA289" s="180">
        <f t="shared" si="25"/>
        <v>1</v>
      </c>
      <c r="BB289" s="180">
        <f t="shared" si="25"/>
        <v>0</v>
      </c>
      <c r="BC289" s="180">
        <f t="shared" si="25"/>
        <v>0</v>
      </c>
      <c r="BD289" s="180">
        <f t="shared" si="25"/>
        <v>0</v>
      </c>
      <c r="BE289" s="180">
        <f t="shared" si="25"/>
        <v>0</v>
      </c>
      <c r="BF289" s="180">
        <f t="shared" si="25"/>
        <v>0</v>
      </c>
      <c r="BG289" s="180">
        <f t="shared" si="25"/>
        <v>0</v>
      </c>
      <c r="BH289" s="180">
        <f t="shared" si="25"/>
        <v>1</v>
      </c>
      <c r="BI289" s="180">
        <f t="shared" si="25"/>
        <v>0</v>
      </c>
      <c r="BJ289" s="180">
        <f t="shared" si="25"/>
        <v>0</v>
      </c>
      <c r="BK289" s="180">
        <f t="shared" si="25"/>
        <v>1</v>
      </c>
      <c r="BL289" s="180">
        <f t="shared" si="25"/>
        <v>0</v>
      </c>
      <c r="BM289" s="180">
        <f t="shared" si="25"/>
        <v>0</v>
      </c>
      <c r="BN289" s="180">
        <f t="shared" si="25"/>
        <v>1</v>
      </c>
      <c r="BO289" s="180">
        <f t="shared" si="25"/>
        <v>2</v>
      </c>
      <c r="BP289" s="180">
        <f t="shared" ref="BP289:CZ289" si="26">BP213</f>
        <v>0</v>
      </c>
      <c r="BQ289" s="180">
        <f t="shared" si="26"/>
        <v>0</v>
      </c>
      <c r="BR289" s="180">
        <f t="shared" si="26"/>
        <v>0</v>
      </c>
      <c r="BS289" s="180">
        <f t="shared" si="26"/>
        <v>0</v>
      </c>
      <c r="BT289" s="180">
        <f t="shared" si="26"/>
        <v>2</v>
      </c>
      <c r="BU289" s="180">
        <f t="shared" si="26"/>
        <v>0</v>
      </c>
      <c r="BV289" s="180">
        <f t="shared" si="26"/>
        <v>0</v>
      </c>
      <c r="BW289" s="180">
        <f t="shared" si="26"/>
        <v>1</v>
      </c>
      <c r="BX289" s="180">
        <f t="shared" si="26"/>
        <v>1</v>
      </c>
      <c r="BY289" s="180">
        <f t="shared" si="26"/>
        <v>0</v>
      </c>
      <c r="BZ289" s="180">
        <f t="shared" si="26"/>
        <v>0</v>
      </c>
      <c r="CA289" s="180">
        <f t="shared" si="26"/>
        <v>0</v>
      </c>
      <c r="CB289" s="180">
        <f t="shared" si="26"/>
        <v>2</v>
      </c>
      <c r="CC289" s="180">
        <f t="shared" si="26"/>
        <v>0</v>
      </c>
      <c r="CD289" s="180">
        <f t="shared" si="26"/>
        <v>0</v>
      </c>
      <c r="CE289" s="180">
        <f t="shared" si="26"/>
        <v>0</v>
      </c>
      <c r="CF289" s="180">
        <f t="shared" si="26"/>
        <v>0</v>
      </c>
      <c r="CG289" s="180">
        <f t="shared" si="26"/>
        <v>0</v>
      </c>
      <c r="CH289" s="180">
        <f t="shared" si="26"/>
        <v>0</v>
      </c>
      <c r="CI289" s="180">
        <f t="shared" si="26"/>
        <v>0</v>
      </c>
      <c r="CJ289" s="180">
        <f t="shared" si="26"/>
        <v>0</v>
      </c>
      <c r="CK289" s="180">
        <f t="shared" si="26"/>
        <v>0</v>
      </c>
      <c r="CL289" s="180">
        <f t="shared" si="26"/>
        <v>0</v>
      </c>
      <c r="CM289" s="180">
        <f t="shared" si="26"/>
        <v>0</v>
      </c>
      <c r="CN289" s="180">
        <f t="shared" si="26"/>
        <v>0</v>
      </c>
      <c r="CO289" s="180">
        <f t="shared" si="26"/>
        <v>0</v>
      </c>
      <c r="CP289" s="180">
        <f t="shared" si="26"/>
        <v>0</v>
      </c>
      <c r="CQ289" s="180">
        <f t="shared" si="26"/>
        <v>0</v>
      </c>
      <c r="CR289" s="180">
        <f t="shared" si="26"/>
        <v>0</v>
      </c>
      <c r="CS289" s="180">
        <f t="shared" si="26"/>
        <v>0</v>
      </c>
      <c r="CT289" s="180">
        <f t="shared" si="26"/>
        <v>0</v>
      </c>
      <c r="CU289" s="180">
        <f t="shared" si="26"/>
        <v>0</v>
      </c>
      <c r="CV289" s="180">
        <f t="shared" si="26"/>
        <v>0</v>
      </c>
      <c r="CW289" s="180">
        <f t="shared" si="26"/>
        <v>0</v>
      </c>
      <c r="CX289" s="180">
        <f t="shared" si="26"/>
        <v>0</v>
      </c>
      <c r="CY289" s="180">
        <f t="shared" si="26"/>
        <v>0</v>
      </c>
      <c r="CZ289" s="180">
        <f t="shared" si="26"/>
        <v>0</v>
      </c>
    </row>
    <row r="290" spans="1:104" x14ac:dyDescent="0.3">
      <c r="A290" s="556">
        <v>957</v>
      </c>
      <c r="B290" s="180"/>
      <c r="C290" s="180">
        <v>215</v>
      </c>
      <c r="D290" s="180">
        <f t="shared" ref="D290:AI290" si="27">D215</f>
        <v>0</v>
      </c>
      <c r="E290" s="180">
        <f t="shared" si="27"/>
        <v>0</v>
      </c>
      <c r="F290" s="180">
        <f t="shared" si="27"/>
        <v>0</v>
      </c>
      <c r="G290" s="180">
        <f t="shared" si="27"/>
        <v>0</v>
      </c>
      <c r="H290" s="180">
        <f t="shared" si="27"/>
        <v>0</v>
      </c>
      <c r="I290" s="180">
        <f t="shared" si="27"/>
        <v>0</v>
      </c>
      <c r="J290" s="180">
        <f t="shared" si="27"/>
        <v>0</v>
      </c>
      <c r="K290" s="180">
        <f t="shared" si="27"/>
        <v>0</v>
      </c>
      <c r="L290" s="180">
        <f t="shared" si="27"/>
        <v>0</v>
      </c>
      <c r="M290" s="180">
        <f t="shared" si="27"/>
        <v>0</v>
      </c>
      <c r="N290" s="180">
        <f t="shared" si="27"/>
        <v>0</v>
      </c>
      <c r="O290" s="180">
        <f t="shared" si="27"/>
        <v>0</v>
      </c>
      <c r="P290" s="180">
        <f t="shared" si="27"/>
        <v>0</v>
      </c>
      <c r="Q290" s="180">
        <f t="shared" si="27"/>
        <v>0</v>
      </c>
      <c r="R290" s="180">
        <f t="shared" si="27"/>
        <v>0</v>
      </c>
      <c r="S290" s="180">
        <f t="shared" si="27"/>
        <v>0</v>
      </c>
      <c r="T290" s="180">
        <f t="shared" si="27"/>
        <v>0</v>
      </c>
      <c r="U290" s="180">
        <f t="shared" si="27"/>
        <v>0</v>
      </c>
      <c r="V290" s="180">
        <f t="shared" si="27"/>
        <v>0</v>
      </c>
      <c r="W290" s="180">
        <f t="shared" si="27"/>
        <v>0</v>
      </c>
      <c r="X290" s="180">
        <f t="shared" si="27"/>
        <v>0</v>
      </c>
      <c r="Y290" s="180">
        <f t="shared" si="27"/>
        <v>0</v>
      </c>
      <c r="Z290" s="180">
        <f t="shared" si="27"/>
        <v>0</v>
      </c>
      <c r="AA290" s="180">
        <f t="shared" si="27"/>
        <v>0</v>
      </c>
      <c r="AB290" s="180">
        <f t="shared" si="27"/>
        <v>1</v>
      </c>
      <c r="AC290" s="180">
        <f t="shared" si="27"/>
        <v>0</v>
      </c>
      <c r="AD290" s="180">
        <f t="shared" si="27"/>
        <v>0</v>
      </c>
      <c r="AE290" s="180">
        <f t="shared" si="27"/>
        <v>0</v>
      </c>
      <c r="AF290" s="180">
        <f t="shared" si="27"/>
        <v>0</v>
      </c>
      <c r="AG290" s="180">
        <f t="shared" si="27"/>
        <v>0</v>
      </c>
      <c r="AH290" s="180">
        <f t="shared" si="27"/>
        <v>1</v>
      </c>
      <c r="AI290" s="180">
        <f t="shared" si="27"/>
        <v>0</v>
      </c>
      <c r="AJ290" s="180">
        <f t="shared" ref="AJ290:BO290" si="28">AJ215</f>
        <v>0</v>
      </c>
      <c r="AK290" s="180">
        <f t="shared" si="28"/>
        <v>0</v>
      </c>
      <c r="AL290" s="180">
        <f t="shared" si="28"/>
        <v>0</v>
      </c>
      <c r="AM290" s="180">
        <f t="shared" si="28"/>
        <v>0</v>
      </c>
      <c r="AN290" s="180">
        <f t="shared" si="28"/>
        <v>0</v>
      </c>
      <c r="AO290" s="180">
        <f t="shared" si="28"/>
        <v>0</v>
      </c>
      <c r="AP290" s="180">
        <f t="shared" si="28"/>
        <v>0</v>
      </c>
      <c r="AQ290" s="180">
        <f t="shared" si="28"/>
        <v>0</v>
      </c>
      <c r="AR290" s="180">
        <f t="shared" si="28"/>
        <v>0</v>
      </c>
      <c r="AS290" s="180">
        <f t="shared" si="28"/>
        <v>0</v>
      </c>
      <c r="AT290" s="180">
        <f t="shared" si="28"/>
        <v>2</v>
      </c>
      <c r="AU290" s="180">
        <f t="shared" si="28"/>
        <v>0</v>
      </c>
      <c r="AV290" s="180">
        <f t="shared" si="28"/>
        <v>1</v>
      </c>
      <c r="AW290" s="180">
        <f t="shared" si="28"/>
        <v>0</v>
      </c>
      <c r="AX290" s="180">
        <f t="shared" si="28"/>
        <v>0</v>
      </c>
      <c r="AY290" s="180">
        <f t="shared" si="28"/>
        <v>0</v>
      </c>
      <c r="AZ290" s="180">
        <f t="shared" si="28"/>
        <v>0</v>
      </c>
      <c r="BA290" s="180">
        <f t="shared" si="28"/>
        <v>0</v>
      </c>
      <c r="BB290" s="180">
        <f t="shared" si="28"/>
        <v>0</v>
      </c>
      <c r="BC290" s="180">
        <f t="shared" si="28"/>
        <v>0</v>
      </c>
      <c r="BD290" s="180">
        <f t="shared" si="28"/>
        <v>0</v>
      </c>
      <c r="BE290" s="180">
        <f t="shared" si="28"/>
        <v>0</v>
      </c>
      <c r="BF290" s="180">
        <f t="shared" si="28"/>
        <v>0</v>
      </c>
      <c r="BG290" s="180">
        <f t="shared" si="28"/>
        <v>1</v>
      </c>
      <c r="BH290" s="180">
        <f t="shared" si="28"/>
        <v>0</v>
      </c>
      <c r="BI290" s="180">
        <f t="shared" si="28"/>
        <v>0</v>
      </c>
      <c r="BJ290" s="180">
        <f t="shared" si="28"/>
        <v>0</v>
      </c>
      <c r="BK290" s="180">
        <f t="shared" si="28"/>
        <v>0</v>
      </c>
      <c r="BL290" s="180">
        <f t="shared" si="28"/>
        <v>0</v>
      </c>
      <c r="BM290" s="180">
        <f t="shared" si="28"/>
        <v>0</v>
      </c>
      <c r="BN290" s="180">
        <f t="shared" si="28"/>
        <v>0</v>
      </c>
      <c r="BO290" s="180">
        <f t="shared" si="28"/>
        <v>0</v>
      </c>
      <c r="BP290" s="180">
        <f t="shared" ref="BP290:CZ290" si="29">BP215</f>
        <v>0</v>
      </c>
      <c r="BQ290" s="180">
        <f t="shared" si="29"/>
        <v>0</v>
      </c>
      <c r="BR290" s="180">
        <f t="shared" si="29"/>
        <v>0</v>
      </c>
      <c r="BS290" s="180">
        <f t="shared" si="29"/>
        <v>1</v>
      </c>
      <c r="BT290" s="180">
        <f t="shared" si="29"/>
        <v>0</v>
      </c>
      <c r="BU290" s="180">
        <f t="shared" si="29"/>
        <v>0</v>
      </c>
      <c r="BV290" s="180">
        <f t="shared" si="29"/>
        <v>0</v>
      </c>
      <c r="BW290" s="180">
        <f t="shared" si="29"/>
        <v>5</v>
      </c>
      <c r="BX290" s="180">
        <f t="shared" si="29"/>
        <v>1</v>
      </c>
      <c r="BY290" s="180">
        <f t="shared" si="29"/>
        <v>0</v>
      </c>
      <c r="BZ290" s="180">
        <f t="shared" si="29"/>
        <v>3</v>
      </c>
      <c r="CA290" s="180">
        <f t="shared" si="29"/>
        <v>0</v>
      </c>
      <c r="CB290" s="180">
        <f t="shared" si="29"/>
        <v>0</v>
      </c>
      <c r="CC290" s="180">
        <f t="shared" si="29"/>
        <v>0</v>
      </c>
      <c r="CD290" s="180">
        <f t="shared" si="29"/>
        <v>0</v>
      </c>
      <c r="CE290" s="180">
        <f t="shared" si="29"/>
        <v>0</v>
      </c>
      <c r="CF290" s="180">
        <f t="shared" si="29"/>
        <v>0</v>
      </c>
      <c r="CG290" s="180">
        <f t="shared" si="29"/>
        <v>0</v>
      </c>
      <c r="CH290" s="180">
        <f t="shared" si="29"/>
        <v>0</v>
      </c>
      <c r="CI290" s="180">
        <f t="shared" si="29"/>
        <v>0</v>
      </c>
      <c r="CJ290" s="180">
        <f t="shared" si="29"/>
        <v>0</v>
      </c>
      <c r="CK290" s="180">
        <f t="shared" si="29"/>
        <v>0</v>
      </c>
      <c r="CL290" s="180">
        <f t="shared" si="29"/>
        <v>0</v>
      </c>
      <c r="CM290" s="180">
        <f t="shared" si="29"/>
        <v>0</v>
      </c>
      <c r="CN290" s="180">
        <f t="shared" si="29"/>
        <v>0</v>
      </c>
      <c r="CO290" s="180">
        <f t="shared" si="29"/>
        <v>0</v>
      </c>
      <c r="CP290" s="180">
        <f t="shared" si="29"/>
        <v>0</v>
      </c>
      <c r="CQ290" s="180">
        <f t="shared" si="29"/>
        <v>0</v>
      </c>
      <c r="CR290" s="180">
        <f t="shared" si="29"/>
        <v>0</v>
      </c>
      <c r="CS290" s="180">
        <f t="shared" si="29"/>
        <v>0</v>
      </c>
      <c r="CT290" s="180">
        <f t="shared" si="29"/>
        <v>0</v>
      </c>
      <c r="CU290" s="180">
        <f t="shared" si="29"/>
        <v>0</v>
      </c>
      <c r="CV290" s="180">
        <f t="shared" si="29"/>
        <v>0</v>
      </c>
      <c r="CW290" s="180">
        <f t="shared" si="29"/>
        <v>0</v>
      </c>
      <c r="CX290" s="180">
        <f t="shared" si="29"/>
        <v>0</v>
      </c>
      <c r="CY290" s="180">
        <f t="shared" si="29"/>
        <v>0</v>
      </c>
      <c r="CZ290" s="180">
        <f t="shared" si="29"/>
        <v>0</v>
      </c>
    </row>
    <row r="291" spans="1:104" x14ac:dyDescent="0.3">
      <c r="A291" s="556">
        <v>959</v>
      </c>
      <c r="B291" s="180"/>
      <c r="C291" s="180">
        <v>217</v>
      </c>
      <c r="D291" s="180">
        <f t="shared" ref="D291:AI291" si="30">D217</f>
        <v>0</v>
      </c>
      <c r="E291" s="180">
        <f t="shared" si="30"/>
        <v>2</v>
      </c>
      <c r="F291" s="180">
        <f t="shared" si="30"/>
        <v>2</v>
      </c>
      <c r="G291" s="180">
        <f t="shared" si="30"/>
        <v>2</v>
      </c>
      <c r="H291" s="180">
        <f t="shared" si="30"/>
        <v>2</v>
      </c>
      <c r="I291" s="180">
        <f t="shared" si="30"/>
        <v>3</v>
      </c>
      <c r="J291" s="180">
        <f t="shared" si="30"/>
        <v>2</v>
      </c>
      <c r="K291" s="180">
        <f t="shared" si="30"/>
        <v>2</v>
      </c>
      <c r="L291" s="180">
        <f t="shared" si="30"/>
        <v>3</v>
      </c>
      <c r="M291" s="180">
        <f t="shared" si="30"/>
        <v>2</v>
      </c>
      <c r="N291" s="180">
        <f t="shared" si="30"/>
        <v>2</v>
      </c>
      <c r="O291" s="180">
        <f t="shared" si="30"/>
        <v>3</v>
      </c>
      <c r="P291" s="180">
        <f t="shared" si="30"/>
        <v>3</v>
      </c>
      <c r="Q291" s="180">
        <f t="shared" si="30"/>
        <v>2</v>
      </c>
      <c r="R291" s="180">
        <f t="shared" si="30"/>
        <v>2</v>
      </c>
      <c r="S291" s="180">
        <f t="shared" si="30"/>
        <v>3</v>
      </c>
      <c r="T291" s="180">
        <f t="shared" si="30"/>
        <v>2</v>
      </c>
      <c r="U291" s="180">
        <f t="shared" si="30"/>
        <v>2</v>
      </c>
      <c r="V291" s="180">
        <f t="shared" si="30"/>
        <v>2</v>
      </c>
      <c r="W291" s="180">
        <f t="shared" si="30"/>
        <v>2</v>
      </c>
      <c r="X291" s="180">
        <f t="shared" si="30"/>
        <v>0</v>
      </c>
      <c r="Y291" s="180">
        <f t="shared" si="30"/>
        <v>2</v>
      </c>
      <c r="Z291" s="180">
        <f t="shared" si="30"/>
        <v>2</v>
      </c>
      <c r="AA291" s="180">
        <f t="shared" si="30"/>
        <v>2</v>
      </c>
      <c r="AB291" s="180">
        <f t="shared" si="30"/>
        <v>2</v>
      </c>
      <c r="AC291" s="180">
        <f t="shared" si="30"/>
        <v>3</v>
      </c>
      <c r="AD291" s="180">
        <f t="shared" si="30"/>
        <v>2</v>
      </c>
      <c r="AE291" s="180">
        <f t="shared" si="30"/>
        <v>2</v>
      </c>
      <c r="AF291" s="180">
        <f t="shared" si="30"/>
        <v>3</v>
      </c>
      <c r="AG291" s="180">
        <f t="shared" si="30"/>
        <v>2</v>
      </c>
      <c r="AH291" s="180">
        <f t="shared" si="30"/>
        <v>2</v>
      </c>
      <c r="AI291" s="180">
        <f t="shared" si="30"/>
        <v>2</v>
      </c>
      <c r="AJ291" s="180">
        <f t="shared" ref="AJ291:BO291" si="31">AJ217</f>
        <v>3</v>
      </c>
      <c r="AK291" s="180">
        <f t="shared" si="31"/>
        <v>0</v>
      </c>
      <c r="AL291" s="180">
        <f t="shared" si="31"/>
        <v>0</v>
      </c>
      <c r="AM291" s="180">
        <f t="shared" si="31"/>
        <v>2</v>
      </c>
      <c r="AN291" s="180">
        <f t="shared" si="31"/>
        <v>2</v>
      </c>
      <c r="AO291" s="180">
        <f t="shared" si="31"/>
        <v>2</v>
      </c>
      <c r="AP291" s="180">
        <f t="shared" si="31"/>
        <v>2</v>
      </c>
      <c r="AQ291" s="180">
        <f t="shared" si="31"/>
        <v>2</v>
      </c>
      <c r="AR291" s="180">
        <f t="shared" si="31"/>
        <v>2</v>
      </c>
      <c r="AS291" s="180">
        <f t="shared" si="31"/>
        <v>0</v>
      </c>
      <c r="AT291" s="180">
        <f t="shared" si="31"/>
        <v>2</v>
      </c>
      <c r="AU291" s="180">
        <f t="shared" si="31"/>
        <v>3</v>
      </c>
      <c r="AV291" s="180">
        <f t="shared" si="31"/>
        <v>2</v>
      </c>
      <c r="AW291" s="180">
        <f t="shared" si="31"/>
        <v>2</v>
      </c>
      <c r="AX291" s="180">
        <f t="shared" si="31"/>
        <v>2</v>
      </c>
      <c r="AY291" s="180">
        <f t="shared" si="31"/>
        <v>2</v>
      </c>
      <c r="AZ291" s="180">
        <f t="shared" si="31"/>
        <v>2</v>
      </c>
      <c r="BA291" s="180">
        <f t="shared" si="31"/>
        <v>3</v>
      </c>
      <c r="BB291" s="180">
        <f t="shared" si="31"/>
        <v>3</v>
      </c>
      <c r="BC291" s="180">
        <f t="shared" si="31"/>
        <v>2</v>
      </c>
      <c r="BD291" s="180">
        <f t="shared" si="31"/>
        <v>2</v>
      </c>
      <c r="BE291" s="180">
        <f t="shared" si="31"/>
        <v>2</v>
      </c>
      <c r="BF291" s="180">
        <f t="shared" si="31"/>
        <v>2</v>
      </c>
      <c r="BG291" s="180">
        <f t="shared" si="31"/>
        <v>3</v>
      </c>
      <c r="BH291" s="180">
        <f t="shared" si="31"/>
        <v>3</v>
      </c>
      <c r="BI291" s="180">
        <f t="shared" si="31"/>
        <v>2</v>
      </c>
      <c r="BJ291" s="180">
        <f t="shared" si="31"/>
        <v>2</v>
      </c>
      <c r="BK291" s="180">
        <f t="shared" si="31"/>
        <v>2</v>
      </c>
      <c r="BL291" s="180">
        <f t="shared" si="31"/>
        <v>0</v>
      </c>
      <c r="BM291" s="180">
        <f t="shared" si="31"/>
        <v>2</v>
      </c>
      <c r="BN291" s="180">
        <f t="shared" si="31"/>
        <v>2</v>
      </c>
      <c r="BO291" s="180">
        <f t="shared" si="31"/>
        <v>2</v>
      </c>
      <c r="BP291" s="180">
        <f t="shared" ref="BP291:CZ291" si="32">BP217</f>
        <v>2</v>
      </c>
      <c r="BQ291" s="180">
        <f t="shared" si="32"/>
        <v>2</v>
      </c>
      <c r="BR291" s="180">
        <f t="shared" si="32"/>
        <v>2</v>
      </c>
      <c r="BS291" s="180">
        <f t="shared" si="32"/>
        <v>2</v>
      </c>
      <c r="BT291" s="180">
        <f t="shared" si="32"/>
        <v>2</v>
      </c>
      <c r="BU291" s="180">
        <f t="shared" si="32"/>
        <v>2</v>
      </c>
      <c r="BV291" s="180">
        <f t="shared" si="32"/>
        <v>3</v>
      </c>
      <c r="BW291" s="180">
        <f t="shared" si="32"/>
        <v>2</v>
      </c>
      <c r="BX291" s="180">
        <f t="shared" si="32"/>
        <v>2</v>
      </c>
      <c r="BY291" s="180">
        <f t="shared" si="32"/>
        <v>3</v>
      </c>
      <c r="BZ291" s="180">
        <f t="shared" si="32"/>
        <v>2</v>
      </c>
      <c r="CA291" s="180">
        <f t="shared" si="32"/>
        <v>2</v>
      </c>
      <c r="CB291" s="180">
        <f t="shared" si="32"/>
        <v>2</v>
      </c>
      <c r="CC291" s="180">
        <f t="shared" si="32"/>
        <v>0</v>
      </c>
      <c r="CD291" s="180">
        <f t="shared" si="32"/>
        <v>2</v>
      </c>
      <c r="CE291" s="180">
        <f t="shared" si="32"/>
        <v>0</v>
      </c>
      <c r="CF291" s="180">
        <f t="shared" si="32"/>
        <v>0</v>
      </c>
      <c r="CG291" s="180">
        <f t="shared" si="32"/>
        <v>0</v>
      </c>
      <c r="CH291" s="180">
        <f t="shared" si="32"/>
        <v>0</v>
      </c>
      <c r="CI291" s="180">
        <f t="shared" si="32"/>
        <v>0</v>
      </c>
      <c r="CJ291" s="180">
        <f t="shared" si="32"/>
        <v>0</v>
      </c>
      <c r="CK291" s="180">
        <f t="shared" si="32"/>
        <v>0</v>
      </c>
      <c r="CL291" s="180">
        <f t="shared" si="32"/>
        <v>0</v>
      </c>
      <c r="CM291" s="180">
        <f t="shared" si="32"/>
        <v>0</v>
      </c>
      <c r="CN291" s="180">
        <f t="shared" si="32"/>
        <v>0</v>
      </c>
      <c r="CO291" s="180">
        <f t="shared" si="32"/>
        <v>0</v>
      </c>
      <c r="CP291" s="180">
        <f t="shared" si="32"/>
        <v>0</v>
      </c>
      <c r="CQ291" s="180">
        <f t="shared" si="32"/>
        <v>0</v>
      </c>
      <c r="CR291" s="180">
        <f t="shared" si="32"/>
        <v>0</v>
      </c>
      <c r="CS291" s="180">
        <f t="shared" si="32"/>
        <v>0</v>
      </c>
      <c r="CT291" s="180">
        <f t="shared" si="32"/>
        <v>0</v>
      </c>
      <c r="CU291" s="180">
        <f t="shared" si="32"/>
        <v>0</v>
      </c>
      <c r="CV291" s="180">
        <f t="shared" si="32"/>
        <v>0</v>
      </c>
      <c r="CW291" s="180">
        <f t="shared" si="32"/>
        <v>0</v>
      </c>
      <c r="CX291" s="180">
        <f t="shared" si="32"/>
        <v>0</v>
      </c>
      <c r="CY291" s="180">
        <f t="shared" si="32"/>
        <v>0</v>
      </c>
      <c r="CZ291" s="180">
        <f t="shared" si="32"/>
        <v>0</v>
      </c>
    </row>
    <row r="292" spans="1:104" x14ac:dyDescent="0.3">
      <c r="A292" s="556">
        <v>973</v>
      </c>
      <c r="B292" s="180"/>
      <c r="C292" s="180">
        <v>223</v>
      </c>
      <c r="D292" s="180">
        <f t="shared" ref="D292:AI292" si="33">D223</f>
        <v>0</v>
      </c>
      <c r="E292" s="180">
        <f t="shared" si="33"/>
        <v>0</v>
      </c>
      <c r="F292" s="180">
        <f t="shared" si="33"/>
        <v>0</v>
      </c>
      <c r="G292" s="180">
        <f t="shared" si="33"/>
        <v>0</v>
      </c>
      <c r="H292" s="180">
        <f t="shared" si="33"/>
        <v>0</v>
      </c>
      <c r="I292" s="180">
        <f t="shared" si="33"/>
        <v>0</v>
      </c>
      <c r="J292" s="180">
        <f t="shared" si="33"/>
        <v>0</v>
      </c>
      <c r="K292" s="180">
        <f t="shared" si="33"/>
        <v>0</v>
      </c>
      <c r="L292" s="180">
        <f t="shared" si="33"/>
        <v>0</v>
      </c>
      <c r="M292" s="180">
        <f t="shared" si="33"/>
        <v>0</v>
      </c>
      <c r="N292" s="180">
        <f t="shared" si="33"/>
        <v>0</v>
      </c>
      <c r="O292" s="180">
        <f t="shared" si="33"/>
        <v>0</v>
      </c>
      <c r="P292" s="180">
        <f t="shared" si="33"/>
        <v>1</v>
      </c>
      <c r="Q292" s="180">
        <f t="shared" si="33"/>
        <v>0</v>
      </c>
      <c r="R292" s="180">
        <f t="shared" si="33"/>
        <v>0</v>
      </c>
      <c r="S292" s="180">
        <f t="shared" si="33"/>
        <v>0</v>
      </c>
      <c r="T292" s="180">
        <f t="shared" si="33"/>
        <v>0</v>
      </c>
      <c r="U292" s="180">
        <f t="shared" si="33"/>
        <v>0</v>
      </c>
      <c r="V292" s="180">
        <f t="shared" si="33"/>
        <v>0</v>
      </c>
      <c r="W292" s="180">
        <f t="shared" si="33"/>
        <v>0</v>
      </c>
      <c r="X292" s="180">
        <f t="shared" si="33"/>
        <v>0</v>
      </c>
      <c r="Y292" s="180">
        <f t="shared" si="33"/>
        <v>0</v>
      </c>
      <c r="Z292" s="180">
        <f t="shared" si="33"/>
        <v>1</v>
      </c>
      <c r="AA292" s="180">
        <f t="shared" si="33"/>
        <v>0</v>
      </c>
      <c r="AB292" s="180">
        <f t="shared" si="33"/>
        <v>0</v>
      </c>
      <c r="AC292" s="180">
        <f t="shared" si="33"/>
        <v>0</v>
      </c>
      <c r="AD292" s="180">
        <f t="shared" si="33"/>
        <v>0</v>
      </c>
      <c r="AE292" s="180">
        <f t="shared" si="33"/>
        <v>0</v>
      </c>
      <c r="AF292" s="180">
        <f t="shared" si="33"/>
        <v>0</v>
      </c>
      <c r="AG292" s="180">
        <f t="shared" si="33"/>
        <v>1</v>
      </c>
      <c r="AH292" s="180">
        <f t="shared" si="33"/>
        <v>0</v>
      </c>
      <c r="AI292" s="180">
        <f t="shared" si="33"/>
        <v>0</v>
      </c>
      <c r="AJ292" s="180">
        <f t="shared" ref="AJ292:BO292" si="34">AJ223</f>
        <v>0</v>
      </c>
      <c r="AK292" s="180">
        <f t="shared" si="34"/>
        <v>0</v>
      </c>
      <c r="AL292" s="180">
        <f t="shared" si="34"/>
        <v>0</v>
      </c>
      <c r="AM292" s="180">
        <f t="shared" si="34"/>
        <v>0</v>
      </c>
      <c r="AN292" s="180">
        <f t="shared" si="34"/>
        <v>0</v>
      </c>
      <c r="AO292" s="180">
        <f t="shared" si="34"/>
        <v>0</v>
      </c>
      <c r="AP292" s="180">
        <f t="shared" si="34"/>
        <v>0</v>
      </c>
      <c r="AQ292" s="180">
        <f t="shared" si="34"/>
        <v>0</v>
      </c>
      <c r="AR292" s="180">
        <f t="shared" si="34"/>
        <v>0</v>
      </c>
      <c r="AS292" s="180">
        <f t="shared" si="34"/>
        <v>0</v>
      </c>
      <c r="AT292" s="180">
        <f t="shared" si="34"/>
        <v>1</v>
      </c>
      <c r="AU292" s="180">
        <f t="shared" si="34"/>
        <v>0</v>
      </c>
      <c r="AV292" s="180">
        <f t="shared" si="34"/>
        <v>0</v>
      </c>
      <c r="AW292" s="180">
        <f t="shared" si="34"/>
        <v>0</v>
      </c>
      <c r="AX292" s="180">
        <f t="shared" si="34"/>
        <v>0</v>
      </c>
      <c r="AY292" s="180">
        <f t="shared" si="34"/>
        <v>0</v>
      </c>
      <c r="AZ292" s="180">
        <f t="shared" si="34"/>
        <v>0</v>
      </c>
      <c r="BA292" s="180">
        <f t="shared" si="34"/>
        <v>0</v>
      </c>
      <c r="BB292" s="180">
        <f t="shared" si="34"/>
        <v>0</v>
      </c>
      <c r="BC292" s="180">
        <f t="shared" si="34"/>
        <v>0</v>
      </c>
      <c r="BD292" s="180">
        <f t="shared" si="34"/>
        <v>0</v>
      </c>
      <c r="BE292" s="180">
        <f t="shared" si="34"/>
        <v>0</v>
      </c>
      <c r="BF292" s="180">
        <f t="shared" si="34"/>
        <v>0</v>
      </c>
      <c r="BG292" s="180">
        <f t="shared" si="34"/>
        <v>0</v>
      </c>
      <c r="BH292" s="180">
        <f t="shared" si="34"/>
        <v>0</v>
      </c>
      <c r="BI292" s="180">
        <f t="shared" si="34"/>
        <v>0</v>
      </c>
      <c r="BJ292" s="180">
        <f t="shared" si="34"/>
        <v>0</v>
      </c>
      <c r="BK292" s="180">
        <f t="shared" si="34"/>
        <v>0</v>
      </c>
      <c r="BL292" s="180">
        <f t="shared" si="34"/>
        <v>0</v>
      </c>
      <c r="BM292" s="180">
        <f t="shared" si="34"/>
        <v>0</v>
      </c>
      <c r="BN292" s="180">
        <f t="shared" si="34"/>
        <v>0</v>
      </c>
      <c r="BO292" s="180">
        <f t="shared" si="34"/>
        <v>0</v>
      </c>
      <c r="BP292" s="180">
        <f t="shared" ref="BP292:CZ292" si="35">BP223</f>
        <v>0</v>
      </c>
      <c r="BQ292" s="180">
        <f t="shared" si="35"/>
        <v>0</v>
      </c>
      <c r="BR292" s="180">
        <f t="shared" si="35"/>
        <v>0</v>
      </c>
      <c r="BS292" s="180">
        <f t="shared" si="35"/>
        <v>0</v>
      </c>
      <c r="BT292" s="180">
        <f t="shared" si="35"/>
        <v>1</v>
      </c>
      <c r="BU292" s="180">
        <f t="shared" si="35"/>
        <v>0</v>
      </c>
      <c r="BV292" s="180">
        <f t="shared" si="35"/>
        <v>0</v>
      </c>
      <c r="BW292" s="180">
        <f t="shared" si="35"/>
        <v>0</v>
      </c>
      <c r="BX292" s="180">
        <f t="shared" si="35"/>
        <v>0</v>
      </c>
      <c r="BY292" s="180">
        <f t="shared" si="35"/>
        <v>0</v>
      </c>
      <c r="BZ292" s="180">
        <f t="shared" si="35"/>
        <v>0</v>
      </c>
      <c r="CA292" s="180">
        <f t="shared" si="35"/>
        <v>0</v>
      </c>
      <c r="CB292" s="180">
        <f t="shared" si="35"/>
        <v>0</v>
      </c>
      <c r="CC292" s="180">
        <f t="shared" si="35"/>
        <v>0</v>
      </c>
      <c r="CD292" s="180">
        <f t="shared" si="35"/>
        <v>0</v>
      </c>
      <c r="CE292" s="180">
        <f t="shared" si="35"/>
        <v>0</v>
      </c>
      <c r="CF292" s="180">
        <f t="shared" si="35"/>
        <v>0</v>
      </c>
      <c r="CG292" s="180">
        <f t="shared" si="35"/>
        <v>0</v>
      </c>
      <c r="CH292" s="180">
        <f t="shared" si="35"/>
        <v>0</v>
      </c>
      <c r="CI292" s="180">
        <f t="shared" si="35"/>
        <v>0</v>
      </c>
      <c r="CJ292" s="180">
        <f t="shared" si="35"/>
        <v>0</v>
      </c>
      <c r="CK292" s="180">
        <f t="shared" si="35"/>
        <v>0</v>
      </c>
      <c r="CL292" s="180">
        <f t="shared" si="35"/>
        <v>0</v>
      </c>
      <c r="CM292" s="180">
        <f t="shared" si="35"/>
        <v>0</v>
      </c>
      <c r="CN292" s="180">
        <f t="shared" si="35"/>
        <v>0</v>
      </c>
      <c r="CO292" s="180">
        <f t="shared" si="35"/>
        <v>0</v>
      </c>
      <c r="CP292" s="180">
        <f t="shared" si="35"/>
        <v>0</v>
      </c>
      <c r="CQ292" s="180">
        <f t="shared" si="35"/>
        <v>0</v>
      </c>
      <c r="CR292" s="180">
        <f t="shared" si="35"/>
        <v>0</v>
      </c>
      <c r="CS292" s="180">
        <f t="shared" si="35"/>
        <v>0</v>
      </c>
      <c r="CT292" s="180">
        <f t="shared" si="35"/>
        <v>0</v>
      </c>
      <c r="CU292" s="180">
        <f t="shared" si="35"/>
        <v>0</v>
      </c>
      <c r="CV292" s="180">
        <f t="shared" si="35"/>
        <v>0</v>
      </c>
      <c r="CW292" s="180">
        <f t="shared" si="35"/>
        <v>0</v>
      </c>
      <c r="CX292" s="180">
        <f t="shared" si="35"/>
        <v>0</v>
      </c>
      <c r="CY292" s="180">
        <f t="shared" si="35"/>
        <v>0</v>
      </c>
      <c r="CZ292" s="180">
        <f t="shared" si="35"/>
        <v>0</v>
      </c>
    </row>
    <row r="293" spans="1:104" x14ac:dyDescent="0.3">
      <c r="A293" s="556">
        <v>974</v>
      </c>
      <c r="B293" s="180"/>
      <c r="C293" s="180">
        <v>223</v>
      </c>
      <c r="D293" s="180">
        <f t="shared" ref="D293:AI293" si="36">D224</f>
        <v>0</v>
      </c>
      <c r="E293" s="180">
        <f t="shared" si="36"/>
        <v>2</v>
      </c>
      <c r="F293" s="180">
        <f t="shared" si="36"/>
        <v>2</v>
      </c>
      <c r="G293" s="180">
        <f t="shared" si="36"/>
        <v>2</v>
      </c>
      <c r="H293" s="180">
        <f t="shared" si="36"/>
        <v>2</v>
      </c>
      <c r="I293" s="180">
        <f t="shared" si="36"/>
        <v>3</v>
      </c>
      <c r="J293" s="180">
        <f t="shared" si="36"/>
        <v>2</v>
      </c>
      <c r="K293" s="180">
        <f t="shared" si="36"/>
        <v>3</v>
      </c>
      <c r="L293" s="180">
        <f t="shared" si="36"/>
        <v>3</v>
      </c>
      <c r="M293" s="180">
        <f t="shared" si="36"/>
        <v>2</v>
      </c>
      <c r="N293" s="180">
        <f t="shared" si="36"/>
        <v>2</v>
      </c>
      <c r="O293" s="180">
        <f t="shared" si="36"/>
        <v>3</v>
      </c>
      <c r="P293" s="180">
        <f t="shared" si="36"/>
        <v>3</v>
      </c>
      <c r="Q293" s="180">
        <f t="shared" si="36"/>
        <v>2</v>
      </c>
      <c r="R293" s="180">
        <f t="shared" si="36"/>
        <v>2</v>
      </c>
      <c r="S293" s="180">
        <f t="shared" si="36"/>
        <v>3</v>
      </c>
      <c r="T293" s="180">
        <f t="shared" si="36"/>
        <v>2</v>
      </c>
      <c r="U293" s="180">
        <f t="shared" si="36"/>
        <v>2</v>
      </c>
      <c r="V293" s="180">
        <f t="shared" si="36"/>
        <v>2</v>
      </c>
      <c r="W293" s="180">
        <f t="shared" si="36"/>
        <v>2</v>
      </c>
      <c r="X293" s="180">
        <f t="shared" si="36"/>
        <v>0</v>
      </c>
      <c r="Y293" s="180">
        <f t="shared" si="36"/>
        <v>2</v>
      </c>
      <c r="Z293" s="180">
        <f t="shared" si="36"/>
        <v>2</v>
      </c>
      <c r="AA293" s="180">
        <f t="shared" si="36"/>
        <v>2</v>
      </c>
      <c r="AB293" s="180">
        <f t="shared" si="36"/>
        <v>2</v>
      </c>
      <c r="AC293" s="180">
        <f t="shared" si="36"/>
        <v>3</v>
      </c>
      <c r="AD293" s="180">
        <f t="shared" si="36"/>
        <v>2</v>
      </c>
      <c r="AE293" s="180">
        <f t="shared" si="36"/>
        <v>2</v>
      </c>
      <c r="AF293" s="180">
        <f t="shared" si="36"/>
        <v>3</v>
      </c>
      <c r="AG293" s="180">
        <f t="shared" si="36"/>
        <v>2</v>
      </c>
      <c r="AH293" s="180">
        <f t="shared" si="36"/>
        <v>2</v>
      </c>
      <c r="AI293" s="180">
        <f t="shared" si="36"/>
        <v>2</v>
      </c>
      <c r="AJ293" s="180">
        <f t="shared" ref="AJ293:BO293" si="37">AJ224</f>
        <v>3</v>
      </c>
      <c r="AK293" s="180">
        <f t="shared" si="37"/>
        <v>0</v>
      </c>
      <c r="AL293" s="180">
        <f t="shared" si="37"/>
        <v>0</v>
      </c>
      <c r="AM293" s="180">
        <f t="shared" si="37"/>
        <v>2</v>
      </c>
      <c r="AN293" s="180">
        <f t="shared" si="37"/>
        <v>2</v>
      </c>
      <c r="AO293" s="180">
        <f t="shared" si="37"/>
        <v>2</v>
      </c>
      <c r="AP293" s="180">
        <f t="shared" si="37"/>
        <v>2</v>
      </c>
      <c r="AQ293" s="180">
        <f t="shared" si="37"/>
        <v>2</v>
      </c>
      <c r="AR293" s="180">
        <f t="shared" si="37"/>
        <v>2</v>
      </c>
      <c r="AS293" s="180">
        <f t="shared" si="37"/>
        <v>0</v>
      </c>
      <c r="AT293" s="180">
        <f t="shared" si="37"/>
        <v>2</v>
      </c>
      <c r="AU293" s="180">
        <f t="shared" si="37"/>
        <v>3</v>
      </c>
      <c r="AV293" s="180">
        <f t="shared" si="37"/>
        <v>2</v>
      </c>
      <c r="AW293" s="180">
        <f t="shared" si="37"/>
        <v>2</v>
      </c>
      <c r="AX293" s="180">
        <f t="shared" si="37"/>
        <v>2</v>
      </c>
      <c r="AY293" s="180">
        <f t="shared" si="37"/>
        <v>2</v>
      </c>
      <c r="AZ293" s="180">
        <f t="shared" si="37"/>
        <v>2</v>
      </c>
      <c r="BA293" s="180">
        <f t="shared" si="37"/>
        <v>3</v>
      </c>
      <c r="BB293" s="180">
        <f t="shared" si="37"/>
        <v>3</v>
      </c>
      <c r="BC293" s="180">
        <f t="shared" si="37"/>
        <v>2</v>
      </c>
      <c r="BD293" s="180">
        <f t="shared" si="37"/>
        <v>2</v>
      </c>
      <c r="BE293" s="180">
        <f t="shared" si="37"/>
        <v>2</v>
      </c>
      <c r="BF293" s="180">
        <f t="shared" si="37"/>
        <v>2</v>
      </c>
      <c r="BG293" s="180">
        <f t="shared" si="37"/>
        <v>3</v>
      </c>
      <c r="BH293" s="180">
        <f t="shared" si="37"/>
        <v>3</v>
      </c>
      <c r="BI293" s="180">
        <f t="shared" si="37"/>
        <v>2</v>
      </c>
      <c r="BJ293" s="180">
        <f t="shared" si="37"/>
        <v>2</v>
      </c>
      <c r="BK293" s="180">
        <f t="shared" si="37"/>
        <v>2</v>
      </c>
      <c r="BL293" s="180">
        <f t="shared" si="37"/>
        <v>0</v>
      </c>
      <c r="BM293" s="180">
        <f t="shared" si="37"/>
        <v>2</v>
      </c>
      <c r="BN293" s="180">
        <f t="shared" si="37"/>
        <v>2</v>
      </c>
      <c r="BO293" s="180">
        <f t="shared" si="37"/>
        <v>2</v>
      </c>
      <c r="BP293" s="180">
        <f t="shared" ref="BP293:CZ293" si="38">BP224</f>
        <v>2</v>
      </c>
      <c r="BQ293" s="180">
        <f t="shared" si="38"/>
        <v>2</v>
      </c>
      <c r="BR293" s="180">
        <f t="shared" si="38"/>
        <v>2</v>
      </c>
      <c r="BS293" s="180">
        <f t="shared" si="38"/>
        <v>2</v>
      </c>
      <c r="BT293" s="180">
        <f t="shared" si="38"/>
        <v>2</v>
      </c>
      <c r="BU293" s="180">
        <f t="shared" si="38"/>
        <v>2</v>
      </c>
      <c r="BV293" s="180">
        <f t="shared" si="38"/>
        <v>3</v>
      </c>
      <c r="BW293" s="180">
        <f t="shared" si="38"/>
        <v>2</v>
      </c>
      <c r="BX293" s="180">
        <f t="shared" si="38"/>
        <v>2</v>
      </c>
      <c r="BY293" s="180">
        <f t="shared" si="38"/>
        <v>3</v>
      </c>
      <c r="BZ293" s="180">
        <f t="shared" si="38"/>
        <v>2</v>
      </c>
      <c r="CA293" s="180">
        <f t="shared" si="38"/>
        <v>2</v>
      </c>
      <c r="CB293" s="180">
        <f t="shared" si="38"/>
        <v>2</v>
      </c>
      <c r="CC293" s="180">
        <f t="shared" si="38"/>
        <v>0</v>
      </c>
      <c r="CD293" s="180">
        <f t="shared" si="38"/>
        <v>2</v>
      </c>
      <c r="CE293" s="180">
        <f t="shared" si="38"/>
        <v>0</v>
      </c>
      <c r="CF293" s="180">
        <f t="shared" si="38"/>
        <v>0</v>
      </c>
      <c r="CG293" s="180">
        <f t="shared" si="38"/>
        <v>0</v>
      </c>
      <c r="CH293" s="180">
        <f t="shared" si="38"/>
        <v>0</v>
      </c>
      <c r="CI293" s="180">
        <f t="shared" si="38"/>
        <v>0</v>
      </c>
      <c r="CJ293" s="180">
        <f t="shared" si="38"/>
        <v>0</v>
      </c>
      <c r="CK293" s="180">
        <f t="shared" si="38"/>
        <v>0</v>
      </c>
      <c r="CL293" s="180">
        <f t="shared" si="38"/>
        <v>0</v>
      </c>
      <c r="CM293" s="180">
        <f t="shared" si="38"/>
        <v>0</v>
      </c>
      <c r="CN293" s="180">
        <f t="shared" si="38"/>
        <v>0</v>
      </c>
      <c r="CO293" s="180">
        <f t="shared" si="38"/>
        <v>0</v>
      </c>
      <c r="CP293" s="180">
        <f t="shared" si="38"/>
        <v>0</v>
      </c>
      <c r="CQ293" s="180">
        <f t="shared" si="38"/>
        <v>0</v>
      </c>
      <c r="CR293" s="180">
        <f t="shared" si="38"/>
        <v>0</v>
      </c>
      <c r="CS293" s="180">
        <f t="shared" si="38"/>
        <v>0</v>
      </c>
      <c r="CT293" s="180">
        <f t="shared" si="38"/>
        <v>0</v>
      </c>
      <c r="CU293" s="180">
        <f t="shared" si="38"/>
        <v>0</v>
      </c>
      <c r="CV293" s="180">
        <f t="shared" si="38"/>
        <v>0</v>
      </c>
      <c r="CW293" s="180">
        <f t="shared" si="38"/>
        <v>0</v>
      </c>
      <c r="CX293" s="180">
        <f t="shared" si="38"/>
        <v>0</v>
      </c>
      <c r="CY293" s="180">
        <f t="shared" si="38"/>
        <v>0</v>
      </c>
      <c r="CZ293" s="180">
        <f t="shared" si="38"/>
        <v>0</v>
      </c>
    </row>
    <row r="294" spans="1:104" x14ac:dyDescent="0.3">
      <c r="A294" s="556">
        <v>975</v>
      </c>
      <c r="B294" s="180"/>
      <c r="C294" s="180">
        <v>223</v>
      </c>
      <c r="D294" s="180">
        <f t="shared" ref="D294:AI294" si="39">D225</f>
        <v>0</v>
      </c>
      <c r="E294" s="180">
        <f t="shared" si="39"/>
        <v>1</v>
      </c>
      <c r="F294" s="180">
        <f t="shared" si="39"/>
        <v>1</v>
      </c>
      <c r="G294" s="180">
        <f t="shared" si="39"/>
        <v>2</v>
      </c>
      <c r="H294" s="180">
        <f t="shared" si="39"/>
        <v>2</v>
      </c>
      <c r="I294" s="180">
        <f t="shared" si="39"/>
        <v>2</v>
      </c>
      <c r="J294" s="180">
        <f t="shared" si="39"/>
        <v>1</v>
      </c>
      <c r="K294" s="180">
        <f t="shared" si="39"/>
        <v>2</v>
      </c>
      <c r="L294" s="180">
        <f t="shared" si="39"/>
        <v>2</v>
      </c>
      <c r="M294" s="180">
        <f t="shared" si="39"/>
        <v>2</v>
      </c>
      <c r="N294" s="180">
        <f t="shared" si="39"/>
        <v>2</v>
      </c>
      <c r="O294" s="180">
        <f t="shared" si="39"/>
        <v>2</v>
      </c>
      <c r="P294" s="180">
        <f t="shared" si="39"/>
        <v>1</v>
      </c>
      <c r="Q294" s="180">
        <f t="shared" si="39"/>
        <v>2</v>
      </c>
      <c r="R294" s="180">
        <f t="shared" si="39"/>
        <v>1</v>
      </c>
      <c r="S294" s="180">
        <f t="shared" si="39"/>
        <v>2</v>
      </c>
      <c r="T294" s="180">
        <f t="shared" si="39"/>
        <v>2</v>
      </c>
      <c r="U294" s="180">
        <f t="shared" si="39"/>
        <v>1</v>
      </c>
      <c r="V294" s="180">
        <f t="shared" si="39"/>
        <v>1</v>
      </c>
      <c r="W294" s="180">
        <f t="shared" si="39"/>
        <v>2</v>
      </c>
      <c r="X294" s="180">
        <f t="shared" si="39"/>
        <v>0</v>
      </c>
      <c r="Y294" s="180">
        <f t="shared" si="39"/>
        <v>2</v>
      </c>
      <c r="Z294" s="180">
        <f t="shared" si="39"/>
        <v>1</v>
      </c>
      <c r="AA294" s="180">
        <f t="shared" si="39"/>
        <v>2</v>
      </c>
      <c r="AB294" s="180">
        <f t="shared" si="39"/>
        <v>1</v>
      </c>
      <c r="AC294" s="180">
        <f t="shared" si="39"/>
        <v>2</v>
      </c>
      <c r="AD294" s="180">
        <f t="shared" si="39"/>
        <v>1</v>
      </c>
      <c r="AE294" s="180">
        <f t="shared" si="39"/>
        <v>2</v>
      </c>
      <c r="AF294" s="180">
        <f t="shared" si="39"/>
        <v>1</v>
      </c>
      <c r="AG294" s="180">
        <f t="shared" si="39"/>
        <v>1</v>
      </c>
      <c r="AH294" s="180">
        <f t="shared" si="39"/>
        <v>1</v>
      </c>
      <c r="AI294" s="180">
        <f t="shared" si="39"/>
        <v>1</v>
      </c>
      <c r="AJ294" s="180">
        <f t="shared" ref="AJ294:BO294" si="40">AJ225</f>
        <v>1</v>
      </c>
      <c r="AK294" s="180">
        <f t="shared" si="40"/>
        <v>0</v>
      </c>
      <c r="AL294" s="180">
        <f t="shared" si="40"/>
        <v>0</v>
      </c>
      <c r="AM294" s="180">
        <f t="shared" si="40"/>
        <v>1</v>
      </c>
      <c r="AN294" s="180">
        <f t="shared" si="40"/>
        <v>1</v>
      </c>
      <c r="AO294" s="180">
        <f t="shared" si="40"/>
        <v>1</v>
      </c>
      <c r="AP294" s="180">
        <f t="shared" si="40"/>
        <v>2</v>
      </c>
      <c r="AQ294" s="180">
        <f t="shared" si="40"/>
        <v>1</v>
      </c>
      <c r="AR294" s="180">
        <f t="shared" si="40"/>
        <v>1</v>
      </c>
      <c r="AS294" s="180">
        <f t="shared" si="40"/>
        <v>0</v>
      </c>
      <c r="AT294" s="180">
        <f t="shared" si="40"/>
        <v>1</v>
      </c>
      <c r="AU294" s="180">
        <f t="shared" si="40"/>
        <v>1</v>
      </c>
      <c r="AV294" s="180">
        <f t="shared" si="40"/>
        <v>2</v>
      </c>
      <c r="AW294" s="180">
        <f t="shared" si="40"/>
        <v>2</v>
      </c>
      <c r="AX294" s="180">
        <f t="shared" si="40"/>
        <v>2</v>
      </c>
      <c r="AY294" s="180">
        <f t="shared" si="40"/>
        <v>2</v>
      </c>
      <c r="AZ294" s="180">
        <f t="shared" si="40"/>
        <v>1</v>
      </c>
      <c r="BA294" s="180">
        <f t="shared" si="40"/>
        <v>1</v>
      </c>
      <c r="BB294" s="180">
        <f t="shared" si="40"/>
        <v>1</v>
      </c>
      <c r="BC294" s="180">
        <f t="shared" si="40"/>
        <v>1</v>
      </c>
      <c r="BD294" s="180">
        <f t="shared" si="40"/>
        <v>1</v>
      </c>
      <c r="BE294" s="180">
        <f t="shared" si="40"/>
        <v>1</v>
      </c>
      <c r="BF294" s="180">
        <f t="shared" si="40"/>
        <v>1</v>
      </c>
      <c r="BG294" s="180">
        <f t="shared" si="40"/>
        <v>1</v>
      </c>
      <c r="BH294" s="180">
        <f t="shared" si="40"/>
        <v>1</v>
      </c>
      <c r="BI294" s="180">
        <f t="shared" si="40"/>
        <v>2</v>
      </c>
      <c r="BJ294" s="180">
        <f t="shared" si="40"/>
        <v>2</v>
      </c>
      <c r="BK294" s="180">
        <f t="shared" si="40"/>
        <v>1</v>
      </c>
      <c r="BL294" s="180">
        <f t="shared" si="40"/>
        <v>0</v>
      </c>
      <c r="BM294" s="180">
        <f t="shared" si="40"/>
        <v>1</v>
      </c>
      <c r="BN294" s="180">
        <f t="shared" si="40"/>
        <v>1</v>
      </c>
      <c r="BO294" s="180">
        <f t="shared" si="40"/>
        <v>1</v>
      </c>
      <c r="BP294" s="180">
        <f t="shared" ref="BP294:CZ294" si="41">BP225</f>
        <v>1</v>
      </c>
      <c r="BQ294" s="180">
        <f t="shared" si="41"/>
        <v>2</v>
      </c>
      <c r="BR294" s="180">
        <f t="shared" si="41"/>
        <v>1</v>
      </c>
      <c r="BS294" s="180">
        <f t="shared" si="41"/>
        <v>1</v>
      </c>
      <c r="BT294" s="180">
        <f t="shared" si="41"/>
        <v>1</v>
      </c>
      <c r="BU294" s="180">
        <f t="shared" si="41"/>
        <v>1</v>
      </c>
      <c r="BV294" s="180">
        <f t="shared" si="41"/>
        <v>2</v>
      </c>
      <c r="BW294" s="180">
        <f t="shared" si="41"/>
        <v>1</v>
      </c>
      <c r="BX294" s="180">
        <f t="shared" si="41"/>
        <v>1</v>
      </c>
      <c r="BY294" s="180">
        <f t="shared" si="41"/>
        <v>1</v>
      </c>
      <c r="BZ294" s="180">
        <f t="shared" si="41"/>
        <v>1</v>
      </c>
      <c r="CA294" s="180">
        <f t="shared" si="41"/>
        <v>1</v>
      </c>
      <c r="CB294" s="180">
        <f t="shared" si="41"/>
        <v>1</v>
      </c>
      <c r="CC294" s="180">
        <f t="shared" si="41"/>
        <v>0</v>
      </c>
      <c r="CD294" s="180">
        <f t="shared" si="41"/>
        <v>1</v>
      </c>
      <c r="CE294" s="180">
        <f t="shared" si="41"/>
        <v>0</v>
      </c>
      <c r="CF294" s="180">
        <f t="shared" si="41"/>
        <v>0</v>
      </c>
      <c r="CG294" s="180">
        <f t="shared" si="41"/>
        <v>0</v>
      </c>
      <c r="CH294" s="180">
        <f t="shared" si="41"/>
        <v>0</v>
      </c>
      <c r="CI294" s="180">
        <f t="shared" si="41"/>
        <v>0</v>
      </c>
      <c r="CJ294" s="180">
        <f t="shared" si="41"/>
        <v>0</v>
      </c>
      <c r="CK294" s="180">
        <f t="shared" si="41"/>
        <v>0</v>
      </c>
      <c r="CL294" s="180">
        <f t="shared" si="41"/>
        <v>0</v>
      </c>
      <c r="CM294" s="180">
        <f t="shared" si="41"/>
        <v>0</v>
      </c>
      <c r="CN294" s="180">
        <f t="shared" si="41"/>
        <v>0</v>
      </c>
      <c r="CO294" s="180">
        <f t="shared" si="41"/>
        <v>0</v>
      </c>
      <c r="CP294" s="180">
        <f t="shared" si="41"/>
        <v>0</v>
      </c>
      <c r="CQ294" s="180">
        <f t="shared" si="41"/>
        <v>0</v>
      </c>
      <c r="CR294" s="180">
        <f t="shared" si="41"/>
        <v>0</v>
      </c>
      <c r="CS294" s="180">
        <f t="shared" si="41"/>
        <v>0</v>
      </c>
      <c r="CT294" s="180">
        <f t="shared" si="41"/>
        <v>0</v>
      </c>
      <c r="CU294" s="180">
        <f t="shared" si="41"/>
        <v>0</v>
      </c>
      <c r="CV294" s="180">
        <f t="shared" si="41"/>
        <v>0</v>
      </c>
      <c r="CW294" s="180">
        <f t="shared" si="41"/>
        <v>0</v>
      </c>
      <c r="CX294" s="180">
        <f t="shared" si="41"/>
        <v>0</v>
      </c>
      <c r="CY294" s="180">
        <f t="shared" si="41"/>
        <v>0</v>
      </c>
      <c r="CZ294" s="180">
        <f t="shared" si="41"/>
        <v>0</v>
      </c>
    </row>
    <row r="295" spans="1:104" x14ac:dyDescent="0.3">
      <c r="A295" s="556">
        <v>979</v>
      </c>
      <c r="B295" s="180"/>
      <c r="C295" s="180">
        <v>223</v>
      </c>
      <c r="D295" s="180">
        <f t="shared" ref="D295:AI295" si="42">D226</f>
        <v>0</v>
      </c>
      <c r="E295" s="180">
        <f t="shared" si="42"/>
        <v>2</v>
      </c>
      <c r="F295" s="180">
        <f t="shared" si="42"/>
        <v>2</v>
      </c>
      <c r="G295" s="180">
        <f t="shared" si="42"/>
        <v>1</v>
      </c>
      <c r="H295" s="180">
        <f t="shared" si="42"/>
        <v>1</v>
      </c>
      <c r="I295" s="180">
        <f t="shared" si="42"/>
        <v>1</v>
      </c>
      <c r="J295" s="180">
        <f t="shared" si="42"/>
        <v>1</v>
      </c>
      <c r="K295" s="180">
        <f t="shared" si="42"/>
        <v>1</v>
      </c>
      <c r="L295" s="180">
        <f t="shared" si="42"/>
        <v>1</v>
      </c>
      <c r="M295" s="180">
        <f t="shared" si="42"/>
        <v>1</v>
      </c>
      <c r="N295" s="180">
        <f t="shared" si="42"/>
        <v>1</v>
      </c>
      <c r="O295" s="180">
        <f t="shared" si="42"/>
        <v>1</v>
      </c>
      <c r="P295" s="180">
        <f t="shared" si="42"/>
        <v>1</v>
      </c>
      <c r="Q295" s="180">
        <f t="shared" si="42"/>
        <v>1</v>
      </c>
      <c r="R295" s="180">
        <f t="shared" si="42"/>
        <v>1</v>
      </c>
      <c r="S295" s="180">
        <f t="shared" si="42"/>
        <v>1</v>
      </c>
      <c r="T295" s="180">
        <f t="shared" si="42"/>
        <v>1</v>
      </c>
      <c r="U295" s="180">
        <f t="shared" si="42"/>
        <v>2</v>
      </c>
      <c r="V295" s="180">
        <f t="shared" si="42"/>
        <v>2</v>
      </c>
      <c r="W295" s="180">
        <f t="shared" si="42"/>
        <v>1</v>
      </c>
      <c r="X295" s="180">
        <f t="shared" si="42"/>
        <v>0</v>
      </c>
      <c r="Y295" s="180">
        <f t="shared" si="42"/>
        <v>1</v>
      </c>
      <c r="Z295" s="180">
        <f t="shared" si="42"/>
        <v>2</v>
      </c>
      <c r="AA295" s="180">
        <f t="shared" si="42"/>
        <v>1</v>
      </c>
      <c r="AB295" s="180">
        <f t="shared" si="42"/>
        <v>2</v>
      </c>
      <c r="AC295" s="180">
        <f t="shared" si="42"/>
        <v>1</v>
      </c>
      <c r="AD295" s="180">
        <f t="shared" si="42"/>
        <v>2</v>
      </c>
      <c r="AE295" s="180">
        <f t="shared" si="42"/>
        <v>1</v>
      </c>
      <c r="AF295" s="180">
        <f t="shared" si="42"/>
        <v>1</v>
      </c>
      <c r="AG295" s="180">
        <f t="shared" si="42"/>
        <v>2</v>
      </c>
      <c r="AH295" s="180">
        <f t="shared" si="42"/>
        <v>2</v>
      </c>
      <c r="AI295" s="180">
        <f t="shared" si="42"/>
        <v>1</v>
      </c>
      <c r="AJ295" s="180">
        <f t="shared" ref="AJ295:BO295" si="43">AJ226</f>
        <v>2</v>
      </c>
      <c r="AK295" s="180">
        <f t="shared" si="43"/>
        <v>0</v>
      </c>
      <c r="AL295" s="180">
        <f t="shared" si="43"/>
        <v>0</v>
      </c>
      <c r="AM295" s="180">
        <f t="shared" si="43"/>
        <v>2</v>
      </c>
      <c r="AN295" s="180">
        <f t="shared" si="43"/>
        <v>1</v>
      </c>
      <c r="AO295" s="180">
        <f t="shared" si="43"/>
        <v>2</v>
      </c>
      <c r="AP295" s="180">
        <f t="shared" si="43"/>
        <v>1</v>
      </c>
      <c r="AQ295" s="180">
        <f t="shared" si="43"/>
        <v>2</v>
      </c>
      <c r="AR295" s="180">
        <f t="shared" si="43"/>
        <v>2</v>
      </c>
      <c r="AS295" s="180">
        <f t="shared" si="43"/>
        <v>0</v>
      </c>
      <c r="AT295" s="180">
        <f t="shared" si="43"/>
        <v>2</v>
      </c>
      <c r="AU295" s="180">
        <f t="shared" si="43"/>
        <v>1</v>
      </c>
      <c r="AV295" s="180">
        <f t="shared" si="43"/>
        <v>2</v>
      </c>
      <c r="AW295" s="180">
        <f t="shared" si="43"/>
        <v>1</v>
      </c>
      <c r="AX295" s="180">
        <f t="shared" si="43"/>
        <v>1</v>
      </c>
      <c r="AY295" s="180">
        <f t="shared" si="43"/>
        <v>1</v>
      </c>
      <c r="AZ295" s="180">
        <f t="shared" si="43"/>
        <v>1</v>
      </c>
      <c r="BA295" s="180">
        <f t="shared" si="43"/>
        <v>2</v>
      </c>
      <c r="BB295" s="180">
        <f t="shared" si="43"/>
        <v>1</v>
      </c>
      <c r="BC295" s="180">
        <f t="shared" si="43"/>
        <v>1</v>
      </c>
      <c r="BD295" s="180">
        <f t="shared" si="43"/>
        <v>2</v>
      </c>
      <c r="BE295" s="180">
        <f t="shared" si="43"/>
        <v>2</v>
      </c>
      <c r="BF295" s="180">
        <f t="shared" si="43"/>
        <v>2</v>
      </c>
      <c r="BG295" s="180">
        <f t="shared" si="43"/>
        <v>2</v>
      </c>
      <c r="BH295" s="180">
        <f t="shared" si="43"/>
        <v>1</v>
      </c>
      <c r="BI295" s="180">
        <f t="shared" si="43"/>
        <v>1</v>
      </c>
      <c r="BJ295" s="180">
        <f t="shared" si="43"/>
        <v>1</v>
      </c>
      <c r="BK295" s="180">
        <f t="shared" si="43"/>
        <v>1</v>
      </c>
      <c r="BL295" s="180">
        <f t="shared" si="43"/>
        <v>0</v>
      </c>
      <c r="BM295" s="180">
        <f t="shared" si="43"/>
        <v>2</v>
      </c>
      <c r="BN295" s="180">
        <f t="shared" si="43"/>
        <v>1</v>
      </c>
      <c r="BO295" s="180">
        <f t="shared" si="43"/>
        <v>1</v>
      </c>
      <c r="BP295" s="180">
        <f t="shared" ref="BP295:CZ295" si="44">BP226</f>
        <v>2</v>
      </c>
      <c r="BQ295" s="180">
        <f t="shared" si="44"/>
        <v>1</v>
      </c>
      <c r="BR295" s="180">
        <f t="shared" si="44"/>
        <v>2</v>
      </c>
      <c r="BS295" s="180">
        <f t="shared" si="44"/>
        <v>1</v>
      </c>
      <c r="BT295" s="180">
        <f t="shared" si="44"/>
        <v>2</v>
      </c>
      <c r="BU295" s="180">
        <f t="shared" si="44"/>
        <v>2</v>
      </c>
      <c r="BV295" s="180">
        <f t="shared" si="44"/>
        <v>1</v>
      </c>
      <c r="BW295" s="180">
        <f t="shared" si="44"/>
        <v>2</v>
      </c>
      <c r="BX295" s="180">
        <f t="shared" si="44"/>
        <v>1</v>
      </c>
      <c r="BY295" s="180">
        <f t="shared" si="44"/>
        <v>2</v>
      </c>
      <c r="BZ295" s="180">
        <f t="shared" si="44"/>
        <v>2</v>
      </c>
      <c r="CA295" s="180">
        <f t="shared" si="44"/>
        <v>1</v>
      </c>
      <c r="CB295" s="180">
        <f t="shared" si="44"/>
        <v>1</v>
      </c>
      <c r="CC295" s="180">
        <f t="shared" si="44"/>
        <v>0</v>
      </c>
      <c r="CD295" s="180">
        <f t="shared" si="44"/>
        <v>2</v>
      </c>
      <c r="CE295" s="180">
        <f t="shared" si="44"/>
        <v>0</v>
      </c>
      <c r="CF295" s="180">
        <f t="shared" si="44"/>
        <v>0</v>
      </c>
      <c r="CG295" s="180">
        <f t="shared" si="44"/>
        <v>0</v>
      </c>
      <c r="CH295" s="180">
        <f t="shared" si="44"/>
        <v>0</v>
      </c>
      <c r="CI295" s="180">
        <f t="shared" si="44"/>
        <v>0</v>
      </c>
      <c r="CJ295" s="180">
        <f t="shared" si="44"/>
        <v>0</v>
      </c>
      <c r="CK295" s="180">
        <f t="shared" si="44"/>
        <v>0</v>
      </c>
      <c r="CL295" s="180">
        <f t="shared" si="44"/>
        <v>0</v>
      </c>
      <c r="CM295" s="180">
        <f t="shared" si="44"/>
        <v>0</v>
      </c>
      <c r="CN295" s="180">
        <f t="shared" si="44"/>
        <v>0</v>
      </c>
      <c r="CO295" s="180">
        <f t="shared" si="44"/>
        <v>0</v>
      </c>
      <c r="CP295" s="180">
        <f t="shared" si="44"/>
        <v>0</v>
      </c>
      <c r="CQ295" s="180">
        <f t="shared" si="44"/>
        <v>0</v>
      </c>
      <c r="CR295" s="180">
        <f t="shared" si="44"/>
        <v>0</v>
      </c>
      <c r="CS295" s="180">
        <f t="shared" si="44"/>
        <v>0</v>
      </c>
      <c r="CT295" s="180">
        <f t="shared" si="44"/>
        <v>0</v>
      </c>
      <c r="CU295" s="180">
        <f t="shared" si="44"/>
        <v>0</v>
      </c>
      <c r="CV295" s="180">
        <f t="shared" si="44"/>
        <v>0</v>
      </c>
      <c r="CW295" s="180">
        <f t="shared" si="44"/>
        <v>0</v>
      </c>
      <c r="CX295" s="180">
        <f t="shared" si="44"/>
        <v>0</v>
      </c>
      <c r="CY295" s="180">
        <f t="shared" si="44"/>
        <v>0</v>
      </c>
      <c r="CZ295" s="180">
        <f t="shared" si="44"/>
        <v>0</v>
      </c>
    </row>
    <row r="296" spans="1:104" x14ac:dyDescent="0.3">
      <c r="A296" s="155">
        <v>995</v>
      </c>
      <c r="B296" s="180"/>
      <c r="C296" s="180">
        <v>236</v>
      </c>
      <c r="D296" s="180">
        <f t="shared" ref="D296:AI296" si="45">D236</f>
        <v>0</v>
      </c>
      <c r="E296" s="180">
        <f t="shared" si="45"/>
        <v>0</v>
      </c>
      <c r="F296" s="180">
        <f t="shared" si="45"/>
        <v>0</v>
      </c>
      <c r="G296" s="180">
        <f t="shared" si="45"/>
        <v>0</v>
      </c>
      <c r="H296" s="180">
        <f t="shared" si="45"/>
        <v>0</v>
      </c>
      <c r="I296" s="180">
        <f t="shared" si="45"/>
        <v>0</v>
      </c>
      <c r="J296" s="180">
        <f t="shared" si="45"/>
        <v>0</v>
      </c>
      <c r="K296" s="180">
        <f t="shared" si="45"/>
        <v>0</v>
      </c>
      <c r="L296" s="180">
        <f t="shared" si="45"/>
        <v>0</v>
      </c>
      <c r="M296" s="180">
        <f t="shared" si="45"/>
        <v>0</v>
      </c>
      <c r="N296" s="180">
        <f t="shared" si="45"/>
        <v>0</v>
      </c>
      <c r="O296" s="180">
        <f t="shared" si="45"/>
        <v>0</v>
      </c>
      <c r="P296" s="180">
        <f t="shared" si="45"/>
        <v>0</v>
      </c>
      <c r="Q296" s="180">
        <f t="shared" si="45"/>
        <v>7.0000000000000007E-2</v>
      </c>
      <c r="R296" s="180">
        <f t="shared" si="45"/>
        <v>0</v>
      </c>
      <c r="S296" s="180">
        <f t="shared" si="45"/>
        <v>0</v>
      </c>
      <c r="T296" s="180">
        <f t="shared" si="45"/>
        <v>0</v>
      </c>
      <c r="U296" s="180">
        <f t="shared" si="45"/>
        <v>0</v>
      </c>
      <c r="V296" s="180">
        <f t="shared" si="45"/>
        <v>7.0000000000000007E-2</v>
      </c>
      <c r="W296" s="180">
        <f t="shared" si="45"/>
        <v>0</v>
      </c>
      <c r="X296" s="180">
        <f t="shared" si="45"/>
        <v>0</v>
      </c>
      <c r="Y296" s="180">
        <f t="shared" si="45"/>
        <v>0</v>
      </c>
      <c r="Z296" s="180">
        <f t="shared" si="45"/>
        <v>0</v>
      </c>
      <c r="AA296" s="180">
        <f t="shared" si="45"/>
        <v>0</v>
      </c>
      <c r="AB296" s="180">
        <f t="shared" si="45"/>
        <v>0</v>
      </c>
      <c r="AC296" s="180">
        <f t="shared" si="45"/>
        <v>0</v>
      </c>
      <c r="AD296" s="180">
        <f t="shared" si="45"/>
        <v>0</v>
      </c>
      <c r="AE296" s="180">
        <f t="shared" si="45"/>
        <v>0</v>
      </c>
      <c r="AF296" s="180">
        <f t="shared" si="45"/>
        <v>0</v>
      </c>
      <c r="AG296" s="180">
        <f t="shared" si="45"/>
        <v>0</v>
      </c>
      <c r="AH296" s="180">
        <f t="shared" si="45"/>
        <v>0</v>
      </c>
      <c r="AI296" s="180">
        <f t="shared" si="45"/>
        <v>0.08</v>
      </c>
      <c r="AJ296" s="180">
        <f t="shared" ref="AJ296:BO296" si="46">AJ236</f>
        <v>0</v>
      </c>
      <c r="AK296" s="180">
        <f t="shared" si="46"/>
        <v>0</v>
      </c>
      <c r="AL296" s="180">
        <f t="shared" si="46"/>
        <v>0</v>
      </c>
      <c r="AM296" s="180">
        <f t="shared" si="46"/>
        <v>7.0000000000000007E-2</v>
      </c>
      <c r="AN296" s="180">
        <f t="shared" si="46"/>
        <v>0</v>
      </c>
      <c r="AO296" s="180">
        <f t="shared" si="46"/>
        <v>0</v>
      </c>
      <c r="AP296" s="180">
        <f t="shared" si="46"/>
        <v>0</v>
      </c>
      <c r="AQ296" s="180">
        <f t="shared" si="46"/>
        <v>0</v>
      </c>
      <c r="AR296" s="180">
        <f t="shared" si="46"/>
        <v>0</v>
      </c>
      <c r="AS296" s="180">
        <f t="shared" si="46"/>
        <v>0</v>
      </c>
      <c r="AT296" s="180">
        <f t="shared" si="46"/>
        <v>0</v>
      </c>
      <c r="AU296" s="180">
        <f t="shared" si="46"/>
        <v>0.09</v>
      </c>
      <c r="AV296" s="180">
        <f t="shared" si="46"/>
        <v>0</v>
      </c>
      <c r="AW296" s="180">
        <f t="shared" si="46"/>
        <v>0</v>
      </c>
      <c r="AX296" s="180">
        <f t="shared" si="46"/>
        <v>0</v>
      </c>
      <c r="AY296" s="180">
        <f t="shared" si="46"/>
        <v>0</v>
      </c>
      <c r="AZ296" s="180">
        <f t="shared" si="46"/>
        <v>0</v>
      </c>
      <c r="BA296" s="180">
        <f t="shared" si="46"/>
        <v>0</v>
      </c>
      <c r="BB296" s="180">
        <f t="shared" si="46"/>
        <v>0</v>
      </c>
      <c r="BC296" s="180">
        <f t="shared" si="46"/>
        <v>0</v>
      </c>
      <c r="BD296" s="180">
        <f t="shared" si="46"/>
        <v>0</v>
      </c>
      <c r="BE296" s="180">
        <f t="shared" si="46"/>
        <v>0</v>
      </c>
      <c r="BF296" s="180">
        <f t="shared" si="46"/>
        <v>0</v>
      </c>
      <c r="BG296" s="180">
        <f t="shared" si="46"/>
        <v>0</v>
      </c>
      <c r="BH296" s="180">
        <f t="shared" si="46"/>
        <v>0</v>
      </c>
      <c r="BI296" s="180">
        <f t="shared" si="46"/>
        <v>0</v>
      </c>
      <c r="BJ296" s="180">
        <f t="shared" si="46"/>
        <v>0</v>
      </c>
      <c r="BK296" s="180">
        <f t="shared" si="46"/>
        <v>0</v>
      </c>
      <c r="BL296" s="180">
        <f t="shared" si="46"/>
        <v>0.08</v>
      </c>
      <c r="BM296" s="180">
        <f t="shared" si="46"/>
        <v>0</v>
      </c>
      <c r="BN296" s="180">
        <f t="shared" si="46"/>
        <v>0</v>
      </c>
      <c r="BO296" s="180">
        <f t="shared" si="46"/>
        <v>0</v>
      </c>
      <c r="BP296" s="180">
        <f t="shared" ref="BP296:CZ296" si="47">BP236</f>
        <v>0</v>
      </c>
      <c r="BQ296" s="180">
        <f t="shared" si="47"/>
        <v>0</v>
      </c>
      <c r="BR296" s="180">
        <f t="shared" si="47"/>
        <v>0.09</v>
      </c>
      <c r="BS296" s="180">
        <f t="shared" si="47"/>
        <v>7.0000000000000007E-2</v>
      </c>
      <c r="BT296" s="180">
        <f t="shared" si="47"/>
        <v>0</v>
      </c>
      <c r="BU296" s="180">
        <f t="shared" si="47"/>
        <v>0</v>
      </c>
      <c r="BV296" s="180">
        <f t="shared" si="47"/>
        <v>0</v>
      </c>
      <c r="BW296" s="180">
        <f t="shared" si="47"/>
        <v>0</v>
      </c>
      <c r="BX296" s="180">
        <f t="shared" si="47"/>
        <v>0</v>
      </c>
      <c r="BY296" s="180">
        <f t="shared" si="47"/>
        <v>0</v>
      </c>
      <c r="BZ296" s="180">
        <f t="shared" si="47"/>
        <v>0</v>
      </c>
      <c r="CA296" s="180">
        <f t="shared" si="47"/>
        <v>0</v>
      </c>
      <c r="CB296" s="180">
        <f t="shared" si="47"/>
        <v>0</v>
      </c>
      <c r="CC296" s="180">
        <f t="shared" si="47"/>
        <v>0</v>
      </c>
      <c r="CD296" s="180">
        <f t="shared" si="47"/>
        <v>0</v>
      </c>
      <c r="CE296" s="180">
        <f t="shared" si="47"/>
        <v>0</v>
      </c>
      <c r="CF296" s="180">
        <f t="shared" si="47"/>
        <v>0</v>
      </c>
      <c r="CG296" s="180">
        <f t="shared" si="47"/>
        <v>0</v>
      </c>
      <c r="CH296" s="180">
        <f t="shared" si="47"/>
        <v>0</v>
      </c>
      <c r="CI296" s="180">
        <f t="shared" si="47"/>
        <v>0</v>
      </c>
      <c r="CJ296" s="180">
        <f t="shared" si="47"/>
        <v>0</v>
      </c>
      <c r="CK296" s="180">
        <f t="shared" si="47"/>
        <v>0</v>
      </c>
      <c r="CL296" s="180">
        <f t="shared" si="47"/>
        <v>0</v>
      </c>
      <c r="CM296" s="180">
        <f t="shared" si="47"/>
        <v>0</v>
      </c>
      <c r="CN296" s="180">
        <f t="shared" si="47"/>
        <v>0</v>
      </c>
      <c r="CO296" s="180">
        <f t="shared" si="47"/>
        <v>0</v>
      </c>
      <c r="CP296" s="180">
        <f t="shared" si="47"/>
        <v>0</v>
      </c>
      <c r="CQ296" s="180">
        <f t="shared" si="47"/>
        <v>0</v>
      </c>
      <c r="CR296" s="180">
        <f t="shared" si="47"/>
        <v>0</v>
      </c>
      <c r="CS296" s="180">
        <f t="shared" si="47"/>
        <v>0</v>
      </c>
      <c r="CT296" s="180">
        <f t="shared" si="47"/>
        <v>0</v>
      </c>
      <c r="CU296" s="180">
        <f t="shared" si="47"/>
        <v>0</v>
      </c>
      <c r="CV296" s="180">
        <f t="shared" si="47"/>
        <v>0</v>
      </c>
      <c r="CW296" s="180">
        <f t="shared" si="47"/>
        <v>0</v>
      </c>
      <c r="CX296" s="180">
        <f t="shared" si="47"/>
        <v>0</v>
      </c>
      <c r="CY296" s="180">
        <f t="shared" si="47"/>
        <v>0</v>
      </c>
      <c r="CZ296" s="180">
        <f t="shared" si="47"/>
        <v>0</v>
      </c>
    </row>
    <row r="297" spans="1:104" x14ac:dyDescent="0.3">
      <c r="A297" s="155">
        <v>996</v>
      </c>
      <c r="B297" s="180"/>
      <c r="C297" s="180">
        <v>237</v>
      </c>
      <c r="D297" s="180">
        <f t="shared" ref="D297:AI297" si="48">D237</f>
        <v>0.01</v>
      </c>
      <c r="E297" s="180">
        <f t="shared" si="48"/>
        <v>0</v>
      </c>
      <c r="F297" s="180">
        <f t="shared" si="48"/>
        <v>0.01</v>
      </c>
      <c r="G297" s="180">
        <f t="shared" si="48"/>
        <v>0</v>
      </c>
      <c r="H297" s="180">
        <f t="shared" si="48"/>
        <v>0</v>
      </c>
      <c r="I297" s="180">
        <f t="shared" si="48"/>
        <v>0</v>
      </c>
      <c r="J297" s="180">
        <f t="shared" si="48"/>
        <v>0.01</v>
      </c>
      <c r="K297" s="180">
        <f t="shared" si="48"/>
        <v>0</v>
      </c>
      <c r="L297" s="180">
        <f t="shared" si="48"/>
        <v>0</v>
      </c>
      <c r="M297" s="180">
        <f t="shared" si="48"/>
        <v>0</v>
      </c>
      <c r="N297" s="180">
        <f t="shared" si="48"/>
        <v>0</v>
      </c>
      <c r="O297" s="180">
        <f t="shared" si="48"/>
        <v>0.01</v>
      </c>
      <c r="P297" s="180">
        <f t="shared" si="48"/>
        <v>0</v>
      </c>
      <c r="Q297" s="180">
        <f t="shared" si="48"/>
        <v>0.01</v>
      </c>
      <c r="R297" s="180">
        <f t="shared" si="48"/>
        <v>0.01</v>
      </c>
      <c r="S297" s="180">
        <f t="shared" si="48"/>
        <v>0</v>
      </c>
      <c r="T297" s="180">
        <f t="shared" si="48"/>
        <v>0.01</v>
      </c>
      <c r="U297" s="180">
        <f t="shared" si="48"/>
        <v>0.01</v>
      </c>
      <c r="V297" s="180">
        <f t="shared" si="48"/>
        <v>0.01</v>
      </c>
      <c r="W297" s="180">
        <f t="shared" si="48"/>
        <v>0</v>
      </c>
      <c r="X297" s="180">
        <f t="shared" si="48"/>
        <v>0.01</v>
      </c>
      <c r="Y297" s="180">
        <f t="shared" si="48"/>
        <v>0.01</v>
      </c>
      <c r="Z297" s="180">
        <f t="shared" si="48"/>
        <v>0.01</v>
      </c>
      <c r="AA297" s="180">
        <f t="shared" si="48"/>
        <v>0.01</v>
      </c>
      <c r="AB297" s="180">
        <f t="shared" si="48"/>
        <v>0.01</v>
      </c>
      <c r="AC297" s="180">
        <f t="shared" si="48"/>
        <v>0.01</v>
      </c>
      <c r="AD297" s="180">
        <f t="shared" si="48"/>
        <v>0.01</v>
      </c>
      <c r="AE297" s="180">
        <f t="shared" si="48"/>
        <v>0.01</v>
      </c>
      <c r="AF297" s="180">
        <f t="shared" si="48"/>
        <v>0.01</v>
      </c>
      <c r="AG297" s="180">
        <f t="shared" si="48"/>
        <v>0.01</v>
      </c>
      <c r="AH297" s="180">
        <f t="shared" si="48"/>
        <v>0</v>
      </c>
      <c r="AI297" s="180">
        <f t="shared" si="48"/>
        <v>0.01</v>
      </c>
      <c r="AJ297" s="180">
        <f t="shared" ref="AJ297:BO297" si="49">AJ237</f>
        <v>0.01</v>
      </c>
      <c r="AK297" s="180">
        <f t="shared" si="49"/>
        <v>0.01</v>
      </c>
      <c r="AL297" s="180">
        <f t="shared" si="49"/>
        <v>0.01</v>
      </c>
      <c r="AM297" s="180">
        <f t="shared" si="49"/>
        <v>0.01</v>
      </c>
      <c r="AN297" s="180">
        <f t="shared" si="49"/>
        <v>0.01</v>
      </c>
      <c r="AO297" s="180">
        <f t="shared" si="49"/>
        <v>0.01</v>
      </c>
      <c r="AP297" s="180">
        <f t="shared" si="49"/>
        <v>0</v>
      </c>
      <c r="AQ297" s="180">
        <f t="shared" si="49"/>
        <v>0</v>
      </c>
      <c r="AR297" s="180">
        <f t="shared" si="49"/>
        <v>0.01</v>
      </c>
      <c r="AS297" s="180">
        <f t="shared" si="49"/>
        <v>0</v>
      </c>
      <c r="AT297" s="180">
        <f t="shared" si="49"/>
        <v>0.01</v>
      </c>
      <c r="AU297" s="180">
        <f t="shared" si="49"/>
        <v>0</v>
      </c>
      <c r="AV297" s="180">
        <f t="shared" si="49"/>
        <v>0.01</v>
      </c>
      <c r="AW297" s="180">
        <f t="shared" si="49"/>
        <v>0</v>
      </c>
      <c r="AX297" s="180">
        <f t="shared" si="49"/>
        <v>0.01</v>
      </c>
      <c r="AY297" s="180">
        <f t="shared" si="49"/>
        <v>0.01</v>
      </c>
      <c r="AZ297" s="180">
        <f t="shared" si="49"/>
        <v>0.01</v>
      </c>
      <c r="BA297" s="180">
        <f t="shared" si="49"/>
        <v>0.01</v>
      </c>
      <c r="BB297" s="180">
        <f t="shared" si="49"/>
        <v>0</v>
      </c>
      <c r="BC297" s="180">
        <f t="shared" si="49"/>
        <v>0.01</v>
      </c>
      <c r="BD297" s="180">
        <f t="shared" si="49"/>
        <v>0.01</v>
      </c>
      <c r="BE297" s="180">
        <f t="shared" si="49"/>
        <v>0</v>
      </c>
      <c r="BF297" s="180">
        <f t="shared" si="49"/>
        <v>0.01</v>
      </c>
      <c r="BG297" s="180">
        <f t="shared" si="49"/>
        <v>0.01</v>
      </c>
      <c r="BH297" s="180">
        <f t="shared" si="49"/>
        <v>0</v>
      </c>
      <c r="BI297" s="180">
        <f t="shared" si="49"/>
        <v>0.01</v>
      </c>
      <c r="BJ297" s="180">
        <f t="shared" si="49"/>
        <v>0</v>
      </c>
      <c r="BK297" s="180">
        <f t="shared" si="49"/>
        <v>0.01</v>
      </c>
      <c r="BL297" s="180">
        <f t="shared" si="49"/>
        <v>0.01</v>
      </c>
      <c r="BM297" s="180">
        <f t="shared" si="49"/>
        <v>0.01</v>
      </c>
      <c r="BN297" s="180">
        <f t="shared" si="49"/>
        <v>0.01</v>
      </c>
      <c r="BO297" s="180">
        <f t="shared" si="49"/>
        <v>0.01</v>
      </c>
      <c r="BP297" s="180">
        <f t="shared" ref="BP297:CZ297" si="50">BP237</f>
        <v>0.01</v>
      </c>
      <c r="BQ297" s="180">
        <f t="shared" si="50"/>
        <v>0</v>
      </c>
      <c r="BR297" s="180">
        <f t="shared" si="50"/>
        <v>0.01</v>
      </c>
      <c r="BS297" s="180">
        <f t="shared" si="50"/>
        <v>0</v>
      </c>
      <c r="BT297" s="180">
        <f t="shared" si="50"/>
        <v>0.01</v>
      </c>
      <c r="BU297" s="180">
        <f t="shared" si="50"/>
        <v>0.01</v>
      </c>
      <c r="BV297" s="180">
        <f t="shared" si="50"/>
        <v>0</v>
      </c>
      <c r="BW297" s="180">
        <f t="shared" si="50"/>
        <v>0.01</v>
      </c>
      <c r="BX297" s="180">
        <f t="shared" si="50"/>
        <v>0.01</v>
      </c>
      <c r="BY297" s="180">
        <f t="shared" si="50"/>
        <v>0.01</v>
      </c>
      <c r="BZ297" s="180">
        <f t="shared" si="50"/>
        <v>0.01</v>
      </c>
      <c r="CA297" s="180">
        <f t="shared" si="50"/>
        <v>0.01</v>
      </c>
      <c r="CB297" s="180">
        <f t="shared" si="50"/>
        <v>0.01</v>
      </c>
      <c r="CC297" s="180">
        <f t="shared" si="50"/>
        <v>0</v>
      </c>
      <c r="CD297" s="180">
        <f t="shared" si="50"/>
        <v>0.01</v>
      </c>
      <c r="CE297" s="180">
        <f t="shared" si="50"/>
        <v>0</v>
      </c>
      <c r="CF297" s="180">
        <f t="shared" si="50"/>
        <v>0</v>
      </c>
      <c r="CG297" s="180">
        <f t="shared" si="50"/>
        <v>0</v>
      </c>
      <c r="CH297" s="180">
        <f t="shared" si="50"/>
        <v>0</v>
      </c>
      <c r="CI297" s="180">
        <f t="shared" si="50"/>
        <v>0</v>
      </c>
      <c r="CJ297" s="180">
        <f t="shared" si="50"/>
        <v>0</v>
      </c>
      <c r="CK297" s="180">
        <f t="shared" si="50"/>
        <v>0</v>
      </c>
      <c r="CL297" s="180">
        <f t="shared" si="50"/>
        <v>0</v>
      </c>
      <c r="CM297" s="180">
        <f t="shared" si="50"/>
        <v>0</v>
      </c>
      <c r="CN297" s="180">
        <f t="shared" si="50"/>
        <v>0</v>
      </c>
      <c r="CO297" s="180">
        <f t="shared" si="50"/>
        <v>0</v>
      </c>
      <c r="CP297" s="180">
        <f t="shared" si="50"/>
        <v>0</v>
      </c>
      <c r="CQ297" s="180">
        <f t="shared" si="50"/>
        <v>0</v>
      </c>
      <c r="CR297" s="180">
        <f t="shared" si="50"/>
        <v>0</v>
      </c>
      <c r="CS297" s="180">
        <f t="shared" si="50"/>
        <v>0</v>
      </c>
      <c r="CT297" s="180">
        <f t="shared" si="50"/>
        <v>0</v>
      </c>
      <c r="CU297" s="180">
        <f t="shared" si="50"/>
        <v>0</v>
      </c>
      <c r="CV297" s="180">
        <f t="shared" si="50"/>
        <v>0</v>
      </c>
      <c r="CW297" s="180">
        <f t="shared" si="50"/>
        <v>0</v>
      </c>
      <c r="CX297" s="180">
        <f t="shared" si="50"/>
        <v>0</v>
      </c>
      <c r="CY297" s="180">
        <f t="shared" si="50"/>
        <v>0</v>
      </c>
      <c r="CZ297" s="180">
        <f t="shared" si="50"/>
        <v>0</v>
      </c>
    </row>
    <row r="298" spans="1:104" x14ac:dyDescent="0.3">
      <c r="A298" s="155">
        <v>998</v>
      </c>
      <c r="B298" s="180"/>
      <c r="C298" s="180">
        <v>238</v>
      </c>
      <c r="D298" s="180">
        <f t="shared" ref="D298:AI298" si="51">D238</f>
        <v>50</v>
      </c>
      <c r="E298" s="180">
        <f t="shared" si="51"/>
        <v>50</v>
      </c>
      <c r="F298" s="180">
        <f t="shared" si="51"/>
        <v>50</v>
      </c>
      <c r="G298" s="180">
        <f t="shared" si="51"/>
        <v>50</v>
      </c>
      <c r="H298" s="180">
        <f t="shared" si="51"/>
        <v>50</v>
      </c>
      <c r="I298" s="180">
        <f t="shared" si="51"/>
        <v>50</v>
      </c>
      <c r="J298" s="180">
        <f t="shared" si="51"/>
        <v>50</v>
      </c>
      <c r="K298" s="180">
        <f t="shared" si="51"/>
        <v>50</v>
      </c>
      <c r="L298" s="180">
        <f t="shared" si="51"/>
        <v>50</v>
      </c>
      <c r="M298" s="180">
        <f t="shared" si="51"/>
        <v>50</v>
      </c>
      <c r="N298" s="180">
        <f t="shared" si="51"/>
        <v>50</v>
      </c>
      <c r="O298" s="180">
        <f t="shared" si="51"/>
        <v>50</v>
      </c>
      <c r="P298" s="180">
        <f t="shared" si="51"/>
        <v>50</v>
      </c>
      <c r="Q298" s="180">
        <f t="shared" si="51"/>
        <v>50</v>
      </c>
      <c r="R298" s="180">
        <f t="shared" si="51"/>
        <v>50</v>
      </c>
      <c r="S298" s="180">
        <f t="shared" si="51"/>
        <v>50</v>
      </c>
      <c r="T298" s="180">
        <f t="shared" si="51"/>
        <v>50</v>
      </c>
      <c r="U298" s="180">
        <f t="shared" si="51"/>
        <v>50</v>
      </c>
      <c r="V298" s="180">
        <f t="shared" si="51"/>
        <v>50</v>
      </c>
      <c r="W298" s="180">
        <f t="shared" si="51"/>
        <v>50</v>
      </c>
      <c r="X298" s="180">
        <f t="shared" si="51"/>
        <v>50</v>
      </c>
      <c r="Y298" s="180">
        <f t="shared" si="51"/>
        <v>50</v>
      </c>
      <c r="Z298" s="180">
        <f t="shared" si="51"/>
        <v>50</v>
      </c>
      <c r="AA298" s="180">
        <f t="shared" si="51"/>
        <v>50</v>
      </c>
      <c r="AB298" s="180">
        <f t="shared" si="51"/>
        <v>50</v>
      </c>
      <c r="AC298" s="180">
        <f t="shared" si="51"/>
        <v>50</v>
      </c>
      <c r="AD298" s="180">
        <f t="shared" si="51"/>
        <v>50</v>
      </c>
      <c r="AE298" s="180">
        <f t="shared" si="51"/>
        <v>50</v>
      </c>
      <c r="AF298" s="180">
        <f t="shared" si="51"/>
        <v>50</v>
      </c>
      <c r="AG298" s="180">
        <f t="shared" si="51"/>
        <v>50</v>
      </c>
      <c r="AH298" s="180">
        <f t="shared" si="51"/>
        <v>50</v>
      </c>
      <c r="AI298" s="180">
        <f t="shared" si="51"/>
        <v>50</v>
      </c>
      <c r="AJ298" s="180">
        <f t="shared" ref="AJ298:BO298" si="52">AJ238</f>
        <v>50</v>
      </c>
      <c r="AK298" s="180">
        <f t="shared" si="52"/>
        <v>50</v>
      </c>
      <c r="AL298" s="180">
        <f t="shared" si="52"/>
        <v>50</v>
      </c>
      <c r="AM298" s="180">
        <f t="shared" si="52"/>
        <v>50</v>
      </c>
      <c r="AN298" s="180">
        <f t="shared" si="52"/>
        <v>50</v>
      </c>
      <c r="AO298" s="180">
        <f t="shared" si="52"/>
        <v>50</v>
      </c>
      <c r="AP298" s="180">
        <f t="shared" si="52"/>
        <v>50</v>
      </c>
      <c r="AQ298" s="180">
        <f t="shared" si="52"/>
        <v>50</v>
      </c>
      <c r="AR298" s="180">
        <f t="shared" si="52"/>
        <v>50</v>
      </c>
      <c r="AS298" s="180">
        <f t="shared" si="52"/>
        <v>50</v>
      </c>
      <c r="AT298" s="180">
        <f t="shared" si="52"/>
        <v>50</v>
      </c>
      <c r="AU298" s="180">
        <f t="shared" si="52"/>
        <v>50</v>
      </c>
      <c r="AV298" s="180">
        <f t="shared" si="52"/>
        <v>50</v>
      </c>
      <c r="AW298" s="180">
        <f t="shared" si="52"/>
        <v>50</v>
      </c>
      <c r="AX298" s="180">
        <f t="shared" si="52"/>
        <v>50</v>
      </c>
      <c r="AY298" s="180">
        <f t="shared" si="52"/>
        <v>50</v>
      </c>
      <c r="AZ298" s="180">
        <f t="shared" si="52"/>
        <v>50</v>
      </c>
      <c r="BA298" s="180">
        <f t="shared" si="52"/>
        <v>50</v>
      </c>
      <c r="BB298" s="180">
        <f t="shared" si="52"/>
        <v>50</v>
      </c>
      <c r="BC298" s="180">
        <f t="shared" si="52"/>
        <v>50</v>
      </c>
      <c r="BD298" s="180">
        <f t="shared" si="52"/>
        <v>50</v>
      </c>
      <c r="BE298" s="180">
        <f t="shared" si="52"/>
        <v>50</v>
      </c>
      <c r="BF298" s="180">
        <f t="shared" si="52"/>
        <v>50</v>
      </c>
      <c r="BG298" s="180">
        <f t="shared" si="52"/>
        <v>50</v>
      </c>
      <c r="BH298" s="180">
        <f t="shared" si="52"/>
        <v>50</v>
      </c>
      <c r="BI298" s="180">
        <f t="shared" si="52"/>
        <v>50</v>
      </c>
      <c r="BJ298" s="180">
        <f t="shared" si="52"/>
        <v>50</v>
      </c>
      <c r="BK298" s="180">
        <f t="shared" si="52"/>
        <v>50</v>
      </c>
      <c r="BL298" s="180">
        <f t="shared" si="52"/>
        <v>50</v>
      </c>
      <c r="BM298" s="180">
        <f t="shared" si="52"/>
        <v>50</v>
      </c>
      <c r="BN298" s="180">
        <f t="shared" si="52"/>
        <v>50</v>
      </c>
      <c r="BO298" s="180">
        <f t="shared" si="52"/>
        <v>50</v>
      </c>
      <c r="BP298" s="180">
        <f t="shared" ref="BP298:CZ298" si="53">BP238</f>
        <v>50</v>
      </c>
      <c r="BQ298" s="180">
        <f t="shared" si="53"/>
        <v>50</v>
      </c>
      <c r="BR298" s="180">
        <f t="shared" si="53"/>
        <v>50</v>
      </c>
      <c r="BS298" s="180">
        <f t="shared" si="53"/>
        <v>50</v>
      </c>
      <c r="BT298" s="180">
        <f t="shared" si="53"/>
        <v>50</v>
      </c>
      <c r="BU298" s="180">
        <f t="shared" si="53"/>
        <v>50</v>
      </c>
      <c r="BV298" s="180">
        <f t="shared" si="53"/>
        <v>50</v>
      </c>
      <c r="BW298" s="180">
        <f t="shared" si="53"/>
        <v>50</v>
      </c>
      <c r="BX298" s="180">
        <f t="shared" si="53"/>
        <v>50</v>
      </c>
      <c r="BY298" s="180">
        <f t="shared" si="53"/>
        <v>50</v>
      </c>
      <c r="BZ298" s="180">
        <f t="shared" si="53"/>
        <v>50</v>
      </c>
      <c r="CA298" s="180">
        <f t="shared" si="53"/>
        <v>50</v>
      </c>
      <c r="CB298" s="180">
        <f t="shared" si="53"/>
        <v>50</v>
      </c>
      <c r="CC298" s="180">
        <f t="shared" si="53"/>
        <v>50</v>
      </c>
      <c r="CD298" s="180">
        <f t="shared" si="53"/>
        <v>50</v>
      </c>
      <c r="CE298" s="180">
        <f t="shared" si="53"/>
        <v>0</v>
      </c>
      <c r="CF298" s="180">
        <f t="shared" si="53"/>
        <v>0</v>
      </c>
      <c r="CG298" s="180">
        <f t="shared" si="53"/>
        <v>0</v>
      </c>
      <c r="CH298" s="180">
        <f t="shared" si="53"/>
        <v>0</v>
      </c>
      <c r="CI298" s="180">
        <f t="shared" si="53"/>
        <v>0</v>
      </c>
      <c r="CJ298" s="180">
        <f t="shared" si="53"/>
        <v>0</v>
      </c>
      <c r="CK298" s="180">
        <f t="shared" si="53"/>
        <v>0</v>
      </c>
      <c r="CL298" s="180">
        <f t="shared" si="53"/>
        <v>0</v>
      </c>
      <c r="CM298" s="180">
        <f t="shared" si="53"/>
        <v>0</v>
      </c>
      <c r="CN298" s="180">
        <f t="shared" si="53"/>
        <v>0</v>
      </c>
      <c r="CO298" s="180">
        <f t="shared" si="53"/>
        <v>0</v>
      </c>
      <c r="CP298" s="180">
        <f t="shared" si="53"/>
        <v>0</v>
      </c>
      <c r="CQ298" s="180">
        <f t="shared" si="53"/>
        <v>0</v>
      </c>
      <c r="CR298" s="180">
        <f t="shared" si="53"/>
        <v>0</v>
      </c>
      <c r="CS298" s="180">
        <f t="shared" si="53"/>
        <v>0</v>
      </c>
      <c r="CT298" s="180">
        <f t="shared" si="53"/>
        <v>0</v>
      </c>
      <c r="CU298" s="180">
        <f t="shared" si="53"/>
        <v>0</v>
      </c>
      <c r="CV298" s="180">
        <f t="shared" si="53"/>
        <v>0</v>
      </c>
      <c r="CW298" s="180">
        <f t="shared" si="53"/>
        <v>0</v>
      </c>
      <c r="CX298" s="180">
        <f t="shared" si="53"/>
        <v>0</v>
      </c>
      <c r="CY298" s="180">
        <f t="shared" si="53"/>
        <v>0</v>
      </c>
      <c r="CZ298" s="180">
        <f t="shared" si="53"/>
        <v>0</v>
      </c>
    </row>
    <row r="299" spans="1:104" x14ac:dyDescent="0.3">
      <c r="A299" s="155">
        <v>999</v>
      </c>
      <c r="B299" s="180"/>
      <c r="C299" s="180">
        <v>239</v>
      </c>
      <c r="D299" s="180">
        <f t="shared" ref="D299:AI299" si="54">D239</f>
        <v>50254</v>
      </c>
      <c r="E299" s="180">
        <f t="shared" si="54"/>
        <v>50255</v>
      </c>
      <c r="F299" s="180">
        <f t="shared" si="54"/>
        <v>50256</v>
      </c>
      <c r="G299" s="180">
        <f t="shared" si="54"/>
        <v>50558</v>
      </c>
      <c r="H299" s="180">
        <f t="shared" si="54"/>
        <v>50566</v>
      </c>
      <c r="I299" s="180">
        <f t="shared" si="54"/>
        <v>50562</v>
      </c>
      <c r="J299" s="180">
        <f t="shared" si="54"/>
        <v>50257</v>
      </c>
      <c r="K299" s="180">
        <f t="shared" si="54"/>
        <v>50555</v>
      </c>
      <c r="L299" s="180">
        <f t="shared" si="54"/>
        <v>50445</v>
      </c>
      <c r="M299" s="180">
        <f t="shared" si="54"/>
        <v>50452</v>
      </c>
      <c r="N299" s="180">
        <f t="shared" si="54"/>
        <v>50563</v>
      </c>
      <c r="O299" s="180">
        <f t="shared" si="54"/>
        <v>50258</v>
      </c>
      <c r="P299" s="180">
        <f t="shared" si="54"/>
        <v>50523</v>
      </c>
      <c r="Q299" s="180">
        <f t="shared" si="54"/>
        <v>50259</v>
      </c>
      <c r="R299" s="180">
        <f t="shared" si="54"/>
        <v>50260</v>
      </c>
      <c r="S299" s="180">
        <f t="shared" si="54"/>
        <v>50487</v>
      </c>
      <c r="T299" s="180">
        <f t="shared" si="54"/>
        <v>50261</v>
      </c>
      <c r="U299" s="180">
        <f t="shared" si="54"/>
        <v>50262</v>
      </c>
      <c r="V299" s="180">
        <f t="shared" si="54"/>
        <v>50263</v>
      </c>
      <c r="W299" s="180">
        <f t="shared" si="54"/>
        <v>50264</v>
      </c>
      <c r="X299" s="180">
        <f t="shared" si="54"/>
        <v>50265</v>
      </c>
      <c r="Y299" s="180">
        <f t="shared" si="54"/>
        <v>50266</v>
      </c>
      <c r="Z299" s="180">
        <f t="shared" si="54"/>
        <v>50267</v>
      </c>
      <c r="AA299" s="180">
        <f t="shared" si="54"/>
        <v>50268</v>
      </c>
      <c r="AB299" s="180">
        <f t="shared" si="54"/>
        <v>50269</v>
      </c>
      <c r="AC299" s="180">
        <f t="shared" si="54"/>
        <v>50270</v>
      </c>
      <c r="AD299" s="180">
        <f t="shared" si="54"/>
        <v>50271</v>
      </c>
      <c r="AE299" s="180">
        <f t="shared" si="54"/>
        <v>50272</v>
      </c>
      <c r="AF299" s="180">
        <f t="shared" si="54"/>
        <v>50273</v>
      </c>
      <c r="AG299" s="180">
        <f t="shared" si="54"/>
        <v>50274</v>
      </c>
      <c r="AH299" s="180">
        <f t="shared" si="54"/>
        <v>50480</v>
      </c>
      <c r="AI299" s="180">
        <f t="shared" si="54"/>
        <v>50275</v>
      </c>
      <c r="AJ299" s="180">
        <f t="shared" ref="AJ299:BO299" si="55">AJ239</f>
        <v>50277</v>
      </c>
      <c r="AK299" s="180">
        <f t="shared" si="55"/>
        <v>50276</v>
      </c>
      <c r="AL299" s="180">
        <f t="shared" si="55"/>
        <v>50278</v>
      </c>
      <c r="AM299" s="180">
        <f t="shared" si="55"/>
        <v>50279</v>
      </c>
      <c r="AN299" s="180">
        <f t="shared" si="55"/>
        <v>50280</v>
      </c>
      <c r="AO299" s="180">
        <f t="shared" si="55"/>
        <v>50281</v>
      </c>
      <c r="AP299" s="180">
        <f t="shared" si="55"/>
        <v>50478</v>
      </c>
      <c r="AQ299" s="180">
        <f t="shared" si="55"/>
        <v>50524</v>
      </c>
      <c r="AR299" s="180">
        <f t="shared" si="55"/>
        <v>50282</v>
      </c>
      <c r="AS299" s="180">
        <f t="shared" si="55"/>
        <v>50525</v>
      </c>
      <c r="AT299" s="180">
        <f t="shared" si="55"/>
        <v>50283</v>
      </c>
      <c r="AU299" s="180">
        <f t="shared" si="55"/>
        <v>50285</v>
      </c>
      <c r="AV299" s="180">
        <f t="shared" si="55"/>
        <v>50553</v>
      </c>
      <c r="AW299" s="180">
        <f t="shared" si="55"/>
        <v>50548</v>
      </c>
      <c r="AX299" s="180">
        <f t="shared" si="55"/>
        <v>50284</v>
      </c>
      <c r="AY299" s="180">
        <f t="shared" si="55"/>
        <v>50286</v>
      </c>
      <c r="AZ299" s="180">
        <f t="shared" si="55"/>
        <v>50287</v>
      </c>
      <c r="BA299" s="180">
        <f t="shared" si="55"/>
        <v>50288</v>
      </c>
      <c r="BB299" s="180">
        <f t="shared" si="55"/>
        <v>50290</v>
      </c>
      <c r="BC299" s="180">
        <f t="shared" si="55"/>
        <v>50564</v>
      </c>
      <c r="BD299" s="180">
        <f t="shared" si="55"/>
        <v>50289</v>
      </c>
      <c r="BE299" s="180">
        <f t="shared" si="55"/>
        <v>50291</v>
      </c>
      <c r="BF299" s="180">
        <f t="shared" si="55"/>
        <v>50292</v>
      </c>
      <c r="BG299" s="180">
        <f t="shared" si="55"/>
        <v>50293</v>
      </c>
      <c r="BH299" s="180">
        <f t="shared" si="55"/>
        <v>50463</v>
      </c>
      <c r="BI299" s="180">
        <f t="shared" si="55"/>
        <v>50294</v>
      </c>
      <c r="BJ299" s="180">
        <f t="shared" si="55"/>
        <v>50538</v>
      </c>
      <c r="BK299" s="180">
        <f t="shared" si="55"/>
        <v>50295</v>
      </c>
      <c r="BL299" s="180">
        <f t="shared" si="55"/>
        <v>50296</v>
      </c>
      <c r="BM299" s="180">
        <f t="shared" si="55"/>
        <v>50297</v>
      </c>
      <c r="BN299" s="180">
        <f t="shared" si="55"/>
        <v>50449</v>
      </c>
      <c r="BO299" s="180">
        <f t="shared" si="55"/>
        <v>50300</v>
      </c>
      <c r="BP299" s="180">
        <f t="shared" ref="BP299:CZ299" si="56">BP239</f>
        <v>50298</v>
      </c>
      <c r="BQ299" s="180">
        <f t="shared" si="56"/>
        <v>50299</v>
      </c>
      <c r="BR299" s="180">
        <f t="shared" si="56"/>
        <v>50301</v>
      </c>
      <c r="BS299" s="180">
        <f t="shared" si="56"/>
        <v>50302</v>
      </c>
      <c r="BT299" s="180">
        <f t="shared" si="56"/>
        <v>50303</v>
      </c>
      <c r="BU299" s="180">
        <f t="shared" si="56"/>
        <v>50304</v>
      </c>
      <c r="BV299" s="180">
        <f t="shared" si="56"/>
        <v>50540</v>
      </c>
      <c r="BW299" s="180">
        <f t="shared" si="56"/>
        <v>50305</v>
      </c>
      <c r="BX299" s="180">
        <f t="shared" si="56"/>
        <v>50306</v>
      </c>
      <c r="BY299" s="180">
        <f t="shared" si="56"/>
        <v>50479</v>
      </c>
      <c r="BZ299" s="180">
        <f t="shared" si="56"/>
        <v>50307</v>
      </c>
      <c r="CA299" s="180">
        <f t="shared" si="56"/>
        <v>50308</v>
      </c>
      <c r="CB299" s="180">
        <f t="shared" si="56"/>
        <v>50309</v>
      </c>
      <c r="CC299" s="180">
        <f t="shared" si="56"/>
        <v>50310</v>
      </c>
      <c r="CD299" s="180">
        <f t="shared" si="56"/>
        <v>50311</v>
      </c>
      <c r="CE299" s="180">
        <f t="shared" si="56"/>
        <v>0</v>
      </c>
      <c r="CF299" s="180">
        <f t="shared" si="56"/>
        <v>0</v>
      </c>
      <c r="CG299" s="180">
        <f t="shared" si="56"/>
        <v>0</v>
      </c>
      <c r="CH299" s="180">
        <f t="shared" si="56"/>
        <v>0</v>
      </c>
      <c r="CI299" s="180">
        <f t="shared" si="56"/>
        <v>0</v>
      </c>
      <c r="CJ299" s="180">
        <f t="shared" si="56"/>
        <v>0</v>
      </c>
      <c r="CK299" s="180">
        <f t="shared" si="56"/>
        <v>0</v>
      </c>
      <c r="CL299" s="180">
        <f t="shared" si="56"/>
        <v>0</v>
      </c>
      <c r="CM299" s="180">
        <f t="shared" si="56"/>
        <v>0</v>
      </c>
      <c r="CN299" s="180">
        <f t="shared" si="56"/>
        <v>0</v>
      </c>
      <c r="CO299" s="180">
        <f t="shared" si="56"/>
        <v>0</v>
      </c>
      <c r="CP299" s="180">
        <f t="shared" si="56"/>
        <v>0</v>
      </c>
      <c r="CQ299" s="180">
        <f t="shared" si="56"/>
        <v>0</v>
      </c>
      <c r="CR299" s="180">
        <f t="shared" si="56"/>
        <v>0</v>
      </c>
      <c r="CS299" s="180">
        <f t="shared" si="56"/>
        <v>0</v>
      </c>
      <c r="CT299" s="180">
        <f t="shared" si="56"/>
        <v>0</v>
      </c>
      <c r="CU299" s="180">
        <f t="shared" si="56"/>
        <v>0</v>
      </c>
      <c r="CV299" s="180">
        <f t="shared" si="56"/>
        <v>0</v>
      </c>
      <c r="CW299" s="180">
        <f t="shared" si="56"/>
        <v>0</v>
      </c>
      <c r="CX299" s="180">
        <f t="shared" si="56"/>
        <v>0</v>
      </c>
      <c r="CY299" s="180">
        <f t="shared" si="56"/>
        <v>0</v>
      </c>
      <c r="CZ299" s="180">
        <f t="shared" si="56"/>
        <v>0</v>
      </c>
    </row>
    <row r="300" spans="1:104" x14ac:dyDescent="0.3">
      <c r="A300" s="558">
        <v>554</v>
      </c>
      <c r="B300" s="180"/>
      <c r="C300" s="180">
        <v>144</v>
      </c>
      <c r="D300" s="555">
        <f t="shared" ref="D300:AI300" si="57">D144</f>
        <v>0</v>
      </c>
      <c r="E300" s="555">
        <f t="shared" si="57"/>
        <v>0</v>
      </c>
      <c r="F300" s="555">
        <f t="shared" si="57"/>
        <v>0</v>
      </c>
      <c r="G300" s="555">
        <f t="shared" si="57"/>
        <v>0</v>
      </c>
      <c r="H300" s="555">
        <f t="shared" si="57"/>
        <v>0</v>
      </c>
      <c r="I300" s="555">
        <f t="shared" si="57"/>
        <v>0</v>
      </c>
      <c r="J300" s="555">
        <f t="shared" si="57"/>
        <v>0</v>
      </c>
      <c r="K300" s="555">
        <f t="shared" si="57"/>
        <v>0</v>
      </c>
      <c r="L300" s="555">
        <f t="shared" si="57"/>
        <v>0</v>
      </c>
      <c r="M300" s="555">
        <f t="shared" si="57"/>
        <v>351245</v>
      </c>
      <c r="N300" s="555">
        <f t="shared" si="57"/>
        <v>0</v>
      </c>
      <c r="O300" s="555">
        <f t="shared" si="57"/>
        <v>736868</v>
      </c>
      <c r="P300" s="555">
        <f t="shared" si="57"/>
        <v>0</v>
      </c>
      <c r="Q300" s="555">
        <f t="shared" si="57"/>
        <v>6754071</v>
      </c>
      <c r="R300" s="555">
        <f t="shared" si="57"/>
        <v>0</v>
      </c>
      <c r="S300" s="555">
        <f t="shared" si="57"/>
        <v>0</v>
      </c>
      <c r="T300" s="555">
        <f t="shared" si="57"/>
        <v>4716396</v>
      </c>
      <c r="U300" s="555">
        <f t="shared" si="57"/>
        <v>966878</v>
      </c>
      <c r="V300" s="555">
        <f t="shared" si="57"/>
        <v>1683055</v>
      </c>
      <c r="W300" s="555">
        <f t="shared" si="57"/>
        <v>4210429</v>
      </c>
      <c r="X300" s="555">
        <f t="shared" si="57"/>
        <v>0</v>
      </c>
      <c r="Y300" s="555">
        <f t="shared" si="57"/>
        <v>39787</v>
      </c>
      <c r="Z300" s="555">
        <f t="shared" si="57"/>
        <v>0</v>
      </c>
      <c r="AA300" s="555">
        <f t="shared" si="57"/>
        <v>2773385</v>
      </c>
      <c r="AB300" s="555">
        <f t="shared" si="57"/>
        <v>2227774</v>
      </c>
      <c r="AC300" s="555">
        <f t="shared" si="57"/>
        <v>0</v>
      </c>
      <c r="AD300" s="555">
        <f t="shared" si="57"/>
        <v>0</v>
      </c>
      <c r="AE300" s="555">
        <f t="shared" si="57"/>
        <v>0</v>
      </c>
      <c r="AF300" s="555">
        <f t="shared" si="57"/>
        <v>935385</v>
      </c>
      <c r="AG300" s="555">
        <f t="shared" si="57"/>
        <v>0</v>
      </c>
      <c r="AH300" s="555">
        <f t="shared" si="57"/>
        <v>0</v>
      </c>
      <c r="AI300" s="555">
        <f t="shared" si="57"/>
        <v>2789671</v>
      </c>
      <c r="AJ300" s="555">
        <f t="shared" ref="AJ300:BO300" si="58">AJ144</f>
        <v>0</v>
      </c>
      <c r="AK300" s="555">
        <f t="shared" si="58"/>
        <v>0</v>
      </c>
      <c r="AL300" s="555">
        <f t="shared" si="58"/>
        <v>0</v>
      </c>
      <c r="AM300" s="555">
        <f t="shared" si="58"/>
        <v>1295264</v>
      </c>
      <c r="AN300" s="555">
        <f t="shared" si="58"/>
        <v>0</v>
      </c>
      <c r="AO300" s="555">
        <f t="shared" si="58"/>
        <v>0</v>
      </c>
      <c r="AP300" s="555">
        <f t="shared" si="58"/>
        <v>0</v>
      </c>
      <c r="AQ300" s="555">
        <f t="shared" si="58"/>
        <v>3707522</v>
      </c>
      <c r="AR300" s="555">
        <f t="shared" si="58"/>
        <v>2682654</v>
      </c>
      <c r="AS300" s="555">
        <f t="shared" si="58"/>
        <v>0</v>
      </c>
      <c r="AT300" s="555">
        <f t="shared" si="58"/>
        <v>1309050</v>
      </c>
      <c r="AU300" s="555">
        <f t="shared" si="58"/>
        <v>0</v>
      </c>
      <c r="AV300" s="555">
        <f t="shared" si="58"/>
        <v>7622749</v>
      </c>
      <c r="AW300" s="555">
        <f t="shared" si="58"/>
        <v>0</v>
      </c>
      <c r="AX300" s="555">
        <f t="shared" si="58"/>
        <v>0</v>
      </c>
      <c r="AY300" s="555">
        <f t="shared" si="58"/>
        <v>420150</v>
      </c>
      <c r="AZ300" s="555">
        <f t="shared" si="58"/>
        <v>0</v>
      </c>
      <c r="BA300" s="555">
        <f t="shared" si="58"/>
        <v>0</v>
      </c>
      <c r="BB300" s="555">
        <f t="shared" si="58"/>
        <v>0</v>
      </c>
      <c r="BC300" s="555">
        <f t="shared" si="58"/>
        <v>0</v>
      </c>
      <c r="BD300" s="555">
        <f t="shared" si="58"/>
        <v>852311</v>
      </c>
      <c r="BE300" s="555">
        <f t="shared" si="58"/>
        <v>0</v>
      </c>
      <c r="BF300" s="555">
        <f t="shared" si="58"/>
        <v>0</v>
      </c>
      <c r="BG300" s="555">
        <f t="shared" si="58"/>
        <v>1286818</v>
      </c>
      <c r="BH300" s="555">
        <f t="shared" si="58"/>
        <v>0</v>
      </c>
      <c r="BI300" s="555">
        <f t="shared" si="58"/>
        <v>0</v>
      </c>
      <c r="BJ300" s="555">
        <f t="shared" si="58"/>
        <v>0</v>
      </c>
      <c r="BK300" s="555">
        <f t="shared" si="58"/>
        <v>671740</v>
      </c>
      <c r="BL300" s="555">
        <f t="shared" si="58"/>
        <v>0</v>
      </c>
      <c r="BM300" s="555">
        <f t="shared" si="58"/>
        <v>224342</v>
      </c>
      <c r="BN300" s="555">
        <f t="shared" si="58"/>
        <v>0</v>
      </c>
      <c r="BO300" s="555">
        <f t="shared" si="58"/>
        <v>0</v>
      </c>
      <c r="BP300" s="555">
        <f t="shared" ref="BP300:CZ300" si="59">BP144</f>
        <v>0</v>
      </c>
      <c r="BQ300" s="555">
        <f t="shared" si="59"/>
        <v>19132</v>
      </c>
      <c r="BR300" s="555">
        <f t="shared" si="59"/>
        <v>11000</v>
      </c>
      <c r="BS300" s="555">
        <f t="shared" si="59"/>
        <v>0</v>
      </c>
      <c r="BT300" s="555">
        <f t="shared" si="59"/>
        <v>0</v>
      </c>
      <c r="BU300" s="555">
        <f t="shared" si="59"/>
        <v>0</v>
      </c>
      <c r="BV300" s="555">
        <f t="shared" si="59"/>
        <v>0</v>
      </c>
      <c r="BW300" s="555">
        <f t="shared" si="59"/>
        <v>0</v>
      </c>
      <c r="BX300" s="555">
        <f t="shared" si="59"/>
        <v>0</v>
      </c>
      <c r="BY300" s="555">
        <f t="shared" si="59"/>
        <v>0</v>
      </c>
      <c r="BZ300" s="555">
        <f t="shared" si="59"/>
        <v>346112</v>
      </c>
      <c r="CA300" s="555">
        <f t="shared" si="59"/>
        <v>0</v>
      </c>
      <c r="CB300" s="555">
        <f t="shared" si="59"/>
        <v>1779</v>
      </c>
      <c r="CC300" s="555">
        <f t="shared" si="59"/>
        <v>0</v>
      </c>
      <c r="CD300" s="555">
        <f t="shared" si="59"/>
        <v>0</v>
      </c>
      <c r="CE300" s="555">
        <f t="shared" si="59"/>
        <v>0</v>
      </c>
      <c r="CF300" s="555">
        <f t="shared" si="59"/>
        <v>0</v>
      </c>
      <c r="CG300" s="555">
        <f t="shared" si="59"/>
        <v>0</v>
      </c>
      <c r="CH300" s="555">
        <f t="shared" si="59"/>
        <v>0</v>
      </c>
      <c r="CI300" s="555">
        <f t="shared" si="59"/>
        <v>0</v>
      </c>
      <c r="CJ300" s="555">
        <f t="shared" si="59"/>
        <v>0</v>
      </c>
      <c r="CK300" s="555">
        <f t="shared" si="59"/>
        <v>0</v>
      </c>
      <c r="CL300" s="555">
        <f t="shared" si="59"/>
        <v>0</v>
      </c>
      <c r="CM300" s="555">
        <f t="shared" si="59"/>
        <v>0</v>
      </c>
      <c r="CN300" s="555">
        <f t="shared" si="59"/>
        <v>0</v>
      </c>
      <c r="CO300" s="555">
        <f t="shared" si="59"/>
        <v>0</v>
      </c>
      <c r="CP300" s="555">
        <f t="shared" si="59"/>
        <v>0</v>
      </c>
      <c r="CQ300" s="555">
        <f t="shared" si="59"/>
        <v>0</v>
      </c>
      <c r="CR300" s="555">
        <f t="shared" si="59"/>
        <v>0</v>
      </c>
      <c r="CS300" s="555">
        <f t="shared" si="59"/>
        <v>0</v>
      </c>
      <c r="CT300" s="555">
        <f t="shared" si="59"/>
        <v>0</v>
      </c>
      <c r="CU300" s="555">
        <f t="shared" si="59"/>
        <v>0</v>
      </c>
      <c r="CV300" s="555">
        <f t="shared" si="59"/>
        <v>0</v>
      </c>
      <c r="CW300" s="555">
        <f t="shared" si="59"/>
        <v>0</v>
      </c>
      <c r="CX300" s="555">
        <f t="shared" si="59"/>
        <v>0</v>
      </c>
      <c r="CY300" s="555">
        <f t="shared" si="59"/>
        <v>0</v>
      </c>
      <c r="CZ300" s="555">
        <f t="shared" si="59"/>
        <v>0</v>
      </c>
    </row>
    <row r="301" spans="1:104" x14ac:dyDescent="0.3">
      <c r="A301" s="558">
        <v>555</v>
      </c>
      <c r="B301" s="180"/>
      <c r="C301" s="180">
        <v>145</v>
      </c>
      <c r="D301" s="555">
        <f t="shared" ref="D301:AI301" si="60">D145</f>
        <v>0</v>
      </c>
      <c r="E301" s="555">
        <f t="shared" si="60"/>
        <v>0</v>
      </c>
      <c r="F301" s="555">
        <f t="shared" si="60"/>
        <v>0</v>
      </c>
      <c r="G301" s="555">
        <f t="shared" si="60"/>
        <v>0</v>
      </c>
      <c r="H301" s="555">
        <f t="shared" si="60"/>
        <v>0</v>
      </c>
      <c r="I301" s="555">
        <f t="shared" si="60"/>
        <v>0</v>
      </c>
      <c r="J301" s="555">
        <f t="shared" si="60"/>
        <v>0</v>
      </c>
      <c r="K301" s="555">
        <f t="shared" si="60"/>
        <v>0</v>
      </c>
      <c r="L301" s="555">
        <f t="shared" si="60"/>
        <v>0</v>
      </c>
      <c r="M301" s="555">
        <f t="shared" si="60"/>
        <v>0</v>
      </c>
      <c r="N301" s="555">
        <f t="shared" si="60"/>
        <v>0</v>
      </c>
      <c r="O301" s="555">
        <f t="shared" si="60"/>
        <v>484397</v>
      </c>
      <c r="P301" s="555">
        <f t="shared" si="60"/>
        <v>0</v>
      </c>
      <c r="Q301" s="555">
        <f t="shared" si="60"/>
        <v>5663254</v>
      </c>
      <c r="R301" s="555">
        <f t="shared" si="60"/>
        <v>0</v>
      </c>
      <c r="S301" s="555">
        <f t="shared" si="60"/>
        <v>0</v>
      </c>
      <c r="T301" s="555">
        <f t="shared" si="60"/>
        <v>3980749</v>
      </c>
      <c r="U301" s="555">
        <f t="shared" si="60"/>
        <v>449523</v>
      </c>
      <c r="V301" s="555">
        <f t="shared" si="60"/>
        <v>1003654</v>
      </c>
      <c r="W301" s="555">
        <f t="shared" si="60"/>
        <v>4210429</v>
      </c>
      <c r="X301" s="555">
        <f t="shared" si="60"/>
        <v>0</v>
      </c>
      <c r="Y301" s="555">
        <f t="shared" si="60"/>
        <v>0</v>
      </c>
      <c r="Z301" s="555">
        <f t="shared" si="60"/>
        <v>0</v>
      </c>
      <c r="AA301" s="555">
        <f t="shared" si="60"/>
        <v>2768953</v>
      </c>
      <c r="AB301" s="555">
        <f t="shared" si="60"/>
        <v>1929998</v>
      </c>
      <c r="AC301" s="555">
        <f t="shared" si="60"/>
        <v>0</v>
      </c>
      <c r="AD301" s="555">
        <f t="shared" si="60"/>
        <v>0</v>
      </c>
      <c r="AE301" s="555">
        <f t="shared" si="60"/>
        <v>0</v>
      </c>
      <c r="AF301" s="555">
        <f t="shared" si="60"/>
        <v>474062</v>
      </c>
      <c r="AG301" s="555">
        <f t="shared" si="60"/>
        <v>0</v>
      </c>
      <c r="AH301" s="555">
        <f t="shared" si="60"/>
        <v>0</v>
      </c>
      <c r="AI301" s="555">
        <f t="shared" si="60"/>
        <v>2048150</v>
      </c>
      <c r="AJ301" s="555">
        <f t="shared" ref="AJ301:BO301" si="61">AJ145</f>
        <v>0</v>
      </c>
      <c r="AK301" s="555">
        <f t="shared" si="61"/>
        <v>0</v>
      </c>
      <c r="AL301" s="555">
        <f t="shared" si="61"/>
        <v>0</v>
      </c>
      <c r="AM301" s="555">
        <f t="shared" si="61"/>
        <v>776101</v>
      </c>
      <c r="AN301" s="555">
        <f t="shared" si="61"/>
        <v>0</v>
      </c>
      <c r="AO301" s="555">
        <f t="shared" si="61"/>
        <v>0</v>
      </c>
      <c r="AP301" s="555">
        <f t="shared" si="61"/>
        <v>0</v>
      </c>
      <c r="AQ301" s="555">
        <f t="shared" si="61"/>
        <v>3656713</v>
      </c>
      <c r="AR301" s="555">
        <f t="shared" si="61"/>
        <v>2102654</v>
      </c>
      <c r="AS301" s="555">
        <f t="shared" si="61"/>
        <v>0</v>
      </c>
      <c r="AT301" s="555">
        <f t="shared" si="61"/>
        <v>1309050</v>
      </c>
      <c r="AU301" s="555">
        <f t="shared" si="61"/>
        <v>0</v>
      </c>
      <c r="AV301" s="555">
        <f t="shared" si="61"/>
        <v>7545971</v>
      </c>
      <c r="AW301" s="555">
        <f t="shared" si="61"/>
        <v>0</v>
      </c>
      <c r="AX301" s="555">
        <f t="shared" si="61"/>
        <v>0</v>
      </c>
      <c r="AY301" s="555">
        <f t="shared" si="61"/>
        <v>0</v>
      </c>
      <c r="AZ301" s="555">
        <f t="shared" si="61"/>
        <v>0</v>
      </c>
      <c r="BA301" s="555">
        <f t="shared" si="61"/>
        <v>0</v>
      </c>
      <c r="BB301" s="555">
        <f t="shared" si="61"/>
        <v>0</v>
      </c>
      <c r="BC301" s="555">
        <f t="shared" si="61"/>
        <v>0</v>
      </c>
      <c r="BD301" s="555">
        <f t="shared" si="61"/>
        <v>462040</v>
      </c>
      <c r="BE301" s="555">
        <f t="shared" si="61"/>
        <v>0</v>
      </c>
      <c r="BF301" s="555">
        <f t="shared" si="61"/>
        <v>0</v>
      </c>
      <c r="BG301" s="555">
        <f t="shared" si="61"/>
        <v>955637</v>
      </c>
      <c r="BH301" s="555">
        <f t="shared" si="61"/>
        <v>0</v>
      </c>
      <c r="BI301" s="555">
        <f t="shared" si="61"/>
        <v>0</v>
      </c>
      <c r="BJ301" s="555">
        <f t="shared" si="61"/>
        <v>0</v>
      </c>
      <c r="BK301" s="555">
        <f t="shared" si="61"/>
        <v>0</v>
      </c>
      <c r="BL301" s="555">
        <f t="shared" si="61"/>
        <v>0</v>
      </c>
      <c r="BM301" s="555">
        <f t="shared" si="61"/>
        <v>0</v>
      </c>
      <c r="BN301" s="555">
        <f t="shared" si="61"/>
        <v>0</v>
      </c>
      <c r="BO301" s="555">
        <f t="shared" si="61"/>
        <v>0</v>
      </c>
      <c r="BP301" s="555">
        <f t="shared" ref="BP301:CZ301" si="62">BP145</f>
        <v>0</v>
      </c>
      <c r="BQ301" s="555">
        <f t="shared" si="62"/>
        <v>0</v>
      </c>
      <c r="BR301" s="555">
        <f t="shared" si="62"/>
        <v>0</v>
      </c>
      <c r="BS301" s="555">
        <f t="shared" si="62"/>
        <v>0</v>
      </c>
      <c r="BT301" s="555">
        <f t="shared" si="62"/>
        <v>0</v>
      </c>
      <c r="BU301" s="555">
        <f t="shared" si="62"/>
        <v>0</v>
      </c>
      <c r="BV301" s="555">
        <f t="shared" si="62"/>
        <v>0</v>
      </c>
      <c r="BW301" s="555">
        <f t="shared" si="62"/>
        <v>0</v>
      </c>
      <c r="BX301" s="555">
        <f t="shared" si="62"/>
        <v>0</v>
      </c>
      <c r="BY301" s="555">
        <f t="shared" si="62"/>
        <v>0</v>
      </c>
      <c r="BZ301" s="555">
        <f t="shared" si="62"/>
        <v>0</v>
      </c>
      <c r="CA301" s="555">
        <f t="shared" si="62"/>
        <v>0</v>
      </c>
      <c r="CB301" s="555">
        <f t="shared" si="62"/>
        <v>0</v>
      </c>
      <c r="CC301" s="555">
        <f t="shared" si="62"/>
        <v>0</v>
      </c>
      <c r="CD301" s="555">
        <f t="shared" si="62"/>
        <v>0</v>
      </c>
      <c r="CE301" s="555">
        <f t="shared" si="62"/>
        <v>0</v>
      </c>
      <c r="CF301" s="555">
        <f t="shared" si="62"/>
        <v>0</v>
      </c>
      <c r="CG301" s="555">
        <f t="shared" si="62"/>
        <v>0</v>
      </c>
      <c r="CH301" s="555">
        <f t="shared" si="62"/>
        <v>0</v>
      </c>
      <c r="CI301" s="555">
        <f t="shared" si="62"/>
        <v>0</v>
      </c>
      <c r="CJ301" s="555">
        <f t="shared" si="62"/>
        <v>0</v>
      </c>
      <c r="CK301" s="555">
        <f t="shared" si="62"/>
        <v>0</v>
      </c>
      <c r="CL301" s="555">
        <f t="shared" si="62"/>
        <v>0</v>
      </c>
      <c r="CM301" s="555">
        <f t="shared" si="62"/>
        <v>0</v>
      </c>
      <c r="CN301" s="555">
        <f t="shared" si="62"/>
        <v>0</v>
      </c>
      <c r="CO301" s="555">
        <f t="shared" si="62"/>
        <v>0</v>
      </c>
      <c r="CP301" s="555">
        <f t="shared" si="62"/>
        <v>0</v>
      </c>
      <c r="CQ301" s="555">
        <f t="shared" si="62"/>
        <v>0</v>
      </c>
      <c r="CR301" s="555">
        <f t="shared" si="62"/>
        <v>0</v>
      </c>
      <c r="CS301" s="555">
        <f t="shared" si="62"/>
        <v>0</v>
      </c>
      <c r="CT301" s="555">
        <f t="shared" si="62"/>
        <v>0</v>
      </c>
      <c r="CU301" s="555">
        <f t="shared" si="62"/>
        <v>0</v>
      </c>
      <c r="CV301" s="555">
        <f t="shared" si="62"/>
        <v>0</v>
      </c>
      <c r="CW301" s="555">
        <f t="shared" si="62"/>
        <v>0</v>
      </c>
      <c r="CX301" s="555">
        <f t="shared" si="62"/>
        <v>0</v>
      </c>
      <c r="CY301" s="555">
        <f t="shared" si="62"/>
        <v>0</v>
      </c>
      <c r="CZ301" s="555">
        <f t="shared" si="62"/>
        <v>0</v>
      </c>
    </row>
    <row r="302" spans="1:104" x14ac:dyDescent="0.3">
      <c r="A302" s="558">
        <v>556</v>
      </c>
      <c r="B302" s="180"/>
      <c r="C302" s="180">
        <v>146</v>
      </c>
      <c r="D302" s="555">
        <f t="shared" ref="D302:AI302" si="63">D146</f>
        <v>0</v>
      </c>
      <c r="E302" s="555">
        <f t="shared" si="63"/>
        <v>0</v>
      </c>
      <c r="F302" s="555">
        <f t="shared" si="63"/>
        <v>0</v>
      </c>
      <c r="G302" s="555">
        <f t="shared" si="63"/>
        <v>0</v>
      </c>
      <c r="H302" s="555">
        <f t="shared" si="63"/>
        <v>0</v>
      </c>
      <c r="I302" s="555">
        <f t="shared" si="63"/>
        <v>0</v>
      </c>
      <c r="J302" s="555">
        <f t="shared" si="63"/>
        <v>0</v>
      </c>
      <c r="K302" s="555">
        <f t="shared" si="63"/>
        <v>0</v>
      </c>
      <c r="L302" s="555">
        <f t="shared" si="63"/>
        <v>0</v>
      </c>
      <c r="M302" s="555">
        <f t="shared" si="63"/>
        <v>602216</v>
      </c>
      <c r="N302" s="555">
        <f t="shared" si="63"/>
        <v>0</v>
      </c>
      <c r="O302" s="555">
        <f t="shared" si="63"/>
        <v>170308</v>
      </c>
      <c r="P302" s="555">
        <f t="shared" si="63"/>
        <v>0</v>
      </c>
      <c r="Q302" s="555">
        <f t="shared" si="63"/>
        <v>879861</v>
      </c>
      <c r="R302" s="555">
        <f t="shared" si="63"/>
        <v>0</v>
      </c>
      <c r="S302" s="555">
        <f t="shared" si="63"/>
        <v>0</v>
      </c>
      <c r="T302" s="555">
        <f t="shared" si="63"/>
        <v>1130644</v>
      </c>
      <c r="U302" s="555">
        <f t="shared" si="63"/>
        <v>38652</v>
      </c>
      <c r="V302" s="555">
        <f t="shared" si="63"/>
        <v>410828</v>
      </c>
      <c r="W302" s="555">
        <f t="shared" si="63"/>
        <v>1369163</v>
      </c>
      <c r="X302" s="555">
        <f t="shared" si="63"/>
        <v>0</v>
      </c>
      <c r="Y302" s="555">
        <f t="shared" si="63"/>
        <v>1219897</v>
      </c>
      <c r="Z302" s="555">
        <f t="shared" si="63"/>
        <v>0</v>
      </c>
      <c r="AA302" s="555">
        <f t="shared" si="63"/>
        <v>1230118</v>
      </c>
      <c r="AB302" s="555">
        <f t="shared" si="63"/>
        <v>3031163</v>
      </c>
      <c r="AC302" s="555">
        <f t="shared" si="63"/>
        <v>0</v>
      </c>
      <c r="AD302" s="555">
        <f t="shared" si="63"/>
        <v>0</v>
      </c>
      <c r="AE302" s="555">
        <f t="shared" si="63"/>
        <v>0</v>
      </c>
      <c r="AF302" s="555">
        <f t="shared" si="63"/>
        <v>144434</v>
      </c>
      <c r="AG302" s="555">
        <f t="shared" si="63"/>
        <v>0</v>
      </c>
      <c r="AH302" s="555">
        <f t="shared" si="63"/>
        <v>0</v>
      </c>
      <c r="AI302" s="555">
        <f t="shared" si="63"/>
        <v>2385250</v>
      </c>
      <c r="AJ302" s="555">
        <f t="shared" ref="AJ302:BO302" si="64">AJ146</f>
        <v>0</v>
      </c>
      <c r="AK302" s="555">
        <f t="shared" si="64"/>
        <v>0</v>
      </c>
      <c r="AL302" s="555">
        <f t="shared" si="64"/>
        <v>0</v>
      </c>
      <c r="AM302" s="555">
        <f t="shared" si="64"/>
        <v>1378796</v>
      </c>
      <c r="AN302" s="555">
        <f t="shared" si="64"/>
        <v>0</v>
      </c>
      <c r="AO302" s="555">
        <f t="shared" si="64"/>
        <v>0</v>
      </c>
      <c r="AP302" s="555">
        <f t="shared" si="64"/>
        <v>0</v>
      </c>
      <c r="AQ302" s="555">
        <f t="shared" si="64"/>
        <v>1745271</v>
      </c>
      <c r="AR302" s="555">
        <f t="shared" si="64"/>
        <v>172195</v>
      </c>
      <c r="AS302" s="555">
        <f t="shared" si="64"/>
        <v>0</v>
      </c>
      <c r="AT302" s="555">
        <f t="shared" si="64"/>
        <v>3040764</v>
      </c>
      <c r="AU302" s="555">
        <f t="shared" si="64"/>
        <v>0</v>
      </c>
      <c r="AV302" s="555">
        <f t="shared" si="64"/>
        <v>3552689</v>
      </c>
      <c r="AW302" s="555">
        <f t="shared" si="64"/>
        <v>0</v>
      </c>
      <c r="AX302" s="555">
        <f t="shared" si="64"/>
        <v>0</v>
      </c>
      <c r="AY302" s="555">
        <f t="shared" si="64"/>
        <v>15114858</v>
      </c>
      <c r="AZ302" s="555">
        <f t="shared" si="64"/>
        <v>0</v>
      </c>
      <c r="BA302" s="555">
        <f t="shared" si="64"/>
        <v>0</v>
      </c>
      <c r="BB302" s="555">
        <f t="shared" si="64"/>
        <v>0</v>
      </c>
      <c r="BC302" s="555">
        <f t="shared" si="64"/>
        <v>0</v>
      </c>
      <c r="BD302" s="555">
        <f t="shared" si="64"/>
        <v>8012271</v>
      </c>
      <c r="BE302" s="555">
        <f t="shared" si="64"/>
        <v>0</v>
      </c>
      <c r="BF302" s="555">
        <f t="shared" si="64"/>
        <v>0</v>
      </c>
      <c r="BG302" s="555">
        <f t="shared" si="64"/>
        <v>330881</v>
      </c>
      <c r="BH302" s="555">
        <f t="shared" si="64"/>
        <v>0</v>
      </c>
      <c r="BI302" s="555">
        <f t="shared" si="64"/>
        <v>0</v>
      </c>
      <c r="BJ302" s="555">
        <f t="shared" si="64"/>
        <v>0</v>
      </c>
      <c r="BK302" s="555">
        <f t="shared" si="64"/>
        <v>1073084</v>
      </c>
      <c r="BL302" s="555">
        <f t="shared" si="64"/>
        <v>0</v>
      </c>
      <c r="BM302" s="555">
        <f t="shared" si="64"/>
        <v>4160641</v>
      </c>
      <c r="BN302" s="555">
        <f t="shared" si="64"/>
        <v>0</v>
      </c>
      <c r="BO302" s="555">
        <f t="shared" si="64"/>
        <v>0</v>
      </c>
      <c r="BP302" s="555">
        <f t="shared" ref="BP302:CZ302" si="65">BP146</f>
        <v>0</v>
      </c>
      <c r="BQ302" s="555">
        <f t="shared" si="65"/>
        <v>570182</v>
      </c>
      <c r="BR302" s="555">
        <f t="shared" si="65"/>
        <v>624329</v>
      </c>
      <c r="BS302" s="555">
        <f t="shared" si="65"/>
        <v>0</v>
      </c>
      <c r="BT302" s="555">
        <f t="shared" si="65"/>
        <v>0</v>
      </c>
      <c r="BU302" s="555">
        <f t="shared" si="65"/>
        <v>0</v>
      </c>
      <c r="BV302" s="555">
        <f t="shared" si="65"/>
        <v>0</v>
      </c>
      <c r="BW302" s="555">
        <f t="shared" si="65"/>
        <v>0</v>
      </c>
      <c r="BX302" s="555">
        <f t="shared" si="65"/>
        <v>0</v>
      </c>
      <c r="BY302" s="555">
        <f t="shared" si="65"/>
        <v>0</v>
      </c>
      <c r="BZ302" s="555">
        <f t="shared" si="65"/>
        <v>1084246</v>
      </c>
      <c r="CA302" s="555">
        <f t="shared" si="65"/>
        <v>0</v>
      </c>
      <c r="CB302" s="555">
        <f t="shared" si="65"/>
        <v>1333149</v>
      </c>
      <c r="CC302" s="555">
        <f t="shared" si="65"/>
        <v>0</v>
      </c>
      <c r="CD302" s="555">
        <f t="shared" si="65"/>
        <v>0</v>
      </c>
      <c r="CE302" s="555">
        <f t="shared" si="65"/>
        <v>0</v>
      </c>
      <c r="CF302" s="555">
        <f t="shared" si="65"/>
        <v>0</v>
      </c>
      <c r="CG302" s="555">
        <f t="shared" si="65"/>
        <v>0</v>
      </c>
      <c r="CH302" s="555">
        <f t="shared" si="65"/>
        <v>0</v>
      </c>
      <c r="CI302" s="555">
        <f t="shared" si="65"/>
        <v>0</v>
      </c>
      <c r="CJ302" s="555">
        <f t="shared" si="65"/>
        <v>0</v>
      </c>
      <c r="CK302" s="555">
        <f t="shared" si="65"/>
        <v>0</v>
      </c>
      <c r="CL302" s="555">
        <f t="shared" si="65"/>
        <v>0</v>
      </c>
      <c r="CM302" s="555">
        <f t="shared" si="65"/>
        <v>0</v>
      </c>
      <c r="CN302" s="555">
        <f t="shared" si="65"/>
        <v>0</v>
      </c>
      <c r="CO302" s="555">
        <f t="shared" si="65"/>
        <v>0</v>
      </c>
      <c r="CP302" s="555">
        <f t="shared" si="65"/>
        <v>0</v>
      </c>
      <c r="CQ302" s="555">
        <f t="shared" si="65"/>
        <v>0</v>
      </c>
      <c r="CR302" s="555">
        <f t="shared" si="65"/>
        <v>0</v>
      </c>
      <c r="CS302" s="555">
        <f t="shared" si="65"/>
        <v>0</v>
      </c>
      <c r="CT302" s="555">
        <f t="shared" si="65"/>
        <v>0</v>
      </c>
      <c r="CU302" s="555">
        <f t="shared" si="65"/>
        <v>0</v>
      </c>
      <c r="CV302" s="555">
        <f t="shared" si="65"/>
        <v>0</v>
      </c>
      <c r="CW302" s="555">
        <f t="shared" si="65"/>
        <v>0</v>
      </c>
      <c r="CX302" s="555">
        <f t="shared" si="65"/>
        <v>0</v>
      </c>
      <c r="CY302" s="555">
        <f t="shared" si="65"/>
        <v>0</v>
      </c>
      <c r="CZ302" s="555">
        <f t="shared" si="65"/>
        <v>0</v>
      </c>
    </row>
    <row r="303" spans="1:104" x14ac:dyDescent="0.3">
      <c r="A303" s="558">
        <v>557</v>
      </c>
      <c r="B303" s="180"/>
      <c r="C303" s="180">
        <v>147</v>
      </c>
      <c r="D303" s="555">
        <f t="shared" ref="D303:AI303" si="66">D147</f>
        <v>0</v>
      </c>
      <c r="E303" s="555">
        <f t="shared" si="66"/>
        <v>0</v>
      </c>
      <c r="F303" s="555">
        <f t="shared" si="66"/>
        <v>0</v>
      </c>
      <c r="G303" s="555">
        <f t="shared" si="66"/>
        <v>0</v>
      </c>
      <c r="H303" s="555">
        <f t="shared" si="66"/>
        <v>0</v>
      </c>
      <c r="I303" s="555">
        <f t="shared" si="66"/>
        <v>0</v>
      </c>
      <c r="J303" s="555">
        <f t="shared" si="66"/>
        <v>0</v>
      </c>
      <c r="K303" s="555">
        <f t="shared" si="66"/>
        <v>0</v>
      </c>
      <c r="L303" s="555">
        <f t="shared" si="66"/>
        <v>0</v>
      </c>
      <c r="M303" s="555">
        <f t="shared" si="66"/>
        <v>602216</v>
      </c>
      <c r="N303" s="555">
        <f t="shared" si="66"/>
        <v>0</v>
      </c>
      <c r="O303" s="555">
        <f t="shared" si="66"/>
        <v>0</v>
      </c>
      <c r="P303" s="555">
        <f t="shared" si="66"/>
        <v>0</v>
      </c>
      <c r="Q303" s="555">
        <f t="shared" si="66"/>
        <v>410063</v>
      </c>
      <c r="R303" s="555">
        <f t="shared" si="66"/>
        <v>0</v>
      </c>
      <c r="S303" s="555">
        <f t="shared" si="66"/>
        <v>0</v>
      </c>
      <c r="T303" s="555">
        <f t="shared" si="66"/>
        <v>635389</v>
      </c>
      <c r="U303" s="555">
        <f t="shared" si="66"/>
        <v>0</v>
      </c>
      <c r="V303" s="555">
        <f t="shared" si="66"/>
        <v>0</v>
      </c>
      <c r="W303" s="555">
        <f t="shared" si="66"/>
        <v>1360403</v>
      </c>
      <c r="X303" s="555">
        <f t="shared" si="66"/>
        <v>0</v>
      </c>
      <c r="Y303" s="555">
        <f t="shared" si="66"/>
        <v>545000</v>
      </c>
      <c r="Z303" s="555">
        <f t="shared" si="66"/>
        <v>0</v>
      </c>
      <c r="AA303" s="555">
        <f t="shared" si="66"/>
        <v>800000</v>
      </c>
      <c r="AB303" s="555">
        <f t="shared" si="66"/>
        <v>2934617</v>
      </c>
      <c r="AC303" s="555">
        <f t="shared" si="66"/>
        <v>0</v>
      </c>
      <c r="AD303" s="555">
        <f t="shared" si="66"/>
        <v>0</v>
      </c>
      <c r="AE303" s="555">
        <f t="shared" si="66"/>
        <v>0</v>
      </c>
      <c r="AF303" s="555">
        <f t="shared" si="66"/>
        <v>0</v>
      </c>
      <c r="AG303" s="555">
        <f t="shared" si="66"/>
        <v>0</v>
      </c>
      <c r="AH303" s="555">
        <f t="shared" si="66"/>
        <v>0</v>
      </c>
      <c r="AI303" s="555">
        <f t="shared" si="66"/>
        <v>1791141</v>
      </c>
      <c r="AJ303" s="555">
        <f t="shared" ref="AJ303:BO303" si="67">AJ147</f>
        <v>0</v>
      </c>
      <c r="AK303" s="555">
        <f t="shared" si="67"/>
        <v>0</v>
      </c>
      <c r="AL303" s="555">
        <f t="shared" si="67"/>
        <v>0</v>
      </c>
      <c r="AM303" s="555">
        <f t="shared" si="67"/>
        <v>1100208</v>
      </c>
      <c r="AN303" s="555">
        <f t="shared" si="67"/>
        <v>0</v>
      </c>
      <c r="AO303" s="555">
        <f t="shared" si="67"/>
        <v>0</v>
      </c>
      <c r="AP303" s="555">
        <f t="shared" si="67"/>
        <v>0</v>
      </c>
      <c r="AQ303" s="555">
        <f t="shared" si="67"/>
        <v>1218904</v>
      </c>
      <c r="AR303" s="555">
        <f t="shared" si="67"/>
        <v>0</v>
      </c>
      <c r="AS303" s="555">
        <f t="shared" si="67"/>
        <v>0</v>
      </c>
      <c r="AT303" s="555">
        <f t="shared" si="67"/>
        <v>2924984</v>
      </c>
      <c r="AU303" s="555">
        <f t="shared" si="67"/>
        <v>0</v>
      </c>
      <c r="AV303" s="555">
        <f t="shared" si="67"/>
        <v>2515324</v>
      </c>
      <c r="AW303" s="555">
        <f t="shared" si="67"/>
        <v>0</v>
      </c>
      <c r="AX303" s="555">
        <f t="shared" si="67"/>
        <v>0</v>
      </c>
      <c r="AY303" s="555">
        <f t="shared" si="67"/>
        <v>14919687</v>
      </c>
      <c r="AZ303" s="555">
        <f t="shared" si="67"/>
        <v>0</v>
      </c>
      <c r="BA303" s="555">
        <f t="shared" si="67"/>
        <v>0</v>
      </c>
      <c r="BB303" s="555">
        <f t="shared" si="67"/>
        <v>0</v>
      </c>
      <c r="BC303" s="555">
        <f t="shared" si="67"/>
        <v>0</v>
      </c>
      <c r="BD303" s="555">
        <f t="shared" si="67"/>
        <v>7814842</v>
      </c>
      <c r="BE303" s="555">
        <f t="shared" si="67"/>
        <v>0</v>
      </c>
      <c r="BF303" s="555">
        <f t="shared" si="67"/>
        <v>0</v>
      </c>
      <c r="BG303" s="555">
        <f t="shared" si="67"/>
        <v>0</v>
      </c>
      <c r="BH303" s="555">
        <f t="shared" si="67"/>
        <v>0</v>
      </c>
      <c r="BI303" s="555">
        <f t="shared" si="67"/>
        <v>0</v>
      </c>
      <c r="BJ303" s="555">
        <f t="shared" si="67"/>
        <v>0</v>
      </c>
      <c r="BK303" s="555">
        <f t="shared" si="67"/>
        <v>600000</v>
      </c>
      <c r="BL303" s="555">
        <f t="shared" si="67"/>
        <v>0</v>
      </c>
      <c r="BM303" s="555">
        <f t="shared" si="67"/>
        <v>3816683</v>
      </c>
      <c r="BN303" s="555">
        <f t="shared" si="67"/>
        <v>0</v>
      </c>
      <c r="BO303" s="555">
        <f t="shared" si="67"/>
        <v>0</v>
      </c>
      <c r="BP303" s="555">
        <f t="shared" ref="BP303:CZ303" si="68">BP147</f>
        <v>0</v>
      </c>
      <c r="BQ303" s="555">
        <f t="shared" si="68"/>
        <v>568939</v>
      </c>
      <c r="BR303" s="555">
        <f t="shared" si="68"/>
        <v>519373</v>
      </c>
      <c r="BS303" s="555">
        <f t="shared" si="68"/>
        <v>0</v>
      </c>
      <c r="BT303" s="555">
        <f t="shared" si="68"/>
        <v>0</v>
      </c>
      <c r="BU303" s="555">
        <f t="shared" si="68"/>
        <v>0</v>
      </c>
      <c r="BV303" s="555">
        <f t="shared" si="68"/>
        <v>0</v>
      </c>
      <c r="BW303" s="555">
        <f t="shared" si="68"/>
        <v>0</v>
      </c>
      <c r="BX303" s="555">
        <f t="shared" si="68"/>
        <v>0</v>
      </c>
      <c r="BY303" s="555">
        <f t="shared" si="68"/>
        <v>0</v>
      </c>
      <c r="BZ303" s="555">
        <f t="shared" si="68"/>
        <v>964537</v>
      </c>
      <c r="CA303" s="555">
        <f t="shared" si="68"/>
        <v>0</v>
      </c>
      <c r="CB303" s="555">
        <f t="shared" si="68"/>
        <v>1239951</v>
      </c>
      <c r="CC303" s="555">
        <f t="shared" si="68"/>
        <v>0</v>
      </c>
      <c r="CD303" s="555">
        <f t="shared" si="68"/>
        <v>0</v>
      </c>
      <c r="CE303" s="555">
        <f t="shared" si="68"/>
        <v>0</v>
      </c>
      <c r="CF303" s="555">
        <f t="shared" si="68"/>
        <v>0</v>
      </c>
      <c r="CG303" s="555">
        <f t="shared" si="68"/>
        <v>0</v>
      </c>
      <c r="CH303" s="555">
        <f t="shared" si="68"/>
        <v>0</v>
      </c>
      <c r="CI303" s="555">
        <f t="shared" si="68"/>
        <v>0</v>
      </c>
      <c r="CJ303" s="555">
        <f t="shared" si="68"/>
        <v>0</v>
      </c>
      <c r="CK303" s="555">
        <f t="shared" si="68"/>
        <v>0</v>
      </c>
      <c r="CL303" s="555">
        <f t="shared" si="68"/>
        <v>0</v>
      </c>
      <c r="CM303" s="555">
        <f t="shared" si="68"/>
        <v>0</v>
      </c>
      <c r="CN303" s="555">
        <f t="shared" si="68"/>
        <v>0</v>
      </c>
      <c r="CO303" s="555">
        <f t="shared" si="68"/>
        <v>0</v>
      </c>
      <c r="CP303" s="555">
        <f t="shared" si="68"/>
        <v>0</v>
      </c>
      <c r="CQ303" s="555">
        <f t="shared" si="68"/>
        <v>0</v>
      </c>
      <c r="CR303" s="555">
        <f t="shared" si="68"/>
        <v>0</v>
      </c>
      <c r="CS303" s="555">
        <f t="shared" si="68"/>
        <v>0</v>
      </c>
      <c r="CT303" s="555">
        <f t="shared" si="68"/>
        <v>0</v>
      </c>
      <c r="CU303" s="555">
        <f t="shared" si="68"/>
        <v>0</v>
      </c>
      <c r="CV303" s="555">
        <f t="shared" si="68"/>
        <v>0</v>
      </c>
      <c r="CW303" s="555">
        <f t="shared" si="68"/>
        <v>0</v>
      </c>
      <c r="CX303" s="555">
        <f t="shared" si="68"/>
        <v>0</v>
      </c>
      <c r="CY303" s="555">
        <f t="shared" si="68"/>
        <v>0</v>
      </c>
      <c r="CZ303" s="555">
        <f t="shared" si="68"/>
        <v>0</v>
      </c>
    </row>
    <row r="304" spans="1:104" x14ac:dyDescent="0.3">
      <c r="A304" s="558">
        <v>606</v>
      </c>
      <c r="B304" s="180"/>
      <c r="C304" s="180">
        <v>164</v>
      </c>
      <c r="D304" s="555">
        <f t="shared" ref="D304:AI304" si="69">D164</f>
        <v>0</v>
      </c>
      <c r="E304" s="555">
        <f t="shared" si="69"/>
        <v>0</v>
      </c>
      <c r="F304" s="555">
        <f t="shared" si="69"/>
        <v>0</v>
      </c>
      <c r="G304" s="555">
        <f t="shared" si="69"/>
        <v>0</v>
      </c>
      <c r="H304" s="555">
        <f t="shared" si="69"/>
        <v>0</v>
      </c>
      <c r="I304" s="555">
        <f t="shared" si="69"/>
        <v>0</v>
      </c>
      <c r="J304" s="555">
        <f t="shared" si="69"/>
        <v>0</v>
      </c>
      <c r="K304" s="555">
        <f t="shared" si="69"/>
        <v>0</v>
      </c>
      <c r="L304" s="555">
        <f t="shared" si="69"/>
        <v>0</v>
      </c>
      <c r="M304" s="555">
        <f t="shared" si="69"/>
        <v>1</v>
      </c>
      <c r="N304" s="555">
        <f t="shared" si="69"/>
        <v>0</v>
      </c>
      <c r="O304" s="555">
        <f t="shared" si="69"/>
        <v>1</v>
      </c>
      <c r="P304" s="555">
        <f t="shared" si="69"/>
        <v>0</v>
      </c>
      <c r="Q304" s="555">
        <f t="shared" si="69"/>
        <v>1</v>
      </c>
      <c r="R304" s="555">
        <f t="shared" si="69"/>
        <v>0</v>
      </c>
      <c r="S304" s="555">
        <f t="shared" si="69"/>
        <v>0</v>
      </c>
      <c r="T304" s="555">
        <f t="shared" si="69"/>
        <v>1</v>
      </c>
      <c r="U304" s="555">
        <f t="shared" si="69"/>
        <v>1</v>
      </c>
      <c r="V304" s="555">
        <f t="shared" si="69"/>
        <v>1</v>
      </c>
      <c r="W304" s="555">
        <f t="shared" si="69"/>
        <v>1</v>
      </c>
      <c r="X304" s="555">
        <f t="shared" si="69"/>
        <v>0</v>
      </c>
      <c r="Y304" s="555">
        <f t="shared" si="69"/>
        <v>1</v>
      </c>
      <c r="Z304" s="555">
        <f t="shared" si="69"/>
        <v>0</v>
      </c>
      <c r="AA304" s="555">
        <f t="shared" si="69"/>
        <v>1</v>
      </c>
      <c r="AB304" s="555">
        <f t="shared" si="69"/>
        <v>1</v>
      </c>
      <c r="AC304" s="555">
        <f t="shared" si="69"/>
        <v>0</v>
      </c>
      <c r="AD304" s="555">
        <f t="shared" si="69"/>
        <v>0</v>
      </c>
      <c r="AE304" s="555">
        <f t="shared" si="69"/>
        <v>0</v>
      </c>
      <c r="AF304" s="555">
        <f t="shared" si="69"/>
        <v>1</v>
      </c>
      <c r="AG304" s="555">
        <f t="shared" si="69"/>
        <v>0</v>
      </c>
      <c r="AH304" s="555">
        <f t="shared" si="69"/>
        <v>0</v>
      </c>
      <c r="AI304" s="555">
        <f t="shared" si="69"/>
        <v>1</v>
      </c>
      <c r="AJ304" s="555">
        <f t="shared" ref="AJ304:BO304" si="70">AJ164</f>
        <v>0</v>
      </c>
      <c r="AK304" s="555">
        <f t="shared" si="70"/>
        <v>0</v>
      </c>
      <c r="AL304" s="555">
        <f t="shared" si="70"/>
        <v>0</v>
      </c>
      <c r="AM304" s="555">
        <f t="shared" si="70"/>
        <v>1</v>
      </c>
      <c r="AN304" s="555">
        <f t="shared" si="70"/>
        <v>0</v>
      </c>
      <c r="AO304" s="555">
        <f t="shared" si="70"/>
        <v>0</v>
      </c>
      <c r="AP304" s="555">
        <f t="shared" si="70"/>
        <v>0</v>
      </c>
      <c r="AQ304" s="555">
        <f t="shared" si="70"/>
        <v>1</v>
      </c>
      <c r="AR304" s="555">
        <f t="shared" si="70"/>
        <v>1</v>
      </c>
      <c r="AS304" s="555">
        <f t="shared" si="70"/>
        <v>0</v>
      </c>
      <c r="AT304" s="555">
        <f t="shared" si="70"/>
        <v>1</v>
      </c>
      <c r="AU304" s="555">
        <f t="shared" si="70"/>
        <v>0</v>
      </c>
      <c r="AV304" s="555">
        <f t="shared" si="70"/>
        <v>1</v>
      </c>
      <c r="AW304" s="555">
        <f t="shared" si="70"/>
        <v>0</v>
      </c>
      <c r="AX304" s="555">
        <f t="shared" si="70"/>
        <v>0</v>
      </c>
      <c r="AY304" s="555">
        <f t="shared" si="70"/>
        <v>1</v>
      </c>
      <c r="AZ304" s="555">
        <f t="shared" si="70"/>
        <v>0</v>
      </c>
      <c r="BA304" s="555">
        <f t="shared" si="70"/>
        <v>0</v>
      </c>
      <c r="BB304" s="555">
        <f t="shared" si="70"/>
        <v>0</v>
      </c>
      <c r="BC304" s="555">
        <f t="shared" si="70"/>
        <v>0</v>
      </c>
      <c r="BD304" s="555">
        <f t="shared" si="70"/>
        <v>1</v>
      </c>
      <c r="BE304" s="555">
        <f t="shared" si="70"/>
        <v>0</v>
      </c>
      <c r="BF304" s="555">
        <f t="shared" si="70"/>
        <v>0</v>
      </c>
      <c r="BG304" s="555">
        <f t="shared" si="70"/>
        <v>1</v>
      </c>
      <c r="BH304" s="555">
        <f t="shared" si="70"/>
        <v>0</v>
      </c>
      <c r="BI304" s="555">
        <f t="shared" si="70"/>
        <v>0</v>
      </c>
      <c r="BJ304" s="555">
        <f t="shared" si="70"/>
        <v>0</v>
      </c>
      <c r="BK304" s="555">
        <f t="shared" si="70"/>
        <v>1</v>
      </c>
      <c r="BL304" s="555">
        <f t="shared" si="70"/>
        <v>0</v>
      </c>
      <c r="BM304" s="555">
        <f t="shared" si="70"/>
        <v>1</v>
      </c>
      <c r="BN304" s="555">
        <f t="shared" si="70"/>
        <v>0</v>
      </c>
      <c r="BO304" s="555">
        <f t="shared" si="70"/>
        <v>0</v>
      </c>
      <c r="BP304" s="555">
        <f t="shared" ref="BP304:CZ304" si="71">BP164</f>
        <v>0</v>
      </c>
      <c r="BQ304" s="555">
        <f t="shared" si="71"/>
        <v>1</v>
      </c>
      <c r="BR304" s="555">
        <f t="shared" si="71"/>
        <v>1</v>
      </c>
      <c r="BS304" s="555">
        <f t="shared" si="71"/>
        <v>0</v>
      </c>
      <c r="BT304" s="555">
        <f t="shared" si="71"/>
        <v>0</v>
      </c>
      <c r="BU304" s="555">
        <f t="shared" si="71"/>
        <v>0</v>
      </c>
      <c r="BV304" s="555">
        <f t="shared" si="71"/>
        <v>0</v>
      </c>
      <c r="BW304" s="555">
        <f t="shared" si="71"/>
        <v>0</v>
      </c>
      <c r="BX304" s="555">
        <f t="shared" si="71"/>
        <v>0</v>
      </c>
      <c r="BY304" s="555">
        <f t="shared" si="71"/>
        <v>0</v>
      </c>
      <c r="BZ304" s="555">
        <f t="shared" si="71"/>
        <v>1</v>
      </c>
      <c r="CA304" s="555">
        <f t="shared" si="71"/>
        <v>0</v>
      </c>
      <c r="CB304" s="555">
        <f t="shared" si="71"/>
        <v>1</v>
      </c>
      <c r="CC304" s="555">
        <f t="shared" si="71"/>
        <v>0</v>
      </c>
      <c r="CD304" s="555">
        <f t="shared" si="71"/>
        <v>0</v>
      </c>
      <c r="CE304" s="555">
        <f t="shared" si="71"/>
        <v>0</v>
      </c>
      <c r="CF304" s="555">
        <f t="shared" si="71"/>
        <v>0</v>
      </c>
      <c r="CG304" s="555">
        <f t="shared" si="71"/>
        <v>0</v>
      </c>
      <c r="CH304" s="555">
        <f t="shared" si="71"/>
        <v>0</v>
      </c>
      <c r="CI304" s="555">
        <f t="shared" si="71"/>
        <v>0</v>
      </c>
      <c r="CJ304" s="555">
        <f t="shared" si="71"/>
        <v>0</v>
      </c>
      <c r="CK304" s="555">
        <f t="shared" si="71"/>
        <v>0</v>
      </c>
      <c r="CL304" s="555">
        <f t="shared" si="71"/>
        <v>0</v>
      </c>
      <c r="CM304" s="555">
        <f t="shared" si="71"/>
        <v>0</v>
      </c>
      <c r="CN304" s="555">
        <f t="shared" si="71"/>
        <v>0</v>
      </c>
      <c r="CO304" s="555">
        <f t="shared" si="71"/>
        <v>0</v>
      </c>
      <c r="CP304" s="555">
        <f t="shared" si="71"/>
        <v>0</v>
      </c>
      <c r="CQ304" s="555">
        <f t="shared" si="71"/>
        <v>0</v>
      </c>
      <c r="CR304" s="555">
        <f t="shared" si="71"/>
        <v>0</v>
      </c>
      <c r="CS304" s="555">
        <f t="shared" si="71"/>
        <v>0</v>
      </c>
      <c r="CT304" s="555">
        <f t="shared" si="71"/>
        <v>0</v>
      </c>
      <c r="CU304" s="555">
        <f t="shared" si="71"/>
        <v>0</v>
      </c>
      <c r="CV304" s="555">
        <f t="shared" si="71"/>
        <v>0</v>
      </c>
      <c r="CW304" s="555">
        <f t="shared" si="71"/>
        <v>0</v>
      </c>
      <c r="CX304" s="555">
        <f t="shared" si="71"/>
        <v>0</v>
      </c>
      <c r="CY304" s="555">
        <f t="shared" si="71"/>
        <v>0</v>
      </c>
      <c r="CZ304" s="555">
        <f t="shared" si="71"/>
        <v>0</v>
      </c>
    </row>
    <row r="305" spans="1:104" x14ac:dyDescent="0.3">
      <c r="A305" s="558">
        <v>662</v>
      </c>
      <c r="B305" s="180" t="s">
        <v>451</v>
      </c>
      <c r="C305" s="180">
        <v>201</v>
      </c>
      <c r="D305" s="555">
        <f t="shared" ref="D305:AI305" si="72">D201</f>
        <v>0</v>
      </c>
      <c r="E305" s="555">
        <f t="shared" si="72"/>
        <v>0</v>
      </c>
      <c r="F305" s="555">
        <f t="shared" si="72"/>
        <v>0</v>
      </c>
      <c r="G305" s="555">
        <f t="shared" si="72"/>
        <v>0</v>
      </c>
      <c r="H305" s="555">
        <f t="shared" si="72"/>
        <v>0</v>
      </c>
      <c r="I305" s="555">
        <f t="shared" si="72"/>
        <v>0</v>
      </c>
      <c r="J305" s="555">
        <f t="shared" si="72"/>
        <v>0</v>
      </c>
      <c r="K305" s="555">
        <f t="shared" si="72"/>
        <v>0</v>
      </c>
      <c r="L305" s="555">
        <f t="shared" si="72"/>
        <v>0</v>
      </c>
      <c r="M305" s="555">
        <f t="shared" si="72"/>
        <v>0</v>
      </c>
      <c r="N305" s="555">
        <f t="shared" si="72"/>
        <v>0</v>
      </c>
      <c r="O305" s="555">
        <f t="shared" si="72"/>
        <v>0</v>
      </c>
      <c r="P305" s="555">
        <f t="shared" si="72"/>
        <v>0</v>
      </c>
      <c r="Q305" s="555">
        <f t="shared" si="72"/>
        <v>0</v>
      </c>
      <c r="R305" s="555">
        <f t="shared" si="72"/>
        <v>0</v>
      </c>
      <c r="S305" s="555">
        <f t="shared" si="72"/>
        <v>0</v>
      </c>
      <c r="T305" s="555">
        <f t="shared" si="72"/>
        <v>0</v>
      </c>
      <c r="U305" s="555">
        <f t="shared" si="72"/>
        <v>0</v>
      </c>
      <c r="V305" s="555">
        <f t="shared" si="72"/>
        <v>0</v>
      </c>
      <c r="W305" s="555">
        <f t="shared" si="72"/>
        <v>0</v>
      </c>
      <c r="X305" s="555">
        <f t="shared" si="72"/>
        <v>0</v>
      </c>
      <c r="Y305" s="555">
        <f t="shared" si="72"/>
        <v>0</v>
      </c>
      <c r="Z305" s="555">
        <f t="shared" si="72"/>
        <v>0</v>
      </c>
      <c r="AA305" s="555">
        <f t="shared" si="72"/>
        <v>0</v>
      </c>
      <c r="AB305" s="555">
        <f t="shared" si="72"/>
        <v>0</v>
      </c>
      <c r="AC305" s="555">
        <f t="shared" si="72"/>
        <v>0</v>
      </c>
      <c r="AD305" s="555">
        <f t="shared" si="72"/>
        <v>0</v>
      </c>
      <c r="AE305" s="555">
        <f t="shared" si="72"/>
        <v>0</v>
      </c>
      <c r="AF305" s="555">
        <f t="shared" si="72"/>
        <v>0</v>
      </c>
      <c r="AG305" s="555">
        <f t="shared" si="72"/>
        <v>0</v>
      </c>
      <c r="AH305" s="555">
        <f t="shared" si="72"/>
        <v>0</v>
      </c>
      <c r="AI305" s="555">
        <f t="shared" si="72"/>
        <v>0</v>
      </c>
      <c r="AJ305" s="555">
        <f t="shared" ref="AJ305:BO305" si="73">AJ201</f>
        <v>0</v>
      </c>
      <c r="AK305" s="555">
        <f t="shared" si="73"/>
        <v>0</v>
      </c>
      <c r="AL305" s="555">
        <f t="shared" si="73"/>
        <v>0</v>
      </c>
      <c r="AM305" s="555">
        <f t="shared" si="73"/>
        <v>87972</v>
      </c>
      <c r="AN305" s="555">
        <f t="shared" si="73"/>
        <v>0</v>
      </c>
      <c r="AO305" s="555">
        <f t="shared" si="73"/>
        <v>0</v>
      </c>
      <c r="AP305" s="555">
        <f t="shared" si="73"/>
        <v>0</v>
      </c>
      <c r="AQ305" s="555">
        <f t="shared" si="73"/>
        <v>0</v>
      </c>
      <c r="AR305" s="555">
        <f t="shared" si="73"/>
        <v>0</v>
      </c>
      <c r="AS305" s="555">
        <f t="shared" si="73"/>
        <v>0</v>
      </c>
      <c r="AT305" s="555">
        <f t="shared" si="73"/>
        <v>0</v>
      </c>
      <c r="AU305" s="555">
        <f t="shared" si="73"/>
        <v>0</v>
      </c>
      <c r="AV305" s="555">
        <f t="shared" si="73"/>
        <v>76778</v>
      </c>
      <c r="AW305" s="555">
        <f t="shared" si="73"/>
        <v>0</v>
      </c>
      <c r="AX305" s="555">
        <f t="shared" si="73"/>
        <v>0</v>
      </c>
      <c r="AY305" s="555">
        <f t="shared" si="73"/>
        <v>0</v>
      </c>
      <c r="AZ305" s="555">
        <f t="shared" si="73"/>
        <v>0</v>
      </c>
      <c r="BA305" s="555">
        <f t="shared" si="73"/>
        <v>0</v>
      </c>
      <c r="BB305" s="555">
        <f t="shared" si="73"/>
        <v>0</v>
      </c>
      <c r="BC305" s="555">
        <f t="shared" si="73"/>
        <v>0</v>
      </c>
      <c r="BD305" s="555">
        <f t="shared" si="73"/>
        <v>0</v>
      </c>
      <c r="BE305" s="555">
        <f t="shared" si="73"/>
        <v>0</v>
      </c>
      <c r="BF305" s="555">
        <f t="shared" si="73"/>
        <v>0</v>
      </c>
      <c r="BG305" s="555">
        <f t="shared" si="73"/>
        <v>0</v>
      </c>
      <c r="BH305" s="555">
        <f t="shared" si="73"/>
        <v>0</v>
      </c>
      <c r="BI305" s="555">
        <f t="shared" si="73"/>
        <v>0</v>
      </c>
      <c r="BJ305" s="555">
        <f t="shared" si="73"/>
        <v>0</v>
      </c>
      <c r="BK305" s="555">
        <f t="shared" si="73"/>
        <v>0</v>
      </c>
      <c r="BL305" s="555">
        <f t="shared" si="73"/>
        <v>0</v>
      </c>
      <c r="BM305" s="555">
        <f t="shared" si="73"/>
        <v>0</v>
      </c>
      <c r="BN305" s="555">
        <f t="shared" si="73"/>
        <v>0</v>
      </c>
      <c r="BO305" s="555">
        <f t="shared" si="73"/>
        <v>0</v>
      </c>
      <c r="BP305" s="555">
        <f t="shared" ref="BP305:CZ305" si="74">BP201</f>
        <v>0</v>
      </c>
      <c r="BQ305" s="555">
        <f t="shared" si="74"/>
        <v>0</v>
      </c>
      <c r="BR305" s="555">
        <f t="shared" si="74"/>
        <v>11000</v>
      </c>
      <c r="BS305" s="555">
        <f t="shared" si="74"/>
        <v>0</v>
      </c>
      <c r="BT305" s="555">
        <f t="shared" si="74"/>
        <v>0</v>
      </c>
      <c r="BU305" s="555">
        <f t="shared" si="74"/>
        <v>0</v>
      </c>
      <c r="BV305" s="555">
        <f t="shared" si="74"/>
        <v>0</v>
      </c>
      <c r="BW305" s="555">
        <f t="shared" si="74"/>
        <v>0</v>
      </c>
      <c r="BX305" s="555">
        <f t="shared" si="74"/>
        <v>0</v>
      </c>
      <c r="BY305" s="555">
        <f t="shared" si="74"/>
        <v>0</v>
      </c>
      <c r="BZ305" s="555">
        <f t="shared" si="74"/>
        <v>265</v>
      </c>
      <c r="CA305" s="555">
        <f t="shared" si="74"/>
        <v>0</v>
      </c>
      <c r="CB305" s="555">
        <f t="shared" si="74"/>
        <v>0</v>
      </c>
      <c r="CC305" s="555">
        <f t="shared" si="74"/>
        <v>0</v>
      </c>
      <c r="CD305" s="555">
        <f t="shared" si="74"/>
        <v>0</v>
      </c>
      <c r="CE305" s="555">
        <f t="shared" si="74"/>
        <v>0</v>
      </c>
      <c r="CF305" s="555">
        <f t="shared" si="74"/>
        <v>0</v>
      </c>
      <c r="CG305" s="555">
        <f t="shared" si="74"/>
        <v>0</v>
      </c>
      <c r="CH305" s="555">
        <f t="shared" si="74"/>
        <v>0</v>
      </c>
      <c r="CI305" s="555">
        <f t="shared" si="74"/>
        <v>0</v>
      </c>
      <c r="CJ305" s="555">
        <f t="shared" si="74"/>
        <v>0</v>
      </c>
      <c r="CK305" s="555">
        <f t="shared" si="74"/>
        <v>0</v>
      </c>
      <c r="CL305" s="555">
        <f t="shared" si="74"/>
        <v>0</v>
      </c>
      <c r="CM305" s="555">
        <f t="shared" si="74"/>
        <v>0</v>
      </c>
      <c r="CN305" s="555">
        <f t="shared" si="74"/>
        <v>0</v>
      </c>
      <c r="CO305" s="555">
        <f t="shared" si="74"/>
        <v>0</v>
      </c>
      <c r="CP305" s="555">
        <f t="shared" si="74"/>
        <v>0</v>
      </c>
      <c r="CQ305" s="555">
        <f t="shared" si="74"/>
        <v>0</v>
      </c>
      <c r="CR305" s="555">
        <f t="shared" si="74"/>
        <v>0</v>
      </c>
      <c r="CS305" s="555">
        <f t="shared" si="74"/>
        <v>0</v>
      </c>
      <c r="CT305" s="555">
        <f t="shared" si="74"/>
        <v>0</v>
      </c>
      <c r="CU305" s="555">
        <f t="shared" si="74"/>
        <v>0</v>
      </c>
      <c r="CV305" s="555">
        <f t="shared" si="74"/>
        <v>0</v>
      </c>
      <c r="CW305" s="555">
        <f t="shared" si="74"/>
        <v>0</v>
      </c>
      <c r="CX305" s="555">
        <f t="shared" si="74"/>
        <v>0</v>
      </c>
      <c r="CY305" s="555">
        <f t="shared" si="74"/>
        <v>0</v>
      </c>
      <c r="CZ305" s="555">
        <f t="shared" si="74"/>
        <v>0</v>
      </c>
    </row>
    <row r="306" spans="1:104" x14ac:dyDescent="0.3">
      <c r="A306" s="558">
        <v>663</v>
      </c>
      <c r="B306" s="180" t="s">
        <v>974</v>
      </c>
      <c r="C306" s="180">
        <v>202</v>
      </c>
      <c r="D306" s="555">
        <f t="shared" ref="D306:AI306" si="75">D202</f>
        <v>0</v>
      </c>
      <c r="E306" s="555">
        <f t="shared" si="75"/>
        <v>0</v>
      </c>
      <c r="F306" s="555">
        <f t="shared" si="75"/>
        <v>0</v>
      </c>
      <c r="G306" s="555">
        <f t="shared" si="75"/>
        <v>0</v>
      </c>
      <c r="H306" s="555">
        <f t="shared" si="75"/>
        <v>0</v>
      </c>
      <c r="I306" s="555">
        <f t="shared" si="75"/>
        <v>0</v>
      </c>
      <c r="J306" s="555">
        <f t="shared" si="75"/>
        <v>0</v>
      </c>
      <c r="K306" s="555">
        <f t="shared" si="75"/>
        <v>0</v>
      </c>
      <c r="L306" s="555">
        <f t="shared" si="75"/>
        <v>0</v>
      </c>
      <c r="M306" s="555">
        <f t="shared" si="75"/>
        <v>0</v>
      </c>
      <c r="N306" s="555">
        <f t="shared" si="75"/>
        <v>0</v>
      </c>
      <c r="O306" s="555">
        <f t="shared" si="75"/>
        <v>0</v>
      </c>
      <c r="P306" s="555">
        <f t="shared" si="75"/>
        <v>0</v>
      </c>
      <c r="Q306" s="555">
        <f t="shared" si="75"/>
        <v>624606</v>
      </c>
      <c r="R306" s="555">
        <f t="shared" si="75"/>
        <v>0</v>
      </c>
      <c r="S306" s="555">
        <f t="shared" si="75"/>
        <v>0</v>
      </c>
      <c r="T306" s="555">
        <f t="shared" si="75"/>
        <v>0</v>
      </c>
      <c r="U306" s="555">
        <f t="shared" si="75"/>
        <v>0</v>
      </c>
      <c r="V306" s="555">
        <f t="shared" si="75"/>
        <v>0</v>
      </c>
      <c r="W306" s="555">
        <f t="shared" si="75"/>
        <v>0</v>
      </c>
      <c r="X306" s="555">
        <f t="shared" si="75"/>
        <v>0</v>
      </c>
      <c r="Y306" s="555">
        <f t="shared" si="75"/>
        <v>0</v>
      </c>
      <c r="Z306" s="555">
        <f t="shared" si="75"/>
        <v>0</v>
      </c>
      <c r="AA306" s="555">
        <f t="shared" si="75"/>
        <v>0</v>
      </c>
      <c r="AB306" s="555">
        <f t="shared" si="75"/>
        <v>0</v>
      </c>
      <c r="AC306" s="555">
        <f t="shared" si="75"/>
        <v>0</v>
      </c>
      <c r="AD306" s="555">
        <f t="shared" si="75"/>
        <v>0</v>
      </c>
      <c r="AE306" s="555">
        <f t="shared" si="75"/>
        <v>0</v>
      </c>
      <c r="AF306" s="555">
        <f t="shared" si="75"/>
        <v>0</v>
      </c>
      <c r="AG306" s="555">
        <f t="shared" si="75"/>
        <v>0</v>
      </c>
      <c r="AH306" s="555">
        <f t="shared" si="75"/>
        <v>0</v>
      </c>
      <c r="AI306" s="555">
        <f t="shared" si="75"/>
        <v>37981</v>
      </c>
      <c r="AJ306" s="555">
        <f t="shared" ref="AJ306:BO306" si="76">AJ202</f>
        <v>0</v>
      </c>
      <c r="AK306" s="555">
        <f t="shared" si="76"/>
        <v>0</v>
      </c>
      <c r="AL306" s="555">
        <f t="shared" si="76"/>
        <v>0</v>
      </c>
      <c r="AM306" s="555">
        <f t="shared" si="76"/>
        <v>0</v>
      </c>
      <c r="AN306" s="555">
        <f t="shared" si="76"/>
        <v>0</v>
      </c>
      <c r="AO306" s="555">
        <f t="shared" si="76"/>
        <v>0</v>
      </c>
      <c r="AP306" s="555">
        <f t="shared" si="76"/>
        <v>0</v>
      </c>
      <c r="AQ306" s="555">
        <f t="shared" si="76"/>
        <v>0</v>
      </c>
      <c r="AR306" s="555">
        <f t="shared" si="76"/>
        <v>0</v>
      </c>
      <c r="AS306" s="555">
        <f t="shared" si="76"/>
        <v>0</v>
      </c>
      <c r="AT306" s="555">
        <f t="shared" si="76"/>
        <v>0</v>
      </c>
      <c r="AU306" s="555">
        <f t="shared" si="76"/>
        <v>0</v>
      </c>
      <c r="AV306" s="555">
        <f t="shared" si="76"/>
        <v>0</v>
      </c>
      <c r="AW306" s="555">
        <f t="shared" si="76"/>
        <v>0</v>
      </c>
      <c r="AX306" s="555">
        <f t="shared" si="76"/>
        <v>0</v>
      </c>
      <c r="AY306" s="555">
        <f t="shared" si="76"/>
        <v>0</v>
      </c>
      <c r="AZ306" s="555">
        <f t="shared" si="76"/>
        <v>0</v>
      </c>
      <c r="BA306" s="555">
        <f t="shared" si="76"/>
        <v>0</v>
      </c>
      <c r="BB306" s="555">
        <f t="shared" si="76"/>
        <v>0</v>
      </c>
      <c r="BC306" s="555">
        <f t="shared" si="76"/>
        <v>0</v>
      </c>
      <c r="BD306" s="555">
        <f t="shared" si="76"/>
        <v>0</v>
      </c>
      <c r="BE306" s="555">
        <f t="shared" si="76"/>
        <v>0</v>
      </c>
      <c r="BF306" s="555">
        <f t="shared" si="76"/>
        <v>0</v>
      </c>
      <c r="BG306" s="555">
        <f t="shared" si="76"/>
        <v>0</v>
      </c>
      <c r="BH306" s="555">
        <f t="shared" si="76"/>
        <v>0</v>
      </c>
      <c r="BI306" s="555">
        <f t="shared" si="76"/>
        <v>0</v>
      </c>
      <c r="BJ306" s="555">
        <f t="shared" si="76"/>
        <v>0</v>
      </c>
      <c r="BK306" s="555">
        <f t="shared" si="76"/>
        <v>0</v>
      </c>
      <c r="BL306" s="555">
        <f t="shared" si="76"/>
        <v>0</v>
      </c>
      <c r="BM306" s="555">
        <f t="shared" si="76"/>
        <v>0</v>
      </c>
      <c r="BN306" s="555">
        <f t="shared" si="76"/>
        <v>0</v>
      </c>
      <c r="BO306" s="555">
        <f t="shared" si="76"/>
        <v>0</v>
      </c>
      <c r="BP306" s="555">
        <f t="shared" ref="BP306:CZ306" si="77">BP202</f>
        <v>0</v>
      </c>
      <c r="BQ306" s="555">
        <f t="shared" si="77"/>
        <v>0</v>
      </c>
      <c r="BR306" s="555">
        <f t="shared" si="77"/>
        <v>0</v>
      </c>
      <c r="BS306" s="555">
        <f t="shared" si="77"/>
        <v>0</v>
      </c>
      <c r="BT306" s="555">
        <f t="shared" si="77"/>
        <v>0</v>
      </c>
      <c r="BU306" s="555">
        <f t="shared" si="77"/>
        <v>0</v>
      </c>
      <c r="BV306" s="555">
        <f t="shared" si="77"/>
        <v>0</v>
      </c>
      <c r="BW306" s="555">
        <f t="shared" si="77"/>
        <v>0</v>
      </c>
      <c r="BX306" s="555">
        <f t="shared" si="77"/>
        <v>0</v>
      </c>
      <c r="BY306" s="555">
        <f t="shared" si="77"/>
        <v>0</v>
      </c>
      <c r="BZ306" s="555">
        <f t="shared" si="77"/>
        <v>0</v>
      </c>
      <c r="CA306" s="555">
        <f t="shared" si="77"/>
        <v>0</v>
      </c>
      <c r="CB306" s="555">
        <f t="shared" si="77"/>
        <v>0</v>
      </c>
      <c r="CC306" s="555">
        <f t="shared" si="77"/>
        <v>0</v>
      </c>
      <c r="CD306" s="555">
        <f t="shared" si="77"/>
        <v>0</v>
      </c>
      <c r="CE306" s="555">
        <f t="shared" si="77"/>
        <v>0</v>
      </c>
      <c r="CF306" s="555">
        <f t="shared" si="77"/>
        <v>0</v>
      </c>
      <c r="CG306" s="555">
        <f t="shared" si="77"/>
        <v>0</v>
      </c>
      <c r="CH306" s="555">
        <f t="shared" si="77"/>
        <v>0</v>
      </c>
      <c r="CI306" s="555">
        <f t="shared" si="77"/>
        <v>0</v>
      </c>
      <c r="CJ306" s="555">
        <f t="shared" si="77"/>
        <v>0</v>
      </c>
      <c r="CK306" s="555">
        <f t="shared" si="77"/>
        <v>0</v>
      </c>
      <c r="CL306" s="555">
        <f t="shared" si="77"/>
        <v>0</v>
      </c>
      <c r="CM306" s="555">
        <f t="shared" si="77"/>
        <v>0</v>
      </c>
      <c r="CN306" s="555">
        <f t="shared" si="77"/>
        <v>0</v>
      </c>
      <c r="CO306" s="555">
        <f t="shared" si="77"/>
        <v>0</v>
      </c>
      <c r="CP306" s="555">
        <f t="shared" si="77"/>
        <v>0</v>
      </c>
      <c r="CQ306" s="555">
        <f t="shared" si="77"/>
        <v>0</v>
      </c>
      <c r="CR306" s="555">
        <f t="shared" si="77"/>
        <v>0</v>
      </c>
      <c r="CS306" s="555">
        <f t="shared" si="77"/>
        <v>0</v>
      </c>
      <c r="CT306" s="555">
        <f t="shared" si="77"/>
        <v>0</v>
      </c>
      <c r="CU306" s="555">
        <f t="shared" si="77"/>
        <v>0</v>
      </c>
      <c r="CV306" s="555">
        <f t="shared" si="77"/>
        <v>0</v>
      </c>
      <c r="CW306" s="555">
        <f t="shared" si="77"/>
        <v>0</v>
      </c>
      <c r="CX306" s="555">
        <f t="shared" si="77"/>
        <v>0</v>
      </c>
      <c r="CY306" s="555">
        <f t="shared" si="77"/>
        <v>0</v>
      </c>
      <c r="CZ306" s="555">
        <f t="shared" si="77"/>
        <v>0</v>
      </c>
    </row>
    <row r="307" spans="1:104" s="180" customFormat="1" x14ac:dyDescent="0.3">
      <c r="A307" s="558">
        <v>1064</v>
      </c>
      <c r="C307" s="180">
        <v>254</v>
      </c>
      <c r="D307" s="555">
        <f t="shared" ref="D307:AI307" si="78">D254</f>
        <v>0</v>
      </c>
      <c r="E307" s="555">
        <f t="shared" si="78"/>
        <v>0</v>
      </c>
      <c r="F307" s="555">
        <f t="shared" si="78"/>
        <v>0</v>
      </c>
      <c r="G307" s="555">
        <f t="shared" si="78"/>
        <v>0</v>
      </c>
      <c r="H307" s="555">
        <f t="shared" si="78"/>
        <v>0</v>
      </c>
      <c r="I307" s="555">
        <f t="shared" si="78"/>
        <v>0</v>
      </c>
      <c r="J307" s="555">
        <f t="shared" si="78"/>
        <v>0</v>
      </c>
      <c r="K307" s="555">
        <f t="shared" si="78"/>
        <v>0</v>
      </c>
      <c r="L307" s="555">
        <f t="shared" si="78"/>
        <v>0</v>
      </c>
      <c r="M307" s="555">
        <f t="shared" si="78"/>
        <v>316241</v>
      </c>
      <c r="N307" s="555">
        <f t="shared" si="78"/>
        <v>0</v>
      </c>
      <c r="O307" s="555">
        <f t="shared" si="78"/>
        <v>0</v>
      </c>
      <c r="P307" s="555">
        <f t="shared" si="78"/>
        <v>0</v>
      </c>
      <c r="Q307" s="555">
        <f t="shared" si="78"/>
        <v>5663254</v>
      </c>
      <c r="R307" s="555">
        <f t="shared" si="78"/>
        <v>0</v>
      </c>
      <c r="S307" s="555">
        <f t="shared" si="78"/>
        <v>0</v>
      </c>
      <c r="T307" s="555">
        <f t="shared" si="78"/>
        <v>1748717</v>
      </c>
      <c r="U307" s="555">
        <f t="shared" si="78"/>
        <v>221539</v>
      </c>
      <c r="V307" s="555">
        <f t="shared" si="78"/>
        <v>0</v>
      </c>
      <c r="W307" s="555">
        <f t="shared" si="78"/>
        <v>1475703</v>
      </c>
      <c r="X307" s="555">
        <f t="shared" si="78"/>
        <v>0</v>
      </c>
      <c r="Y307" s="555">
        <f t="shared" si="78"/>
        <v>0</v>
      </c>
      <c r="Z307" s="555">
        <f t="shared" si="78"/>
        <v>0</v>
      </c>
      <c r="AA307" s="555">
        <f t="shared" si="78"/>
        <v>0</v>
      </c>
      <c r="AB307" s="555">
        <f t="shared" si="78"/>
        <v>729498</v>
      </c>
      <c r="AC307" s="555">
        <f t="shared" si="78"/>
        <v>0</v>
      </c>
      <c r="AD307" s="555">
        <f t="shared" si="78"/>
        <v>0</v>
      </c>
      <c r="AE307" s="555">
        <f t="shared" si="78"/>
        <v>0</v>
      </c>
      <c r="AF307" s="555">
        <f t="shared" si="78"/>
        <v>474062</v>
      </c>
      <c r="AG307" s="555">
        <f t="shared" si="78"/>
        <v>0</v>
      </c>
      <c r="AH307" s="555">
        <f t="shared" si="78"/>
        <v>0</v>
      </c>
      <c r="AI307" s="555">
        <f t="shared" si="78"/>
        <v>5660</v>
      </c>
      <c r="AJ307" s="555">
        <f t="shared" ref="AJ307:BO307" si="79">AJ254</f>
        <v>0</v>
      </c>
      <c r="AK307" s="555">
        <f t="shared" si="79"/>
        <v>0</v>
      </c>
      <c r="AL307" s="555">
        <f t="shared" si="79"/>
        <v>0</v>
      </c>
      <c r="AM307" s="555">
        <f t="shared" si="79"/>
        <v>397175</v>
      </c>
      <c r="AN307" s="555">
        <f t="shared" si="79"/>
        <v>0</v>
      </c>
      <c r="AO307" s="555">
        <f t="shared" si="79"/>
        <v>0</v>
      </c>
      <c r="AP307" s="555">
        <f t="shared" si="79"/>
        <v>0</v>
      </c>
      <c r="AQ307" s="555">
        <f t="shared" si="79"/>
        <v>36409</v>
      </c>
      <c r="AR307" s="555">
        <f t="shared" si="79"/>
        <v>1169264</v>
      </c>
      <c r="AS307" s="555">
        <f t="shared" si="79"/>
        <v>0</v>
      </c>
      <c r="AT307" s="555">
        <f t="shared" si="79"/>
        <v>1309050</v>
      </c>
      <c r="AU307" s="555">
        <f t="shared" si="79"/>
        <v>0</v>
      </c>
      <c r="AV307" s="555">
        <f t="shared" si="79"/>
        <v>0</v>
      </c>
      <c r="AW307" s="555">
        <f t="shared" si="79"/>
        <v>0</v>
      </c>
      <c r="AX307" s="555">
        <f t="shared" si="79"/>
        <v>0</v>
      </c>
      <c r="AY307" s="555">
        <f t="shared" si="79"/>
        <v>75456</v>
      </c>
      <c r="AZ307" s="555">
        <f t="shared" si="79"/>
        <v>0</v>
      </c>
      <c r="BA307" s="555">
        <f t="shared" si="79"/>
        <v>0</v>
      </c>
      <c r="BB307" s="555">
        <f t="shared" si="79"/>
        <v>0</v>
      </c>
      <c r="BC307" s="555">
        <f t="shared" si="79"/>
        <v>0</v>
      </c>
      <c r="BD307" s="555">
        <f t="shared" si="79"/>
        <v>0</v>
      </c>
      <c r="BE307" s="555">
        <f t="shared" si="79"/>
        <v>0</v>
      </c>
      <c r="BF307" s="555">
        <f t="shared" si="79"/>
        <v>0</v>
      </c>
      <c r="BG307" s="555">
        <f t="shared" si="79"/>
        <v>0</v>
      </c>
      <c r="BH307" s="555">
        <f t="shared" si="79"/>
        <v>0</v>
      </c>
      <c r="BI307" s="555">
        <f t="shared" si="79"/>
        <v>0</v>
      </c>
      <c r="BJ307" s="555">
        <f t="shared" si="79"/>
        <v>0</v>
      </c>
      <c r="BK307" s="555">
        <f t="shared" si="79"/>
        <v>25501</v>
      </c>
      <c r="BL307" s="555">
        <f t="shared" si="79"/>
        <v>0</v>
      </c>
      <c r="BM307" s="555">
        <f t="shared" si="79"/>
        <v>224342</v>
      </c>
      <c r="BN307" s="555">
        <f t="shared" si="79"/>
        <v>0</v>
      </c>
      <c r="BO307" s="555">
        <f t="shared" si="79"/>
        <v>0</v>
      </c>
      <c r="BP307" s="555">
        <f t="shared" ref="BP307:CZ307" si="80">BP254</f>
        <v>0</v>
      </c>
      <c r="BQ307" s="555">
        <f t="shared" si="80"/>
        <v>0</v>
      </c>
      <c r="BR307" s="555">
        <f t="shared" si="80"/>
        <v>0</v>
      </c>
      <c r="BS307" s="555">
        <f t="shared" si="80"/>
        <v>0</v>
      </c>
      <c r="BT307" s="555">
        <f t="shared" si="80"/>
        <v>0</v>
      </c>
      <c r="BU307" s="555">
        <f t="shared" si="80"/>
        <v>0</v>
      </c>
      <c r="BV307" s="555">
        <f t="shared" si="80"/>
        <v>0</v>
      </c>
      <c r="BW307" s="555">
        <f t="shared" si="80"/>
        <v>0</v>
      </c>
      <c r="BX307" s="555">
        <f t="shared" si="80"/>
        <v>0</v>
      </c>
      <c r="BY307" s="555">
        <f t="shared" si="80"/>
        <v>0</v>
      </c>
      <c r="BZ307" s="555">
        <f t="shared" si="80"/>
        <v>0</v>
      </c>
      <c r="CA307" s="555">
        <f t="shared" si="80"/>
        <v>0</v>
      </c>
      <c r="CB307" s="555">
        <f t="shared" si="80"/>
        <v>0</v>
      </c>
      <c r="CC307" s="555">
        <f t="shared" si="80"/>
        <v>0</v>
      </c>
      <c r="CD307" s="555">
        <f t="shared" si="80"/>
        <v>0</v>
      </c>
      <c r="CE307" s="555">
        <f t="shared" si="80"/>
        <v>0</v>
      </c>
      <c r="CF307" s="555">
        <f t="shared" si="80"/>
        <v>0</v>
      </c>
      <c r="CG307" s="555">
        <f t="shared" si="80"/>
        <v>0</v>
      </c>
      <c r="CH307" s="555">
        <f t="shared" si="80"/>
        <v>0</v>
      </c>
      <c r="CI307" s="555">
        <f t="shared" si="80"/>
        <v>0</v>
      </c>
      <c r="CJ307" s="555">
        <f t="shared" si="80"/>
        <v>0</v>
      </c>
      <c r="CK307" s="555">
        <f t="shared" si="80"/>
        <v>0</v>
      </c>
      <c r="CL307" s="555">
        <f t="shared" si="80"/>
        <v>0</v>
      </c>
      <c r="CM307" s="555">
        <f t="shared" si="80"/>
        <v>0</v>
      </c>
      <c r="CN307" s="555">
        <f t="shared" si="80"/>
        <v>0</v>
      </c>
      <c r="CO307" s="555">
        <f t="shared" si="80"/>
        <v>0</v>
      </c>
      <c r="CP307" s="555">
        <f t="shared" si="80"/>
        <v>0</v>
      </c>
      <c r="CQ307" s="555">
        <f t="shared" si="80"/>
        <v>0</v>
      </c>
      <c r="CR307" s="555">
        <f t="shared" si="80"/>
        <v>0</v>
      </c>
      <c r="CS307" s="555">
        <f t="shared" si="80"/>
        <v>0</v>
      </c>
      <c r="CT307" s="555">
        <f t="shared" si="80"/>
        <v>0</v>
      </c>
      <c r="CU307" s="555">
        <f t="shared" si="80"/>
        <v>0</v>
      </c>
      <c r="CV307" s="555">
        <f t="shared" si="80"/>
        <v>0</v>
      </c>
      <c r="CW307" s="555">
        <f t="shared" si="80"/>
        <v>0</v>
      </c>
      <c r="CX307" s="555">
        <f t="shared" si="80"/>
        <v>0</v>
      </c>
      <c r="CY307" s="555">
        <f t="shared" si="80"/>
        <v>0</v>
      </c>
      <c r="CZ307" s="555">
        <f t="shared" si="80"/>
        <v>0</v>
      </c>
    </row>
    <row r="308" spans="1:104" s="180" customFormat="1" x14ac:dyDescent="0.3">
      <c r="A308" s="558">
        <v>1065</v>
      </c>
      <c r="C308" s="180">
        <v>258</v>
      </c>
      <c r="D308" s="555">
        <f t="shared" ref="D308:AI308" si="81">D255</f>
        <v>0</v>
      </c>
      <c r="E308" s="555">
        <f t="shared" si="81"/>
        <v>0</v>
      </c>
      <c r="F308" s="555">
        <f t="shared" si="81"/>
        <v>0</v>
      </c>
      <c r="G308" s="555">
        <f t="shared" si="81"/>
        <v>0</v>
      </c>
      <c r="H308" s="555">
        <f t="shared" si="81"/>
        <v>0</v>
      </c>
      <c r="I308" s="555">
        <f t="shared" si="81"/>
        <v>0</v>
      </c>
      <c r="J308" s="555">
        <f t="shared" si="81"/>
        <v>0</v>
      </c>
      <c r="K308" s="555">
        <f t="shared" si="81"/>
        <v>0</v>
      </c>
      <c r="L308" s="555">
        <f t="shared" si="81"/>
        <v>0</v>
      </c>
      <c r="M308" s="555">
        <f t="shared" si="81"/>
        <v>0</v>
      </c>
      <c r="N308" s="555">
        <f t="shared" si="81"/>
        <v>0</v>
      </c>
      <c r="O308" s="555">
        <f t="shared" si="81"/>
        <v>0</v>
      </c>
      <c r="P308" s="555">
        <f t="shared" si="81"/>
        <v>0</v>
      </c>
      <c r="Q308" s="555">
        <f t="shared" si="81"/>
        <v>0</v>
      </c>
      <c r="R308" s="555">
        <f t="shared" si="81"/>
        <v>0</v>
      </c>
      <c r="S308" s="555">
        <f t="shared" si="81"/>
        <v>0</v>
      </c>
      <c r="T308" s="555">
        <f t="shared" si="81"/>
        <v>0</v>
      </c>
      <c r="U308" s="555">
        <f t="shared" si="81"/>
        <v>0</v>
      </c>
      <c r="V308" s="555">
        <f t="shared" si="81"/>
        <v>0</v>
      </c>
      <c r="W308" s="555">
        <f t="shared" si="81"/>
        <v>0</v>
      </c>
      <c r="X308" s="555">
        <f t="shared" si="81"/>
        <v>0</v>
      </c>
      <c r="Y308" s="555">
        <f t="shared" si="81"/>
        <v>0</v>
      </c>
      <c r="Z308" s="555">
        <f t="shared" si="81"/>
        <v>0</v>
      </c>
      <c r="AA308" s="555">
        <f t="shared" si="81"/>
        <v>0</v>
      </c>
      <c r="AB308" s="555">
        <f t="shared" si="81"/>
        <v>0</v>
      </c>
      <c r="AC308" s="555">
        <f t="shared" si="81"/>
        <v>0</v>
      </c>
      <c r="AD308" s="555">
        <f t="shared" si="81"/>
        <v>0</v>
      </c>
      <c r="AE308" s="555">
        <f t="shared" si="81"/>
        <v>0</v>
      </c>
      <c r="AF308" s="555">
        <f t="shared" si="81"/>
        <v>0</v>
      </c>
      <c r="AG308" s="555">
        <f t="shared" si="81"/>
        <v>0</v>
      </c>
      <c r="AH308" s="555">
        <f t="shared" si="81"/>
        <v>0</v>
      </c>
      <c r="AI308" s="555">
        <f t="shared" si="81"/>
        <v>0</v>
      </c>
      <c r="AJ308" s="555">
        <f t="shared" ref="AJ308:BO308" si="82">AJ255</f>
        <v>0</v>
      </c>
      <c r="AK308" s="555">
        <f t="shared" si="82"/>
        <v>0</v>
      </c>
      <c r="AL308" s="555">
        <f t="shared" si="82"/>
        <v>0</v>
      </c>
      <c r="AM308" s="555">
        <f t="shared" si="82"/>
        <v>0</v>
      </c>
      <c r="AN308" s="555">
        <f t="shared" si="82"/>
        <v>0</v>
      </c>
      <c r="AO308" s="555">
        <f t="shared" si="82"/>
        <v>0</v>
      </c>
      <c r="AP308" s="555">
        <f t="shared" si="82"/>
        <v>0</v>
      </c>
      <c r="AQ308" s="555">
        <f t="shared" si="82"/>
        <v>0</v>
      </c>
      <c r="AR308" s="555">
        <f t="shared" si="82"/>
        <v>0</v>
      </c>
      <c r="AS308" s="555">
        <f t="shared" si="82"/>
        <v>0</v>
      </c>
      <c r="AT308" s="555">
        <f t="shared" si="82"/>
        <v>0</v>
      </c>
      <c r="AU308" s="555">
        <f t="shared" si="82"/>
        <v>0</v>
      </c>
      <c r="AV308" s="555">
        <f t="shared" si="82"/>
        <v>0</v>
      </c>
      <c r="AW308" s="555">
        <f t="shared" si="82"/>
        <v>0</v>
      </c>
      <c r="AX308" s="555">
        <f t="shared" si="82"/>
        <v>0</v>
      </c>
      <c r="AY308" s="555">
        <f t="shared" si="82"/>
        <v>0</v>
      </c>
      <c r="AZ308" s="555">
        <f t="shared" si="82"/>
        <v>0</v>
      </c>
      <c r="BA308" s="555">
        <f t="shared" si="82"/>
        <v>0</v>
      </c>
      <c r="BB308" s="555">
        <f t="shared" si="82"/>
        <v>0</v>
      </c>
      <c r="BC308" s="555">
        <f t="shared" si="82"/>
        <v>0</v>
      </c>
      <c r="BD308" s="555">
        <f t="shared" si="82"/>
        <v>0</v>
      </c>
      <c r="BE308" s="555">
        <f t="shared" si="82"/>
        <v>0</v>
      </c>
      <c r="BF308" s="555">
        <f t="shared" si="82"/>
        <v>0</v>
      </c>
      <c r="BG308" s="555">
        <f t="shared" si="82"/>
        <v>0</v>
      </c>
      <c r="BH308" s="555">
        <f t="shared" si="82"/>
        <v>0</v>
      </c>
      <c r="BI308" s="555">
        <f t="shared" si="82"/>
        <v>0</v>
      </c>
      <c r="BJ308" s="555">
        <f t="shared" si="82"/>
        <v>0</v>
      </c>
      <c r="BK308" s="555">
        <f t="shared" si="82"/>
        <v>0</v>
      </c>
      <c r="BL308" s="555">
        <f t="shared" si="82"/>
        <v>0</v>
      </c>
      <c r="BM308" s="555">
        <f t="shared" si="82"/>
        <v>0</v>
      </c>
      <c r="BN308" s="555">
        <f t="shared" si="82"/>
        <v>0</v>
      </c>
      <c r="BO308" s="555">
        <f t="shared" si="82"/>
        <v>0</v>
      </c>
      <c r="BP308" s="555">
        <f t="shared" ref="BP308:CZ308" si="83">BP255</f>
        <v>0</v>
      </c>
      <c r="BQ308" s="555">
        <f t="shared" si="83"/>
        <v>0</v>
      </c>
      <c r="BR308" s="555">
        <f t="shared" si="83"/>
        <v>0</v>
      </c>
      <c r="BS308" s="555">
        <f t="shared" si="83"/>
        <v>0</v>
      </c>
      <c r="BT308" s="555">
        <f t="shared" si="83"/>
        <v>0</v>
      </c>
      <c r="BU308" s="555">
        <f t="shared" si="83"/>
        <v>0</v>
      </c>
      <c r="BV308" s="555">
        <f t="shared" si="83"/>
        <v>0</v>
      </c>
      <c r="BW308" s="555">
        <f t="shared" si="83"/>
        <v>0</v>
      </c>
      <c r="BX308" s="555">
        <f t="shared" si="83"/>
        <v>0</v>
      </c>
      <c r="BY308" s="555">
        <f t="shared" si="83"/>
        <v>0</v>
      </c>
      <c r="BZ308" s="555">
        <f t="shared" si="83"/>
        <v>0</v>
      </c>
      <c r="CA308" s="555">
        <f t="shared" si="83"/>
        <v>0</v>
      </c>
      <c r="CB308" s="555">
        <f t="shared" si="83"/>
        <v>0</v>
      </c>
      <c r="CC308" s="555">
        <f t="shared" si="83"/>
        <v>0</v>
      </c>
      <c r="CD308" s="555">
        <f t="shared" si="83"/>
        <v>0</v>
      </c>
      <c r="CE308" s="555">
        <f t="shared" si="83"/>
        <v>0</v>
      </c>
      <c r="CF308" s="555">
        <f t="shared" si="83"/>
        <v>0</v>
      </c>
      <c r="CG308" s="555">
        <f t="shared" si="83"/>
        <v>0</v>
      </c>
      <c r="CH308" s="555">
        <f t="shared" si="83"/>
        <v>0</v>
      </c>
      <c r="CI308" s="555">
        <f t="shared" si="83"/>
        <v>0</v>
      </c>
      <c r="CJ308" s="555">
        <f t="shared" si="83"/>
        <v>0</v>
      </c>
      <c r="CK308" s="555">
        <f t="shared" si="83"/>
        <v>0</v>
      </c>
      <c r="CL308" s="555">
        <f t="shared" si="83"/>
        <v>0</v>
      </c>
      <c r="CM308" s="555">
        <f t="shared" si="83"/>
        <v>0</v>
      </c>
      <c r="CN308" s="555">
        <f t="shared" si="83"/>
        <v>0</v>
      </c>
      <c r="CO308" s="555">
        <f t="shared" si="83"/>
        <v>0</v>
      </c>
      <c r="CP308" s="555">
        <f t="shared" si="83"/>
        <v>0</v>
      </c>
      <c r="CQ308" s="555">
        <f t="shared" si="83"/>
        <v>0</v>
      </c>
      <c r="CR308" s="555">
        <f t="shared" si="83"/>
        <v>0</v>
      </c>
      <c r="CS308" s="555">
        <f t="shared" si="83"/>
        <v>0</v>
      </c>
      <c r="CT308" s="555">
        <f t="shared" si="83"/>
        <v>0</v>
      </c>
      <c r="CU308" s="555">
        <f t="shared" si="83"/>
        <v>0</v>
      </c>
      <c r="CV308" s="555">
        <f t="shared" si="83"/>
        <v>0</v>
      </c>
      <c r="CW308" s="555">
        <f t="shared" si="83"/>
        <v>0</v>
      </c>
      <c r="CX308" s="555">
        <f t="shared" si="83"/>
        <v>0</v>
      </c>
      <c r="CY308" s="555">
        <f t="shared" si="83"/>
        <v>0</v>
      </c>
      <c r="CZ308" s="555">
        <f t="shared" si="83"/>
        <v>0</v>
      </c>
    </row>
    <row r="309" spans="1:104" x14ac:dyDescent="0.3">
      <c r="A309" s="559">
        <v>336</v>
      </c>
      <c r="B309" s="180"/>
      <c r="C309" s="180">
        <v>58</v>
      </c>
      <c r="D309" s="560">
        <f t="shared" ref="D309:AI309" si="84">D58</f>
        <v>0</v>
      </c>
      <c r="E309" s="560">
        <f t="shared" si="84"/>
        <v>22201</v>
      </c>
      <c r="F309" s="560">
        <f t="shared" si="84"/>
        <v>119273</v>
      </c>
      <c r="G309" s="560">
        <f t="shared" si="84"/>
        <v>308210</v>
      </c>
      <c r="H309" s="560">
        <f t="shared" si="84"/>
        <v>42059</v>
      </c>
      <c r="I309" s="560">
        <f t="shared" si="84"/>
        <v>60898</v>
      </c>
      <c r="J309" s="560">
        <f t="shared" si="84"/>
        <v>377</v>
      </c>
      <c r="K309" s="560">
        <f t="shared" si="84"/>
        <v>146585</v>
      </c>
      <c r="L309" s="560">
        <f t="shared" si="84"/>
        <v>38980</v>
      </c>
      <c r="M309" s="560">
        <f t="shared" si="84"/>
        <v>5392249</v>
      </c>
      <c r="N309" s="560">
        <f t="shared" si="84"/>
        <v>38031</v>
      </c>
      <c r="O309" s="560">
        <f t="shared" si="84"/>
        <v>270026</v>
      </c>
      <c r="P309" s="560">
        <f t="shared" si="84"/>
        <v>780</v>
      </c>
      <c r="Q309" s="560">
        <f t="shared" si="84"/>
        <v>8691620</v>
      </c>
      <c r="R309" s="560">
        <f t="shared" si="84"/>
        <v>102761</v>
      </c>
      <c r="S309" s="560">
        <f t="shared" si="84"/>
        <v>2483</v>
      </c>
      <c r="T309" s="560">
        <f t="shared" si="84"/>
        <v>15063266</v>
      </c>
      <c r="U309" s="560">
        <f t="shared" si="84"/>
        <v>3401733</v>
      </c>
      <c r="V309" s="560">
        <f t="shared" si="84"/>
        <v>5399143</v>
      </c>
      <c r="W309" s="560">
        <f t="shared" si="84"/>
        <v>12597200</v>
      </c>
      <c r="X309" s="560">
        <f t="shared" si="84"/>
        <v>0</v>
      </c>
      <c r="Y309" s="560">
        <f t="shared" si="84"/>
        <v>3631884</v>
      </c>
      <c r="Z309" s="560">
        <f t="shared" si="84"/>
        <v>79130</v>
      </c>
      <c r="AA309" s="560">
        <f t="shared" si="84"/>
        <v>3994880</v>
      </c>
      <c r="AB309" s="560">
        <f t="shared" si="84"/>
        <v>319527</v>
      </c>
      <c r="AC309" s="560">
        <f t="shared" si="84"/>
        <v>135801</v>
      </c>
      <c r="AD309" s="560">
        <f t="shared" si="84"/>
        <v>62904</v>
      </c>
      <c r="AE309" s="560">
        <f t="shared" si="84"/>
        <v>250988</v>
      </c>
      <c r="AF309" s="560">
        <f t="shared" si="84"/>
        <v>6172121</v>
      </c>
      <c r="AG309" s="560">
        <f t="shared" si="84"/>
        <v>525008</v>
      </c>
      <c r="AH309" s="560">
        <f t="shared" si="84"/>
        <v>32041</v>
      </c>
      <c r="AI309" s="560">
        <f t="shared" si="84"/>
        <v>13393945</v>
      </c>
      <c r="AJ309" s="560">
        <f t="shared" ref="AJ309:BO309" si="85">AJ58</f>
        <v>10579</v>
      </c>
      <c r="AK309" s="560">
        <f t="shared" si="85"/>
        <v>0</v>
      </c>
      <c r="AL309" s="560">
        <f t="shared" si="85"/>
        <v>0</v>
      </c>
      <c r="AM309" s="560">
        <f t="shared" si="85"/>
        <v>4395098</v>
      </c>
      <c r="AN309" s="560">
        <f t="shared" si="85"/>
        <v>72456</v>
      </c>
      <c r="AO309" s="560">
        <f t="shared" si="85"/>
        <v>30964</v>
      </c>
      <c r="AP309" s="560">
        <f t="shared" si="85"/>
        <v>0</v>
      </c>
      <c r="AQ309" s="560">
        <f t="shared" si="85"/>
        <v>2376576</v>
      </c>
      <c r="AR309" s="560">
        <f t="shared" si="85"/>
        <v>160379</v>
      </c>
      <c r="AS309" s="560">
        <f t="shared" si="85"/>
        <v>0</v>
      </c>
      <c r="AT309" s="560">
        <f t="shared" si="85"/>
        <v>451223</v>
      </c>
      <c r="AU309" s="560">
        <f t="shared" si="85"/>
        <v>7545</v>
      </c>
      <c r="AV309" s="560">
        <f t="shared" si="85"/>
        <v>460713</v>
      </c>
      <c r="AW309" s="560">
        <f t="shared" si="85"/>
        <v>1136880</v>
      </c>
      <c r="AX309" s="560">
        <f t="shared" si="85"/>
        <v>34734</v>
      </c>
      <c r="AY309" s="560">
        <f t="shared" si="85"/>
        <v>1520593</v>
      </c>
      <c r="AZ309" s="560">
        <f t="shared" si="85"/>
        <v>25965</v>
      </c>
      <c r="BA309" s="560">
        <f t="shared" si="85"/>
        <v>41656</v>
      </c>
      <c r="BB309" s="560">
        <f t="shared" si="85"/>
        <v>0</v>
      </c>
      <c r="BC309" s="560">
        <f t="shared" si="85"/>
        <v>10959</v>
      </c>
      <c r="BD309" s="560">
        <f t="shared" si="85"/>
        <v>678173</v>
      </c>
      <c r="BE309" s="560">
        <f t="shared" si="85"/>
        <v>30798</v>
      </c>
      <c r="BF309" s="560">
        <f t="shared" si="85"/>
        <v>13125</v>
      </c>
      <c r="BG309" s="560">
        <f t="shared" si="85"/>
        <v>13182</v>
      </c>
      <c r="BH309" s="560">
        <f t="shared" si="85"/>
        <v>780</v>
      </c>
      <c r="BI309" s="560">
        <f t="shared" si="85"/>
        <v>2698</v>
      </c>
      <c r="BJ309" s="560">
        <f t="shared" si="85"/>
        <v>51967</v>
      </c>
      <c r="BK309" s="560">
        <f t="shared" si="85"/>
        <v>1175221</v>
      </c>
      <c r="BL309" s="560">
        <f t="shared" si="85"/>
        <v>0</v>
      </c>
      <c r="BM309" s="560">
        <f t="shared" si="85"/>
        <v>123243</v>
      </c>
      <c r="BN309" s="560">
        <f t="shared" si="85"/>
        <v>373206</v>
      </c>
      <c r="BO309" s="560">
        <f t="shared" si="85"/>
        <v>70887</v>
      </c>
      <c r="BP309" s="560">
        <f t="shared" ref="BP309:CZ309" si="86">BP58</f>
        <v>31187</v>
      </c>
      <c r="BQ309" s="560">
        <f t="shared" si="86"/>
        <v>2034902</v>
      </c>
      <c r="BR309" s="560">
        <f t="shared" si="86"/>
        <v>94181</v>
      </c>
      <c r="BS309" s="560">
        <f t="shared" si="86"/>
        <v>4667328</v>
      </c>
      <c r="BT309" s="560">
        <f t="shared" si="86"/>
        <v>96724</v>
      </c>
      <c r="BU309" s="560">
        <f t="shared" si="86"/>
        <v>555102</v>
      </c>
      <c r="BV309" s="560">
        <f t="shared" si="86"/>
        <v>42493</v>
      </c>
      <c r="BW309" s="560">
        <f t="shared" si="86"/>
        <v>200662</v>
      </c>
      <c r="BX309" s="560">
        <f t="shared" si="86"/>
        <v>45071</v>
      </c>
      <c r="BY309" s="560">
        <f t="shared" si="86"/>
        <v>1783</v>
      </c>
      <c r="BZ309" s="560">
        <f t="shared" si="86"/>
        <v>1250334</v>
      </c>
      <c r="CA309" s="560">
        <f t="shared" si="86"/>
        <v>11009</v>
      </c>
      <c r="CB309" s="560">
        <f t="shared" si="86"/>
        <v>486306</v>
      </c>
      <c r="CC309" s="560">
        <f t="shared" si="86"/>
        <v>0</v>
      </c>
      <c r="CD309" s="560">
        <f t="shared" si="86"/>
        <v>24574</v>
      </c>
      <c r="CE309" s="560">
        <f t="shared" si="86"/>
        <v>0</v>
      </c>
      <c r="CF309" s="560">
        <f t="shared" si="86"/>
        <v>0</v>
      </c>
      <c r="CG309" s="560">
        <f t="shared" si="86"/>
        <v>0</v>
      </c>
      <c r="CH309" s="560">
        <f t="shared" si="86"/>
        <v>0</v>
      </c>
      <c r="CI309" s="560">
        <f t="shared" si="86"/>
        <v>0</v>
      </c>
      <c r="CJ309" s="560">
        <f t="shared" si="86"/>
        <v>0</v>
      </c>
      <c r="CK309" s="560">
        <f t="shared" si="86"/>
        <v>0</v>
      </c>
      <c r="CL309" s="560">
        <f t="shared" si="86"/>
        <v>0</v>
      </c>
      <c r="CM309" s="560">
        <f t="shared" si="86"/>
        <v>0</v>
      </c>
      <c r="CN309" s="560">
        <f t="shared" si="86"/>
        <v>0</v>
      </c>
      <c r="CO309" s="560">
        <f t="shared" si="86"/>
        <v>0</v>
      </c>
      <c r="CP309" s="560">
        <f t="shared" si="86"/>
        <v>0</v>
      </c>
      <c r="CQ309" s="560">
        <f t="shared" si="86"/>
        <v>0</v>
      </c>
      <c r="CR309" s="560">
        <f t="shared" si="86"/>
        <v>0</v>
      </c>
      <c r="CS309" s="560">
        <f t="shared" si="86"/>
        <v>0</v>
      </c>
      <c r="CT309" s="560">
        <f t="shared" si="86"/>
        <v>0</v>
      </c>
      <c r="CU309" s="560">
        <f t="shared" si="86"/>
        <v>0</v>
      </c>
      <c r="CV309" s="560">
        <f t="shared" si="86"/>
        <v>0</v>
      </c>
      <c r="CW309" s="560">
        <f t="shared" si="86"/>
        <v>0</v>
      </c>
      <c r="CX309" s="560">
        <f t="shared" si="86"/>
        <v>0</v>
      </c>
      <c r="CY309" s="560">
        <f t="shared" si="86"/>
        <v>0</v>
      </c>
      <c r="CZ309" s="560">
        <f t="shared" si="86"/>
        <v>0</v>
      </c>
    </row>
    <row r="310" spans="1:104" x14ac:dyDescent="0.3">
      <c r="A310" s="559">
        <v>44</v>
      </c>
      <c r="B310" s="180"/>
      <c r="C310" s="180">
        <v>14</v>
      </c>
      <c r="D310" s="560">
        <f t="shared" ref="D310:AI310" si="87">D14</f>
        <v>0</v>
      </c>
      <c r="E310" s="560">
        <f t="shared" si="87"/>
        <v>0</v>
      </c>
      <c r="F310" s="560">
        <f t="shared" si="87"/>
        <v>778602</v>
      </c>
      <c r="G310" s="560">
        <f t="shared" si="87"/>
        <v>0</v>
      </c>
      <c r="H310" s="560">
        <f t="shared" si="87"/>
        <v>0</v>
      </c>
      <c r="I310" s="560">
        <f t="shared" si="87"/>
        <v>0</v>
      </c>
      <c r="J310" s="560">
        <f t="shared" si="87"/>
        <v>61741</v>
      </c>
      <c r="K310" s="560">
        <f t="shared" si="87"/>
        <v>0</v>
      </c>
      <c r="L310" s="560">
        <f t="shared" si="87"/>
        <v>0</v>
      </c>
      <c r="M310" s="560">
        <f t="shared" si="87"/>
        <v>0</v>
      </c>
      <c r="N310" s="560">
        <f t="shared" si="87"/>
        <v>0</v>
      </c>
      <c r="O310" s="560">
        <f t="shared" si="87"/>
        <v>2790933</v>
      </c>
      <c r="P310" s="560">
        <f t="shared" si="87"/>
        <v>0</v>
      </c>
      <c r="Q310" s="560">
        <f t="shared" si="87"/>
        <v>57476799</v>
      </c>
      <c r="R310" s="560">
        <f t="shared" si="87"/>
        <v>922821</v>
      </c>
      <c r="S310" s="560">
        <f t="shared" si="87"/>
        <v>0</v>
      </c>
      <c r="T310" s="560">
        <f t="shared" si="87"/>
        <v>28874899</v>
      </c>
      <c r="U310" s="560">
        <f t="shared" si="87"/>
        <v>9496458</v>
      </c>
      <c r="V310" s="560">
        <f t="shared" si="87"/>
        <v>21934652</v>
      </c>
      <c r="W310" s="560">
        <f t="shared" si="87"/>
        <v>0</v>
      </c>
      <c r="X310" s="560">
        <f t="shared" si="87"/>
        <v>0</v>
      </c>
      <c r="Y310" s="560">
        <f t="shared" si="87"/>
        <v>9824110</v>
      </c>
      <c r="Z310" s="560">
        <f t="shared" si="87"/>
        <v>1763987</v>
      </c>
      <c r="AA310" s="560">
        <f t="shared" si="87"/>
        <v>17013395</v>
      </c>
      <c r="AB310" s="560">
        <f t="shared" si="87"/>
        <v>2339177</v>
      </c>
      <c r="AC310" s="560">
        <f t="shared" si="87"/>
        <v>1526674</v>
      </c>
      <c r="AD310" s="560">
        <f t="shared" si="87"/>
        <v>1302604</v>
      </c>
      <c r="AE310" s="560">
        <f t="shared" si="87"/>
        <v>2181333</v>
      </c>
      <c r="AF310" s="560">
        <f t="shared" si="87"/>
        <v>4642639</v>
      </c>
      <c r="AG310" s="560">
        <f t="shared" si="87"/>
        <v>1121200</v>
      </c>
      <c r="AH310" s="560">
        <f t="shared" si="87"/>
        <v>0</v>
      </c>
      <c r="AI310" s="560">
        <f t="shared" si="87"/>
        <v>24708352</v>
      </c>
      <c r="AJ310" s="560">
        <f t="shared" ref="AJ310:BO310" si="88">AJ14</f>
        <v>410254</v>
      </c>
      <c r="AK310" s="560">
        <f t="shared" si="88"/>
        <v>0</v>
      </c>
      <c r="AL310" s="560">
        <f t="shared" si="88"/>
        <v>0</v>
      </c>
      <c r="AM310" s="560">
        <f t="shared" si="88"/>
        <v>4513790</v>
      </c>
      <c r="AN310" s="560">
        <f t="shared" si="88"/>
        <v>50450</v>
      </c>
      <c r="AO310" s="560">
        <f t="shared" si="88"/>
        <v>179032</v>
      </c>
      <c r="AP310" s="560">
        <f t="shared" si="88"/>
        <v>0</v>
      </c>
      <c r="AQ310" s="560">
        <f t="shared" si="88"/>
        <v>0</v>
      </c>
      <c r="AR310" s="560">
        <f t="shared" si="88"/>
        <v>5664545</v>
      </c>
      <c r="AS310" s="560">
        <f t="shared" si="88"/>
        <v>0</v>
      </c>
      <c r="AT310" s="560">
        <f t="shared" si="88"/>
        <v>2135120</v>
      </c>
      <c r="AU310" s="560">
        <f t="shared" si="88"/>
        <v>0</v>
      </c>
      <c r="AV310" s="560">
        <f t="shared" si="88"/>
        <v>35468949</v>
      </c>
      <c r="AW310" s="560">
        <f t="shared" si="88"/>
        <v>0</v>
      </c>
      <c r="AX310" s="560">
        <f t="shared" si="88"/>
        <v>3107054</v>
      </c>
      <c r="AY310" s="560">
        <f t="shared" si="88"/>
        <v>18393142</v>
      </c>
      <c r="AZ310" s="560">
        <f t="shared" si="88"/>
        <v>1077305</v>
      </c>
      <c r="BA310" s="560">
        <f t="shared" si="88"/>
        <v>282656</v>
      </c>
      <c r="BB310" s="560">
        <f t="shared" si="88"/>
        <v>0</v>
      </c>
      <c r="BC310" s="560">
        <f t="shared" si="88"/>
        <v>81868</v>
      </c>
      <c r="BD310" s="560">
        <f t="shared" si="88"/>
        <v>9853347</v>
      </c>
      <c r="BE310" s="560">
        <f t="shared" si="88"/>
        <v>0</v>
      </c>
      <c r="BF310" s="560">
        <f t="shared" si="88"/>
        <v>298792</v>
      </c>
      <c r="BG310" s="560">
        <f t="shared" si="88"/>
        <v>132118</v>
      </c>
      <c r="BH310" s="560">
        <f t="shared" si="88"/>
        <v>0</v>
      </c>
      <c r="BI310" s="560">
        <f t="shared" si="88"/>
        <v>358281</v>
      </c>
      <c r="BJ310" s="560">
        <f t="shared" si="88"/>
        <v>0</v>
      </c>
      <c r="BK310" s="560">
        <f t="shared" si="88"/>
        <v>2367135</v>
      </c>
      <c r="BL310" s="560">
        <f t="shared" si="88"/>
        <v>0</v>
      </c>
      <c r="BM310" s="560">
        <f t="shared" si="88"/>
        <v>717479</v>
      </c>
      <c r="BN310" s="560">
        <f t="shared" si="88"/>
        <v>1164674</v>
      </c>
      <c r="BO310" s="560">
        <f t="shared" si="88"/>
        <v>949906</v>
      </c>
      <c r="BP310" s="560">
        <f t="shared" ref="BP310:CZ310" si="89">BP14</f>
        <v>1212280</v>
      </c>
      <c r="BQ310" s="560">
        <f t="shared" si="89"/>
        <v>0</v>
      </c>
      <c r="BR310" s="560">
        <f t="shared" si="89"/>
        <v>954297</v>
      </c>
      <c r="BS310" s="560">
        <f t="shared" si="89"/>
        <v>0</v>
      </c>
      <c r="BT310" s="560">
        <f t="shared" si="89"/>
        <v>650428</v>
      </c>
      <c r="BU310" s="560">
        <f t="shared" si="89"/>
        <v>7062334</v>
      </c>
      <c r="BV310" s="560">
        <f t="shared" si="89"/>
        <v>0</v>
      </c>
      <c r="BW310" s="560">
        <f t="shared" si="89"/>
        <v>1873982</v>
      </c>
      <c r="BX310" s="560">
        <f t="shared" si="89"/>
        <v>1435209</v>
      </c>
      <c r="BY310" s="560">
        <f t="shared" si="89"/>
        <v>36114</v>
      </c>
      <c r="BZ310" s="560">
        <f t="shared" si="89"/>
        <v>395742</v>
      </c>
      <c r="CA310" s="560">
        <f t="shared" si="89"/>
        <v>67186</v>
      </c>
      <c r="CB310" s="560">
        <f t="shared" si="89"/>
        <v>1540739</v>
      </c>
      <c r="CC310" s="560">
        <f t="shared" si="89"/>
        <v>0</v>
      </c>
      <c r="CD310" s="560">
        <f t="shared" si="89"/>
        <v>35503</v>
      </c>
      <c r="CE310" s="560">
        <f t="shared" si="89"/>
        <v>0</v>
      </c>
      <c r="CF310" s="560">
        <f t="shared" si="89"/>
        <v>0</v>
      </c>
      <c r="CG310" s="560">
        <f t="shared" si="89"/>
        <v>0</v>
      </c>
      <c r="CH310" s="560">
        <f t="shared" si="89"/>
        <v>0</v>
      </c>
      <c r="CI310" s="560">
        <f t="shared" si="89"/>
        <v>0</v>
      </c>
      <c r="CJ310" s="560">
        <f t="shared" si="89"/>
        <v>0</v>
      </c>
      <c r="CK310" s="560">
        <f t="shared" si="89"/>
        <v>0</v>
      </c>
      <c r="CL310" s="560">
        <f t="shared" si="89"/>
        <v>0</v>
      </c>
      <c r="CM310" s="560">
        <f t="shared" si="89"/>
        <v>0</v>
      </c>
      <c r="CN310" s="560">
        <f t="shared" si="89"/>
        <v>0</v>
      </c>
      <c r="CO310" s="560">
        <f t="shared" si="89"/>
        <v>0</v>
      </c>
      <c r="CP310" s="560">
        <f t="shared" si="89"/>
        <v>0</v>
      </c>
      <c r="CQ310" s="560">
        <f t="shared" si="89"/>
        <v>0</v>
      </c>
      <c r="CR310" s="560">
        <f t="shared" si="89"/>
        <v>0</v>
      </c>
      <c r="CS310" s="560">
        <f t="shared" si="89"/>
        <v>0</v>
      </c>
      <c r="CT310" s="560">
        <f t="shared" si="89"/>
        <v>0</v>
      </c>
      <c r="CU310" s="560">
        <f t="shared" si="89"/>
        <v>0</v>
      </c>
      <c r="CV310" s="560">
        <f t="shared" si="89"/>
        <v>0</v>
      </c>
      <c r="CW310" s="560">
        <f t="shared" si="89"/>
        <v>0</v>
      </c>
      <c r="CX310" s="560">
        <f t="shared" si="89"/>
        <v>0</v>
      </c>
      <c r="CY310" s="560">
        <f t="shared" si="89"/>
        <v>0</v>
      </c>
      <c r="CZ310" s="560">
        <f t="shared" si="89"/>
        <v>0</v>
      </c>
    </row>
    <row r="311" spans="1:104" x14ac:dyDescent="0.3">
      <c r="A311" s="559">
        <v>45</v>
      </c>
      <c r="B311" s="180"/>
      <c r="C311" s="180">
        <v>15</v>
      </c>
      <c r="D311" s="560">
        <f t="shared" ref="D311:AI311" si="90">D15</f>
        <v>0</v>
      </c>
      <c r="E311" s="560">
        <f t="shared" si="90"/>
        <v>0</v>
      </c>
      <c r="F311" s="560">
        <f t="shared" si="90"/>
        <v>52478</v>
      </c>
      <c r="G311" s="560">
        <f t="shared" si="90"/>
        <v>0</v>
      </c>
      <c r="H311" s="560">
        <f t="shared" si="90"/>
        <v>0</v>
      </c>
      <c r="I311" s="560">
        <f t="shared" si="90"/>
        <v>0</v>
      </c>
      <c r="J311" s="560">
        <f t="shared" si="90"/>
        <v>9268</v>
      </c>
      <c r="K311" s="560">
        <f t="shared" si="90"/>
        <v>0</v>
      </c>
      <c r="L311" s="560">
        <f t="shared" si="90"/>
        <v>0</v>
      </c>
      <c r="M311" s="560">
        <f t="shared" si="90"/>
        <v>0</v>
      </c>
      <c r="N311" s="560">
        <f t="shared" si="90"/>
        <v>0</v>
      </c>
      <c r="O311" s="560">
        <f t="shared" si="90"/>
        <v>321896</v>
      </c>
      <c r="P311" s="560">
        <f t="shared" si="90"/>
        <v>0</v>
      </c>
      <c r="Q311" s="560">
        <f t="shared" si="90"/>
        <v>2647317</v>
      </c>
      <c r="R311" s="560">
        <f t="shared" si="90"/>
        <v>43876</v>
      </c>
      <c r="S311" s="560">
        <f t="shared" si="90"/>
        <v>0</v>
      </c>
      <c r="T311" s="560">
        <f t="shared" si="90"/>
        <v>8242652</v>
      </c>
      <c r="U311" s="560">
        <f t="shared" si="90"/>
        <v>2080676</v>
      </c>
      <c r="V311" s="560">
        <f t="shared" si="90"/>
        <v>2043200</v>
      </c>
      <c r="W311" s="560">
        <f t="shared" si="90"/>
        <v>0</v>
      </c>
      <c r="X311" s="560">
        <f t="shared" si="90"/>
        <v>0</v>
      </c>
      <c r="Y311" s="560">
        <f t="shared" si="90"/>
        <v>998893</v>
      </c>
      <c r="Z311" s="560">
        <f t="shared" si="90"/>
        <v>258448</v>
      </c>
      <c r="AA311" s="560">
        <f t="shared" si="90"/>
        <v>739590</v>
      </c>
      <c r="AB311" s="560">
        <f t="shared" si="90"/>
        <v>780427</v>
      </c>
      <c r="AC311" s="560">
        <f t="shared" si="90"/>
        <v>375528</v>
      </c>
      <c r="AD311" s="560">
        <f t="shared" si="90"/>
        <v>301824</v>
      </c>
      <c r="AE311" s="560">
        <f t="shared" si="90"/>
        <v>157301</v>
      </c>
      <c r="AF311" s="560">
        <f t="shared" si="90"/>
        <v>486101</v>
      </c>
      <c r="AG311" s="560">
        <f t="shared" si="90"/>
        <v>260832</v>
      </c>
      <c r="AH311" s="560">
        <f t="shared" si="90"/>
        <v>0</v>
      </c>
      <c r="AI311" s="560">
        <f t="shared" si="90"/>
        <v>5259175</v>
      </c>
      <c r="AJ311" s="560">
        <f t="shared" ref="AJ311:BO311" si="91">AJ15</f>
        <v>64896</v>
      </c>
      <c r="AK311" s="560">
        <f t="shared" si="91"/>
        <v>0</v>
      </c>
      <c r="AL311" s="560">
        <f t="shared" si="91"/>
        <v>0</v>
      </c>
      <c r="AM311" s="560">
        <f t="shared" si="91"/>
        <v>1642584</v>
      </c>
      <c r="AN311" s="560">
        <f t="shared" si="91"/>
        <v>46235</v>
      </c>
      <c r="AO311" s="560">
        <f t="shared" si="91"/>
        <v>155736</v>
      </c>
      <c r="AP311" s="560">
        <f t="shared" si="91"/>
        <v>0</v>
      </c>
      <c r="AQ311" s="560">
        <f t="shared" si="91"/>
        <v>0</v>
      </c>
      <c r="AR311" s="560">
        <f t="shared" si="91"/>
        <v>335556</v>
      </c>
      <c r="AS311" s="560">
        <f t="shared" si="91"/>
        <v>0</v>
      </c>
      <c r="AT311" s="560">
        <f t="shared" si="91"/>
        <v>960525</v>
      </c>
      <c r="AU311" s="560">
        <f t="shared" si="91"/>
        <v>0</v>
      </c>
      <c r="AV311" s="560">
        <f t="shared" si="91"/>
        <v>1522131</v>
      </c>
      <c r="AW311" s="560">
        <f t="shared" si="91"/>
        <v>0</v>
      </c>
      <c r="AX311" s="560">
        <f t="shared" si="91"/>
        <v>432517</v>
      </c>
      <c r="AY311" s="560">
        <f t="shared" si="91"/>
        <v>409085</v>
      </c>
      <c r="AZ311" s="560">
        <f t="shared" si="91"/>
        <v>49786</v>
      </c>
      <c r="BA311" s="560">
        <f t="shared" si="91"/>
        <v>70830</v>
      </c>
      <c r="BB311" s="560">
        <f t="shared" si="91"/>
        <v>0</v>
      </c>
      <c r="BC311" s="560">
        <f t="shared" si="91"/>
        <v>9016</v>
      </c>
      <c r="BD311" s="560">
        <f t="shared" si="91"/>
        <v>2895408</v>
      </c>
      <c r="BE311" s="560">
        <f t="shared" si="91"/>
        <v>0</v>
      </c>
      <c r="BF311" s="560">
        <f t="shared" si="91"/>
        <v>262550</v>
      </c>
      <c r="BG311" s="560">
        <f t="shared" si="91"/>
        <v>5856</v>
      </c>
      <c r="BH311" s="560">
        <f t="shared" si="91"/>
        <v>0</v>
      </c>
      <c r="BI311" s="560">
        <f t="shared" si="91"/>
        <v>11206</v>
      </c>
      <c r="BJ311" s="560">
        <f t="shared" si="91"/>
        <v>0</v>
      </c>
      <c r="BK311" s="560">
        <f t="shared" si="91"/>
        <v>473077</v>
      </c>
      <c r="BL311" s="560">
        <f t="shared" si="91"/>
        <v>0</v>
      </c>
      <c r="BM311" s="560">
        <f t="shared" si="91"/>
        <v>315380</v>
      </c>
      <c r="BN311" s="560">
        <f t="shared" si="91"/>
        <v>110883</v>
      </c>
      <c r="BO311" s="560">
        <f t="shared" si="91"/>
        <v>196671</v>
      </c>
      <c r="BP311" s="560">
        <f t="shared" ref="BP311:CZ311" si="92">BP15</f>
        <v>110582</v>
      </c>
      <c r="BQ311" s="560">
        <f t="shared" si="92"/>
        <v>0</v>
      </c>
      <c r="BR311" s="560">
        <f t="shared" si="92"/>
        <v>181771</v>
      </c>
      <c r="BS311" s="560">
        <f t="shared" si="92"/>
        <v>0</v>
      </c>
      <c r="BT311" s="560">
        <f t="shared" si="92"/>
        <v>86845</v>
      </c>
      <c r="BU311" s="560">
        <f t="shared" si="92"/>
        <v>791440</v>
      </c>
      <c r="BV311" s="560">
        <f t="shared" si="92"/>
        <v>0</v>
      </c>
      <c r="BW311" s="560">
        <f t="shared" si="92"/>
        <v>1053940</v>
      </c>
      <c r="BX311" s="560">
        <f t="shared" si="92"/>
        <v>16201</v>
      </c>
      <c r="BY311" s="560">
        <f t="shared" si="92"/>
        <v>35125</v>
      </c>
      <c r="BZ311" s="560">
        <f t="shared" si="92"/>
        <v>688972</v>
      </c>
      <c r="CA311" s="560">
        <f t="shared" si="92"/>
        <v>18881</v>
      </c>
      <c r="CB311" s="560">
        <f t="shared" si="92"/>
        <v>85117</v>
      </c>
      <c r="CC311" s="560">
        <f t="shared" si="92"/>
        <v>0</v>
      </c>
      <c r="CD311" s="560">
        <f t="shared" si="92"/>
        <v>0</v>
      </c>
      <c r="CE311" s="560">
        <f t="shared" si="92"/>
        <v>0</v>
      </c>
      <c r="CF311" s="560">
        <f t="shared" si="92"/>
        <v>0</v>
      </c>
      <c r="CG311" s="560">
        <f t="shared" si="92"/>
        <v>0</v>
      </c>
      <c r="CH311" s="560">
        <f t="shared" si="92"/>
        <v>0</v>
      </c>
      <c r="CI311" s="560">
        <f t="shared" si="92"/>
        <v>0</v>
      </c>
      <c r="CJ311" s="560">
        <f t="shared" si="92"/>
        <v>0</v>
      </c>
      <c r="CK311" s="560">
        <f t="shared" si="92"/>
        <v>0</v>
      </c>
      <c r="CL311" s="560">
        <f t="shared" si="92"/>
        <v>0</v>
      </c>
      <c r="CM311" s="560">
        <f t="shared" si="92"/>
        <v>0</v>
      </c>
      <c r="CN311" s="560">
        <f t="shared" si="92"/>
        <v>0</v>
      </c>
      <c r="CO311" s="560">
        <f t="shared" si="92"/>
        <v>0</v>
      </c>
      <c r="CP311" s="560">
        <f t="shared" si="92"/>
        <v>0</v>
      </c>
      <c r="CQ311" s="560">
        <f t="shared" si="92"/>
        <v>0</v>
      </c>
      <c r="CR311" s="560">
        <f t="shared" si="92"/>
        <v>0</v>
      </c>
      <c r="CS311" s="560">
        <f t="shared" si="92"/>
        <v>0</v>
      </c>
      <c r="CT311" s="560">
        <f t="shared" si="92"/>
        <v>0</v>
      </c>
      <c r="CU311" s="560">
        <f t="shared" si="92"/>
        <v>0</v>
      </c>
      <c r="CV311" s="560">
        <f t="shared" si="92"/>
        <v>0</v>
      </c>
      <c r="CW311" s="560">
        <f t="shared" si="92"/>
        <v>0</v>
      </c>
      <c r="CX311" s="560">
        <f t="shared" si="92"/>
        <v>0</v>
      </c>
      <c r="CY311" s="560">
        <f t="shared" si="92"/>
        <v>0</v>
      </c>
      <c r="CZ311" s="560">
        <f t="shared" si="92"/>
        <v>0</v>
      </c>
    </row>
    <row r="312" spans="1:104" x14ac:dyDescent="0.3">
      <c r="A312" s="559">
        <v>47</v>
      </c>
      <c r="B312" s="180"/>
      <c r="C312" s="180">
        <v>16</v>
      </c>
      <c r="D312" s="560">
        <f t="shared" ref="D312:AI312" si="93">D16</f>
        <v>0</v>
      </c>
      <c r="E312" s="560">
        <f t="shared" si="93"/>
        <v>0</v>
      </c>
      <c r="F312" s="560">
        <f t="shared" si="93"/>
        <v>0</v>
      </c>
      <c r="G312" s="560">
        <f t="shared" si="93"/>
        <v>0</v>
      </c>
      <c r="H312" s="560">
        <f t="shared" si="93"/>
        <v>0</v>
      </c>
      <c r="I312" s="560">
        <f t="shared" si="93"/>
        <v>0</v>
      </c>
      <c r="J312" s="560">
        <f t="shared" si="93"/>
        <v>0</v>
      </c>
      <c r="K312" s="560">
        <f t="shared" si="93"/>
        <v>0</v>
      </c>
      <c r="L312" s="560">
        <f t="shared" si="93"/>
        <v>0</v>
      </c>
      <c r="M312" s="560">
        <f t="shared" si="93"/>
        <v>0</v>
      </c>
      <c r="N312" s="560">
        <f t="shared" si="93"/>
        <v>0</v>
      </c>
      <c r="O312" s="560">
        <f t="shared" si="93"/>
        <v>0</v>
      </c>
      <c r="P312" s="560">
        <f t="shared" si="93"/>
        <v>0</v>
      </c>
      <c r="Q312" s="560">
        <f t="shared" si="93"/>
        <v>99669701</v>
      </c>
      <c r="R312" s="560">
        <f t="shared" si="93"/>
        <v>0</v>
      </c>
      <c r="S312" s="560">
        <f t="shared" si="93"/>
        <v>0</v>
      </c>
      <c r="T312" s="560">
        <f t="shared" si="93"/>
        <v>0</v>
      </c>
      <c r="U312" s="560">
        <f t="shared" si="93"/>
        <v>0</v>
      </c>
      <c r="V312" s="560">
        <f t="shared" si="93"/>
        <v>23101351</v>
      </c>
      <c r="W312" s="560">
        <f t="shared" si="93"/>
        <v>0</v>
      </c>
      <c r="X312" s="560">
        <f t="shared" si="93"/>
        <v>0</v>
      </c>
      <c r="Y312" s="560">
        <f t="shared" si="93"/>
        <v>0</v>
      </c>
      <c r="Z312" s="560">
        <f t="shared" si="93"/>
        <v>0</v>
      </c>
      <c r="AA312" s="560">
        <f t="shared" si="93"/>
        <v>0</v>
      </c>
      <c r="AB312" s="560">
        <f t="shared" si="93"/>
        <v>0</v>
      </c>
      <c r="AC312" s="560">
        <f t="shared" si="93"/>
        <v>0</v>
      </c>
      <c r="AD312" s="560">
        <f t="shared" si="93"/>
        <v>0</v>
      </c>
      <c r="AE312" s="560">
        <f t="shared" si="93"/>
        <v>0</v>
      </c>
      <c r="AF312" s="560">
        <f t="shared" si="93"/>
        <v>0</v>
      </c>
      <c r="AG312" s="560">
        <f t="shared" si="93"/>
        <v>0</v>
      </c>
      <c r="AH312" s="560">
        <f t="shared" si="93"/>
        <v>0</v>
      </c>
      <c r="AI312" s="560">
        <f t="shared" si="93"/>
        <v>26689429</v>
      </c>
      <c r="AJ312" s="560">
        <f t="shared" ref="AJ312:BO312" si="94">AJ16</f>
        <v>0</v>
      </c>
      <c r="AK312" s="560">
        <f t="shared" si="94"/>
        <v>0</v>
      </c>
      <c r="AL312" s="560">
        <f t="shared" si="94"/>
        <v>0</v>
      </c>
      <c r="AM312" s="560">
        <f t="shared" si="94"/>
        <v>13955402</v>
      </c>
      <c r="AN312" s="560">
        <f t="shared" si="94"/>
        <v>0</v>
      </c>
      <c r="AO312" s="560">
        <f t="shared" si="94"/>
        <v>0</v>
      </c>
      <c r="AP312" s="560">
        <f t="shared" si="94"/>
        <v>0</v>
      </c>
      <c r="AQ312" s="560">
        <f t="shared" si="94"/>
        <v>0</v>
      </c>
      <c r="AR312" s="560">
        <f t="shared" si="94"/>
        <v>0</v>
      </c>
      <c r="AS312" s="560">
        <f t="shared" si="94"/>
        <v>0</v>
      </c>
      <c r="AT312" s="560">
        <f t="shared" si="94"/>
        <v>0</v>
      </c>
      <c r="AU312" s="560">
        <f t="shared" si="94"/>
        <v>756220</v>
      </c>
      <c r="AV312" s="560">
        <f t="shared" si="94"/>
        <v>0</v>
      </c>
      <c r="AW312" s="560">
        <f t="shared" si="94"/>
        <v>0</v>
      </c>
      <c r="AX312" s="560">
        <f t="shared" si="94"/>
        <v>0</v>
      </c>
      <c r="AY312" s="560">
        <f t="shared" si="94"/>
        <v>0</v>
      </c>
      <c r="AZ312" s="560">
        <f t="shared" si="94"/>
        <v>0</v>
      </c>
      <c r="BA312" s="560">
        <f t="shared" si="94"/>
        <v>0</v>
      </c>
      <c r="BB312" s="560">
        <f t="shared" si="94"/>
        <v>0</v>
      </c>
      <c r="BC312" s="560">
        <f t="shared" si="94"/>
        <v>0</v>
      </c>
      <c r="BD312" s="560">
        <f t="shared" si="94"/>
        <v>0</v>
      </c>
      <c r="BE312" s="560">
        <f t="shared" si="94"/>
        <v>0</v>
      </c>
      <c r="BF312" s="560">
        <f t="shared" si="94"/>
        <v>0</v>
      </c>
      <c r="BG312" s="560">
        <f t="shared" si="94"/>
        <v>0</v>
      </c>
      <c r="BH312" s="560">
        <f t="shared" si="94"/>
        <v>0</v>
      </c>
      <c r="BI312" s="560">
        <f t="shared" si="94"/>
        <v>0</v>
      </c>
      <c r="BJ312" s="560">
        <f t="shared" si="94"/>
        <v>0</v>
      </c>
      <c r="BK312" s="560">
        <f t="shared" si="94"/>
        <v>0</v>
      </c>
      <c r="BL312" s="560">
        <f t="shared" si="94"/>
        <v>0</v>
      </c>
      <c r="BM312" s="560">
        <f t="shared" si="94"/>
        <v>0</v>
      </c>
      <c r="BN312" s="560">
        <f t="shared" si="94"/>
        <v>0</v>
      </c>
      <c r="BO312" s="560">
        <f t="shared" si="94"/>
        <v>0</v>
      </c>
      <c r="BP312" s="560">
        <f t="shared" ref="BP312:CZ312" si="95">BP16</f>
        <v>0</v>
      </c>
      <c r="BQ312" s="560">
        <f t="shared" si="95"/>
        <v>0</v>
      </c>
      <c r="BR312" s="560">
        <f t="shared" si="95"/>
        <v>2155718</v>
      </c>
      <c r="BS312" s="560">
        <f t="shared" si="95"/>
        <v>6468719</v>
      </c>
      <c r="BT312" s="560">
        <f t="shared" si="95"/>
        <v>0</v>
      </c>
      <c r="BU312" s="560">
        <f t="shared" si="95"/>
        <v>0</v>
      </c>
      <c r="BV312" s="560">
        <f t="shared" si="95"/>
        <v>0</v>
      </c>
      <c r="BW312" s="560">
        <f t="shared" si="95"/>
        <v>0</v>
      </c>
      <c r="BX312" s="560">
        <f t="shared" si="95"/>
        <v>0</v>
      </c>
      <c r="BY312" s="560">
        <f t="shared" si="95"/>
        <v>0</v>
      </c>
      <c r="BZ312" s="560">
        <f t="shared" si="95"/>
        <v>0</v>
      </c>
      <c r="CA312" s="560">
        <f t="shared" si="95"/>
        <v>0</v>
      </c>
      <c r="CB312" s="560">
        <f t="shared" si="95"/>
        <v>0</v>
      </c>
      <c r="CC312" s="560">
        <f t="shared" si="95"/>
        <v>0</v>
      </c>
      <c r="CD312" s="560">
        <f t="shared" si="95"/>
        <v>0</v>
      </c>
      <c r="CE312" s="560">
        <f t="shared" si="95"/>
        <v>0</v>
      </c>
      <c r="CF312" s="560">
        <f t="shared" si="95"/>
        <v>0</v>
      </c>
      <c r="CG312" s="560">
        <f t="shared" si="95"/>
        <v>0</v>
      </c>
      <c r="CH312" s="560">
        <f t="shared" si="95"/>
        <v>0</v>
      </c>
      <c r="CI312" s="560">
        <f t="shared" si="95"/>
        <v>0</v>
      </c>
      <c r="CJ312" s="560">
        <f t="shared" si="95"/>
        <v>0</v>
      </c>
      <c r="CK312" s="560">
        <f t="shared" si="95"/>
        <v>0</v>
      </c>
      <c r="CL312" s="560">
        <f t="shared" si="95"/>
        <v>0</v>
      </c>
      <c r="CM312" s="560">
        <f t="shared" si="95"/>
        <v>0</v>
      </c>
      <c r="CN312" s="560">
        <f t="shared" si="95"/>
        <v>0</v>
      </c>
      <c r="CO312" s="560">
        <f t="shared" si="95"/>
        <v>0</v>
      </c>
      <c r="CP312" s="560">
        <f t="shared" si="95"/>
        <v>0</v>
      </c>
      <c r="CQ312" s="560">
        <f t="shared" si="95"/>
        <v>0</v>
      </c>
      <c r="CR312" s="560">
        <f t="shared" si="95"/>
        <v>0</v>
      </c>
      <c r="CS312" s="560">
        <f t="shared" si="95"/>
        <v>0</v>
      </c>
      <c r="CT312" s="560">
        <f t="shared" si="95"/>
        <v>0</v>
      </c>
      <c r="CU312" s="560">
        <f t="shared" si="95"/>
        <v>0</v>
      </c>
      <c r="CV312" s="560">
        <f t="shared" si="95"/>
        <v>0</v>
      </c>
      <c r="CW312" s="560">
        <f t="shared" si="95"/>
        <v>0</v>
      </c>
      <c r="CX312" s="560">
        <f t="shared" si="95"/>
        <v>0</v>
      </c>
      <c r="CY312" s="560">
        <f t="shared" si="95"/>
        <v>0</v>
      </c>
      <c r="CZ312" s="560">
        <f t="shared" si="95"/>
        <v>0</v>
      </c>
    </row>
    <row r="313" spans="1:104" x14ac:dyDescent="0.3">
      <c r="A313" s="559">
        <v>48</v>
      </c>
      <c r="B313" s="180"/>
      <c r="C313" s="180">
        <v>17</v>
      </c>
      <c r="D313" s="560">
        <f t="shared" ref="D313:AI313" si="96">D17</f>
        <v>0</v>
      </c>
      <c r="E313" s="560">
        <f t="shared" si="96"/>
        <v>0</v>
      </c>
      <c r="F313" s="560">
        <f t="shared" si="96"/>
        <v>0</v>
      </c>
      <c r="G313" s="560">
        <f t="shared" si="96"/>
        <v>0</v>
      </c>
      <c r="H313" s="560">
        <f t="shared" si="96"/>
        <v>0</v>
      </c>
      <c r="I313" s="560">
        <f t="shared" si="96"/>
        <v>0</v>
      </c>
      <c r="J313" s="560">
        <f t="shared" si="96"/>
        <v>0</v>
      </c>
      <c r="K313" s="560">
        <f t="shared" si="96"/>
        <v>0</v>
      </c>
      <c r="L313" s="560">
        <f t="shared" si="96"/>
        <v>0</v>
      </c>
      <c r="M313" s="560">
        <f t="shared" si="96"/>
        <v>0</v>
      </c>
      <c r="N313" s="560">
        <f t="shared" si="96"/>
        <v>0</v>
      </c>
      <c r="O313" s="560">
        <f t="shared" si="96"/>
        <v>0</v>
      </c>
      <c r="P313" s="560">
        <f t="shared" si="96"/>
        <v>0</v>
      </c>
      <c r="Q313" s="560">
        <f t="shared" si="96"/>
        <v>7121139</v>
      </c>
      <c r="R313" s="560">
        <f t="shared" si="96"/>
        <v>0</v>
      </c>
      <c r="S313" s="560">
        <f t="shared" si="96"/>
        <v>0</v>
      </c>
      <c r="T313" s="560">
        <f t="shared" si="96"/>
        <v>0</v>
      </c>
      <c r="U313" s="560">
        <f t="shared" si="96"/>
        <v>0</v>
      </c>
      <c r="V313" s="560">
        <f t="shared" si="96"/>
        <v>2759675</v>
      </c>
      <c r="W313" s="560">
        <f t="shared" si="96"/>
        <v>0</v>
      </c>
      <c r="X313" s="560">
        <f t="shared" si="96"/>
        <v>0</v>
      </c>
      <c r="Y313" s="560">
        <f t="shared" si="96"/>
        <v>0</v>
      </c>
      <c r="Z313" s="560">
        <f t="shared" si="96"/>
        <v>0</v>
      </c>
      <c r="AA313" s="560">
        <f t="shared" si="96"/>
        <v>0</v>
      </c>
      <c r="AB313" s="560">
        <f t="shared" si="96"/>
        <v>0</v>
      </c>
      <c r="AC313" s="560">
        <f t="shared" si="96"/>
        <v>0</v>
      </c>
      <c r="AD313" s="560">
        <f t="shared" si="96"/>
        <v>0</v>
      </c>
      <c r="AE313" s="560">
        <f t="shared" si="96"/>
        <v>0</v>
      </c>
      <c r="AF313" s="560">
        <f t="shared" si="96"/>
        <v>0</v>
      </c>
      <c r="AG313" s="560">
        <f t="shared" si="96"/>
        <v>0</v>
      </c>
      <c r="AH313" s="560">
        <f t="shared" si="96"/>
        <v>0</v>
      </c>
      <c r="AI313" s="560">
        <f t="shared" si="96"/>
        <v>8194430</v>
      </c>
      <c r="AJ313" s="560">
        <f t="shared" ref="AJ313:BO313" si="97">AJ17</f>
        <v>0</v>
      </c>
      <c r="AK313" s="560">
        <f t="shared" si="97"/>
        <v>0</v>
      </c>
      <c r="AL313" s="560">
        <f t="shared" si="97"/>
        <v>0</v>
      </c>
      <c r="AM313" s="560">
        <f t="shared" si="97"/>
        <v>1881833</v>
      </c>
      <c r="AN313" s="560">
        <f t="shared" si="97"/>
        <v>0</v>
      </c>
      <c r="AO313" s="560">
        <f t="shared" si="97"/>
        <v>0</v>
      </c>
      <c r="AP313" s="560">
        <f t="shared" si="97"/>
        <v>0</v>
      </c>
      <c r="AQ313" s="560">
        <f t="shared" si="97"/>
        <v>0</v>
      </c>
      <c r="AR313" s="560">
        <f t="shared" si="97"/>
        <v>0</v>
      </c>
      <c r="AS313" s="560">
        <f t="shared" si="97"/>
        <v>0</v>
      </c>
      <c r="AT313" s="560">
        <f t="shared" si="97"/>
        <v>0</v>
      </c>
      <c r="AU313" s="560">
        <f t="shared" si="97"/>
        <v>63148</v>
      </c>
      <c r="AV313" s="560">
        <f t="shared" si="97"/>
        <v>0</v>
      </c>
      <c r="AW313" s="560">
        <f t="shared" si="97"/>
        <v>0</v>
      </c>
      <c r="AX313" s="560">
        <f t="shared" si="97"/>
        <v>0</v>
      </c>
      <c r="AY313" s="560">
        <f t="shared" si="97"/>
        <v>0</v>
      </c>
      <c r="AZ313" s="560">
        <f t="shared" si="97"/>
        <v>0</v>
      </c>
      <c r="BA313" s="560">
        <f t="shared" si="97"/>
        <v>0</v>
      </c>
      <c r="BB313" s="560">
        <f t="shared" si="97"/>
        <v>0</v>
      </c>
      <c r="BC313" s="560">
        <f t="shared" si="97"/>
        <v>0</v>
      </c>
      <c r="BD313" s="560">
        <f t="shared" si="97"/>
        <v>0</v>
      </c>
      <c r="BE313" s="560">
        <f t="shared" si="97"/>
        <v>0</v>
      </c>
      <c r="BF313" s="560">
        <f t="shared" si="97"/>
        <v>0</v>
      </c>
      <c r="BG313" s="560">
        <f t="shared" si="97"/>
        <v>0</v>
      </c>
      <c r="BH313" s="560">
        <f t="shared" si="97"/>
        <v>0</v>
      </c>
      <c r="BI313" s="560">
        <f t="shared" si="97"/>
        <v>0</v>
      </c>
      <c r="BJ313" s="560">
        <f t="shared" si="97"/>
        <v>0</v>
      </c>
      <c r="BK313" s="560">
        <f t="shared" si="97"/>
        <v>0</v>
      </c>
      <c r="BL313" s="560">
        <f t="shared" si="97"/>
        <v>0</v>
      </c>
      <c r="BM313" s="560">
        <f t="shared" si="97"/>
        <v>0</v>
      </c>
      <c r="BN313" s="560">
        <f t="shared" si="97"/>
        <v>0</v>
      </c>
      <c r="BO313" s="560">
        <f t="shared" si="97"/>
        <v>0</v>
      </c>
      <c r="BP313" s="560">
        <f t="shared" ref="BP313:CZ313" si="98">BP17</f>
        <v>0</v>
      </c>
      <c r="BQ313" s="560">
        <f t="shared" si="98"/>
        <v>0</v>
      </c>
      <c r="BR313" s="560">
        <f t="shared" si="98"/>
        <v>320784</v>
      </c>
      <c r="BS313" s="560">
        <f t="shared" si="98"/>
        <v>1106466</v>
      </c>
      <c r="BT313" s="560">
        <f t="shared" si="98"/>
        <v>0</v>
      </c>
      <c r="BU313" s="560">
        <f t="shared" si="98"/>
        <v>0</v>
      </c>
      <c r="BV313" s="560">
        <f t="shared" si="98"/>
        <v>0</v>
      </c>
      <c r="BW313" s="560">
        <f t="shared" si="98"/>
        <v>0</v>
      </c>
      <c r="BX313" s="560">
        <f t="shared" si="98"/>
        <v>0</v>
      </c>
      <c r="BY313" s="560">
        <f t="shared" si="98"/>
        <v>0</v>
      </c>
      <c r="BZ313" s="560">
        <f t="shared" si="98"/>
        <v>0</v>
      </c>
      <c r="CA313" s="560">
        <f t="shared" si="98"/>
        <v>0</v>
      </c>
      <c r="CB313" s="560">
        <f t="shared" si="98"/>
        <v>0</v>
      </c>
      <c r="CC313" s="560">
        <f t="shared" si="98"/>
        <v>0</v>
      </c>
      <c r="CD313" s="560">
        <f t="shared" si="98"/>
        <v>0</v>
      </c>
      <c r="CE313" s="560">
        <f t="shared" si="98"/>
        <v>0</v>
      </c>
      <c r="CF313" s="560">
        <f t="shared" si="98"/>
        <v>0</v>
      </c>
      <c r="CG313" s="560">
        <f t="shared" si="98"/>
        <v>0</v>
      </c>
      <c r="CH313" s="560">
        <f t="shared" si="98"/>
        <v>0</v>
      </c>
      <c r="CI313" s="560">
        <f t="shared" si="98"/>
        <v>0</v>
      </c>
      <c r="CJ313" s="560">
        <f t="shared" si="98"/>
        <v>0</v>
      </c>
      <c r="CK313" s="560">
        <f t="shared" si="98"/>
        <v>0</v>
      </c>
      <c r="CL313" s="560">
        <f t="shared" si="98"/>
        <v>0</v>
      </c>
      <c r="CM313" s="560">
        <f t="shared" si="98"/>
        <v>0</v>
      </c>
      <c r="CN313" s="560">
        <f t="shared" si="98"/>
        <v>0</v>
      </c>
      <c r="CO313" s="560">
        <f t="shared" si="98"/>
        <v>0</v>
      </c>
      <c r="CP313" s="560">
        <f t="shared" si="98"/>
        <v>0</v>
      </c>
      <c r="CQ313" s="560">
        <f t="shared" si="98"/>
        <v>0</v>
      </c>
      <c r="CR313" s="560">
        <f t="shared" si="98"/>
        <v>0</v>
      </c>
      <c r="CS313" s="560">
        <f t="shared" si="98"/>
        <v>0</v>
      </c>
      <c r="CT313" s="560">
        <f t="shared" si="98"/>
        <v>0</v>
      </c>
      <c r="CU313" s="560">
        <f t="shared" si="98"/>
        <v>0</v>
      </c>
      <c r="CV313" s="560">
        <f t="shared" si="98"/>
        <v>0</v>
      </c>
      <c r="CW313" s="560">
        <f t="shared" si="98"/>
        <v>0</v>
      </c>
      <c r="CX313" s="560">
        <f t="shared" si="98"/>
        <v>0</v>
      </c>
      <c r="CY313" s="560">
        <f t="shared" si="98"/>
        <v>0</v>
      </c>
      <c r="CZ313" s="560">
        <f t="shared" si="98"/>
        <v>0</v>
      </c>
    </row>
    <row r="314" spans="1:104" x14ac:dyDescent="0.3">
      <c r="A314" s="563">
        <v>385</v>
      </c>
      <c r="B314" s="180"/>
      <c r="C314" s="180">
        <v>95</v>
      </c>
      <c r="D314" s="564">
        <f t="shared" ref="D314:AI314" si="99">D95</f>
        <v>0</v>
      </c>
      <c r="E314" s="564">
        <f t="shared" si="99"/>
        <v>423150</v>
      </c>
      <c r="F314" s="564">
        <f t="shared" si="99"/>
        <v>2484651</v>
      </c>
      <c r="G314" s="564">
        <f t="shared" si="99"/>
        <v>13901532</v>
      </c>
      <c r="H314" s="564">
        <f t="shared" si="99"/>
        <v>11247950</v>
      </c>
      <c r="I314" s="564">
        <f t="shared" si="99"/>
        <v>13620709</v>
      </c>
      <c r="J314" s="564">
        <f t="shared" si="99"/>
        <v>189054</v>
      </c>
      <c r="K314" s="564">
        <f t="shared" si="99"/>
        <v>2946102</v>
      </c>
      <c r="L314" s="564">
        <f t="shared" si="99"/>
        <v>1504900</v>
      </c>
      <c r="M314" s="564">
        <f t="shared" si="99"/>
        <v>98163699</v>
      </c>
      <c r="N314" s="564">
        <f t="shared" si="99"/>
        <v>1473564</v>
      </c>
      <c r="O314" s="564">
        <f t="shared" si="99"/>
        <v>17061463</v>
      </c>
      <c r="P314" s="564">
        <f t="shared" si="99"/>
        <v>532254</v>
      </c>
      <c r="Q314" s="564">
        <f t="shared" si="99"/>
        <v>187602170</v>
      </c>
      <c r="R314" s="564">
        <f t="shared" si="99"/>
        <v>7920067</v>
      </c>
      <c r="S314" s="564">
        <f t="shared" si="99"/>
        <v>314737</v>
      </c>
      <c r="T314" s="564">
        <f t="shared" si="99"/>
        <v>314826199</v>
      </c>
      <c r="U314" s="564">
        <f t="shared" si="99"/>
        <v>77535764</v>
      </c>
      <c r="V314" s="564">
        <f t="shared" si="99"/>
        <v>81477689</v>
      </c>
      <c r="W314" s="564">
        <f t="shared" si="99"/>
        <v>256433643</v>
      </c>
      <c r="X314" s="564">
        <f t="shared" si="99"/>
        <v>0</v>
      </c>
      <c r="Y314" s="564">
        <f t="shared" si="99"/>
        <v>49999038</v>
      </c>
      <c r="Z314" s="564">
        <f t="shared" si="99"/>
        <v>3810096</v>
      </c>
      <c r="AA314" s="564">
        <f t="shared" si="99"/>
        <v>58479028</v>
      </c>
      <c r="AB314" s="564">
        <f t="shared" si="99"/>
        <v>8876033</v>
      </c>
      <c r="AC314" s="564">
        <f t="shared" si="99"/>
        <v>7054043</v>
      </c>
      <c r="AD314" s="564">
        <f t="shared" si="99"/>
        <v>3827311</v>
      </c>
      <c r="AE314" s="564">
        <f t="shared" si="99"/>
        <v>8624127</v>
      </c>
      <c r="AF314" s="564">
        <f t="shared" si="99"/>
        <v>74116505</v>
      </c>
      <c r="AG314" s="564">
        <f t="shared" si="99"/>
        <v>15842965</v>
      </c>
      <c r="AH314" s="564">
        <f t="shared" si="99"/>
        <v>4453081</v>
      </c>
      <c r="AI314" s="564">
        <f t="shared" si="99"/>
        <v>125103532</v>
      </c>
      <c r="AJ314" s="564">
        <f t="shared" ref="AJ314:BO314" si="100">AJ95</f>
        <v>8719869</v>
      </c>
      <c r="AK314" s="564">
        <f t="shared" si="100"/>
        <v>0</v>
      </c>
      <c r="AL314" s="564">
        <f t="shared" si="100"/>
        <v>0</v>
      </c>
      <c r="AM314" s="564">
        <f t="shared" si="100"/>
        <v>42130408</v>
      </c>
      <c r="AN314" s="564">
        <f t="shared" si="100"/>
        <v>1267705</v>
      </c>
      <c r="AO314" s="564">
        <f t="shared" si="100"/>
        <v>1478121</v>
      </c>
      <c r="AP314" s="564">
        <f t="shared" si="100"/>
        <v>186342</v>
      </c>
      <c r="AQ314" s="564">
        <f t="shared" si="100"/>
        <v>44815885</v>
      </c>
      <c r="AR314" s="564">
        <f t="shared" si="100"/>
        <v>95885615</v>
      </c>
      <c r="AS314" s="564">
        <f t="shared" si="100"/>
        <v>0</v>
      </c>
      <c r="AT314" s="564">
        <f t="shared" si="100"/>
        <v>6126143</v>
      </c>
      <c r="AU314" s="564">
        <f t="shared" si="100"/>
        <v>597115</v>
      </c>
      <c r="AV314" s="564">
        <f t="shared" si="100"/>
        <v>64197882</v>
      </c>
      <c r="AW314" s="564">
        <f t="shared" si="100"/>
        <v>13385298</v>
      </c>
      <c r="AX314" s="564">
        <f t="shared" si="100"/>
        <v>5113796</v>
      </c>
      <c r="AY314" s="564">
        <f t="shared" si="100"/>
        <v>33307914</v>
      </c>
      <c r="AZ314" s="564">
        <f t="shared" si="100"/>
        <v>4856557</v>
      </c>
      <c r="BA314" s="564">
        <f t="shared" si="100"/>
        <v>4400032</v>
      </c>
      <c r="BB314" s="564">
        <f t="shared" si="100"/>
        <v>175737</v>
      </c>
      <c r="BC314" s="564">
        <f t="shared" si="100"/>
        <v>1033771</v>
      </c>
      <c r="BD314" s="564">
        <f t="shared" si="100"/>
        <v>21344305</v>
      </c>
      <c r="BE314" s="564">
        <f t="shared" si="100"/>
        <v>824997</v>
      </c>
      <c r="BF314" s="564">
        <f t="shared" si="100"/>
        <v>1144438</v>
      </c>
      <c r="BG314" s="564">
        <f t="shared" si="100"/>
        <v>502024</v>
      </c>
      <c r="BH314" s="564">
        <f t="shared" si="100"/>
        <v>455879</v>
      </c>
      <c r="BI314" s="564">
        <f t="shared" si="100"/>
        <v>869867</v>
      </c>
      <c r="BJ314" s="564">
        <f t="shared" si="100"/>
        <v>794640</v>
      </c>
      <c r="BK314" s="564">
        <f t="shared" si="100"/>
        <v>11828317</v>
      </c>
      <c r="BL314" s="564">
        <f t="shared" si="100"/>
        <v>0</v>
      </c>
      <c r="BM314" s="564">
        <f t="shared" si="100"/>
        <v>4073347</v>
      </c>
      <c r="BN314" s="564">
        <f t="shared" si="100"/>
        <v>16698718</v>
      </c>
      <c r="BO314" s="564">
        <f t="shared" si="100"/>
        <v>3321380</v>
      </c>
      <c r="BP314" s="564">
        <f t="shared" ref="BP314:CZ314" si="101">BP95</f>
        <v>5693385</v>
      </c>
      <c r="BQ314" s="564">
        <f t="shared" si="101"/>
        <v>52162411</v>
      </c>
      <c r="BR314" s="564">
        <f t="shared" si="101"/>
        <v>1949837</v>
      </c>
      <c r="BS314" s="564">
        <f t="shared" si="101"/>
        <v>86590869</v>
      </c>
      <c r="BT314" s="564">
        <f t="shared" si="101"/>
        <v>2240942</v>
      </c>
      <c r="BU314" s="564">
        <f t="shared" si="101"/>
        <v>14929504</v>
      </c>
      <c r="BV314" s="564">
        <f t="shared" si="101"/>
        <v>6442240</v>
      </c>
      <c r="BW314" s="564">
        <f t="shared" si="101"/>
        <v>5758780</v>
      </c>
      <c r="BX314" s="564">
        <f t="shared" si="101"/>
        <v>3390403</v>
      </c>
      <c r="BY314" s="564">
        <f t="shared" si="101"/>
        <v>723583</v>
      </c>
      <c r="BZ314" s="564">
        <f t="shared" si="101"/>
        <v>2738092</v>
      </c>
      <c r="CA314" s="564">
        <f t="shared" si="101"/>
        <v>299039</v>
      </c>
      <c r="CB314" s="564">
        <f t="shared" si="101"/>
        <v>4061675</v>
      </c>
      <c r="CC314" s="564">
        <f t="shared" si="101"/>
        <v>0</v>
      </c>
      <c r="CD314" s="564">
        <f t="shared" si="101"/>
        <v>497810</v>
      </c>
      <c r="CE314" s="564">
        <f t="shared" si="101"/>
        <v>0</v>
      </c>
      <c r="CF314" s="564">
        <f t="shared" si="101"/>
        <v>0</v>
      </c>
      <c r="CG314" s="564">
        <f t="shared" si="101"/>
        <v>0</v>
      </c>
      <c r="CH314" s="564">
        <f t="shared" si="101"/>
        <v>0</v>
      </c>
      <c r="CI314" s="564">
        <f t="shared" si="101"/>
        <v>0</v>
      </c>
      <c r="CJ314" s="564">
        <f t="shared" si="101"/>
        <v>0</v>
      </c>
      <c r="CK314" s="564">
        <f t="shared" si="101"/>
        <v>0</v>
      </c>
      <c r="CL314" s="564">
        <f t="shared" si="101"/>
        <v>0</v>
      </c>
      <c r="CM314" s="564">
        <f t="shared" si="101"/>
        <v>0</v>
      </c>
      <c r="CN314" s="564">
        <f t="shared" si="101"/>
        <v>0</v>
      </c>
      <c r="CO314" s="564">
        <f t="shared" si="101"/>
        <v>0</v>
      </c>
      <c r="CP314" s="564">
        <f t="shared" si="101"/>
        <v>0</v>
      </c>
      <c r="CQ314" s="564">
        <f t="shared" si="101"/>
        <v>0</v>
      </c>
      <c r="CR314" s="564">
        <f t="shared" si="101"/>
        <v>0</v>
      </c>
      <c r="CS314" s="564">
        <f t="shared" si="101"/>
        <v>0</v>
      </c>
      <c r="CT314" s="564">
        <f t="shared" si="101"/>
        <v>0</v>
      </c>
      <c r="CU314" s="564">
        <f t="shared" si="101"/>
        <v>0</v>
      </c>
      <c r="CV314" s="564">
        <f t="shared" si="101"/>
        <v>0</v>
      </c>
      <c r="CW314" s="564">
        <f t="shared" si="101"/>
        <v>0</v>
      </c>
      <c r="CX314" s="564">
        <f t="shared" si="101"/>
        <v>0</v>
      </c>
      <c r="CY314" s="564">
        <f t="shared" si="101"/>
        <v>0</v>
      </c>
      <c r="CZ314" s="564">
        <f t="shared" si="101"/>
        <v>0</v>
      </c>
    </row>
    <row r="315" spans="1:104" x14ac:dyDescent="0.3">
      <c r="A315" s="563">
        <v>626</v>
      </c>
      <c r="B315" s="180"/>
      <c r="C315" s="180">
        <v>170</v>
      </c>
      <c r="D315" s="564">
        <f t="shared" ref="D315:AI315" si="102">D170</f>
        <v>0</v>
      </c>
      <c r="E315" s="564">
        <f t="shared" si="102"/>
        <v>22201</v>
      </c>
      <c r="F315" s="564">
        <f t="shared" si="102"/>
        <v>127026</v>
      </c>
      <c r="G315" s="564">
        <f t="shared" si="102"/>
        <v>311223</v>
      </c>
      <c r="H315" s="564">
        <f t="shared" si="102"/>
        <v>42059</v>
      </c>
      <c r="I315" s="564">
        <f t="shared" si="102"/>
        <v>508684</v>
      </c>
      <c r="J315" s="564">
        <f t="shared" si="102"/>
        <v>377</v>
      </c>
      <c r="K315" s="564">
        <f t="shared" si="102"/>
        <v>146585</v>
      </c>
      <c r="L315" s="564">
        <f t="shared" si="102"/>
        <v>38980</v>
      </c>
      <c r="M315" s="564">
        <f t="shared" si="102"/>
        <v>5651503</v>
      </c>
      <c r="N315" s="564">
        <f t="shared" si="102"/>
        <v>38031</v>
      </c>
      <c r="O315" s="564">
        <f t="shared" si="102"/>
        <v>270026</v>
      </c>
      <c r="P315" s="564">
        <f t="shared" si="102"/>
        <v>1140</v>
      </c>
      <c r="Q315" s="564">
        <f t="shared" si="102"/>
        <v>10600936</v>
      </c>
      <c r="R315" s="564">
        <f t="shared" si="102"/>
        <v>102761</v>
      </c>
      <c r="S315" s="564">
        <f t="shared" si="102"/>
        <v>17577</v>
      </c>
      <c r="T315" s="564">
        <f t="shared" si="102"/>
        <v>24848395</v>
      </c>
      <c r="U315" s="564">
        <f t="shared" si="102"/>
        <v>3995602</v>
      </c>
      <c r="V315" s="564">
        <f t="shared" si="102"/>
        <v>5503762</v>
      </c>
      <c r="W315" s="564">
        <f t="shared" si="102"/>
        <v>13876299</v>
      </c>
      <c r="X315" s="564">
        <f t="shared" si="102"/>
        <v>0</v>
      </c>
      <c r="Y315" s="564">
        <f t="shared" si="102"/>
        <v>3993158</v>
      </c>
      <c r="Z315" s="564">
        <f t="shared" si="102"/>
        <v>261106</v>
      </c>
      <c r="AA315" s="564">
        <f t="shared" si="102"/>
        <v>4253189</v>
      </c>
      <c r="AB315" s="564">
        <f t="shared" si="102"/>
        <v>354527</v>
      </c>
      <c r="AC315" s="564">
        <f t="shared" si="102"/>
        <v>135801</v>
      </c>
      <c r="AD315" s="564">
        <f t="shared" si="102"/>
        <v>107741</v>
      </c>
      <c r="AE315" s="564">
        <f t="shared" si="102"/>
        <v>250988</v>
      </c>
      <c r="AF315" s="564">
        <f t="shared" si="102"/>
        <v>6489831</v>
      </c>
      <c r="AG315" s="564">
        <f t="shared" si="102"/>
        <v>525008</v>
      </c>
      <c r="AH315" s="564">
        <f t="shared" si="102"/>
        <v>32041</v>
      </c>
      <c r="AI315" s="564">
        <f t="shared" si="102"/>
        <v>13940533</v>
      </c>
      <c r="AJ315" s="564">
        <f t="shared" ref="AJ315:BO315" si="103">AJ170</f>
        <v>10579</v>
      </c>
      <c r="AK315" s="564">
        <f t="shared" si="103"/>
        <v>0</v>
      </c>
      <c r="AL315" s="564">
        <f t="shared" si="103"/>
        <v>0</v>
      </c>
      <c r="AM315" s="564">
        <f t="shared" si="103"/>
        <v>4791187</v>
      </c>
      <c r="AN315" s="564">
        <f t="shared" si="103"/>
        <v>72456</v>
      </c>
      <c r="AO315" s="564">
        <f t="shared" si="103"/>
        <v>30964</v>
      </c>
      <c r="AP315" s="564">
        <f t="shared" si="103"/>
        <v>0</v>
      </c>
      <c r="AQ315" s="564">
        <f t="shared" si="103"/>
        <v>2376576</v>
      </c>
      <c r="AR315" s="564">
        <f t="shared" si="103"/>
        <v>231135</v>
      </c>
      <c r="AS315" s="564">
        <f t="shared" si="103"/>
        <v>0</v>
      </c>
      <c r="AT315" s="564">
        <f t="shared" si="103"/>
        <v>598773</v>
      </c>
      <c r="AU315" s="564">
        <f t="shared" si="103"/>
        <v>81258</v>
      </c>
      <c r="AV315" s="564">
        <f t="shared" si="103"/>
        <v>460713</v>
      </c>
      <c r="AW315" s="564">
        <f t="shared" si="103"/>
        <v>1168152</v>
      </c>
      <c r="AX315" s="564">
        <f t="shared" si="103"/>
        <v>67734</v>
      </c>
      <c r="AY315" s="564">
        <f t="shared" si="103"/>
        <v>1657971</v>
      </c>
      <c r="AZ315" s="564">
        <f t="shared" si="103"/>
        <v>25965</v>
      </c>
      <c r="BA315" s="564">
        <f t="shared" si="103"/>
        <v>44408</v>
      </c>
      <c r="BB315" s="564">
        <f t="shared" si="103"/>
        <v>0</v>
      </c>
      <c r="BC315" s="564">
        <f t="shared" si="103"/>
        <v>14059</v>
      </c>
      <c r="BD315" s="564">
        <f t="shared" si="103"/>
        <v>678173</v>
      </c>
      <c r="BE315" s="564">
        <f t="shared" si="103"/>
        <v>30798</v>
      </c>
      <c r="BF315" s="564">
        <f t="shared" si="103"/>
        <v>13125</v>
      </c>
      <c r="BG315" s="564">
        <f t="shared" si="103"/>
        <v>13182</v>
      </c>
      <c r="BH315" s="564">
        <f t="shared" si="103"/>
        <v>36116</v>
      </c>
      <c r="BI315" s="564">
        <f t="shared" si="103"/>
        <v>60771</v>
      </c>
      <c r="BJ315" s="564">
        <f t="shared" si="103"/>
        <v>51967</v>
      </c>
      <c r="BK315" s="564">
        <f t="shared" si="103"/>
        <v>1175221</v>
      </c>
      <c r="BL315" s="564">
        <f t="shared" si="103"/>
        <v>0</v>
      </c>
      <c r="BM315" s="564">
        <f t="shared" si="103"/>
        <v>135946</v>
      </c>
      <c r="BN315" s="564">
        <f t="shared" si="103"/>
        <v>508643</v>
      </c>
      <c r="BO315" s="564">
        <f t="shared" si="103"/>
        <v>70887</v>
      </c>
      <c r="BP315" s="564">
        <f t="shared" ref="BP315:CZ315" si="104">BP170</f>
        <v>31187</v>
      </c>
      <c r="BQ315" s="564">
        <f t="shared" si="104"/>
        <v>5163370</v>
      </c>
      <c r="BR315" s="564">
        <f t="shared" si="104"/>
        <v>94181</v>
      </c>
      <c r="BS315" s="564">
        <f t="shared" si="104"/>
        <v>4703116</v>
      </c>
      <c r="BT315" s="564">
        <f t="shared" si="104"/>
        <v>98390</v>
      </c>
      <c r="BU315" s="564">
        <f t="shared" si="104"/>
        <v>555102</v>
      </c>
      <c r="BV315" s="564">
        <f t="shared" si="104"/>
        <v>675171</v>
      </c>
      <c r="BW315" s="564">
        <f t="shared" si="104"/>
        <v>211258</v>
      </c>
      <c r="BX315" s="564">
        <f t="shared" si="104"/>
        <v>453163</v>
      </c>
      <c r="BY315" s="564">
        <f t="shared" si="104"/>
        <v>39698</v>
      </c>
      <c r="BZ315" s="564">
        <f t="shared" si="104"/>
        <v>1250334</v>
      </c>
      <c r="CA315" s="564">
        <f t="shared" si="104"/>
        <v>49890</v>
      </c>
      <c r="CB315" s="564">
        <f t="shared" si="104"/>
        <v>506306</v>
      </c>
      <c r="CC315" s="564">
        <f t="shared" si="104"/>
        <v>0</v>
      </c>
      <c r="CD315" s="564">
        <f t="shared" si="104"/>
        <v>24574</v>
      </c>
      <c r="CE315" s="564">
        <f t="shared" si="104"/>
        <v>0</v>
      </c>
      <c r="CF315" s="564">
        <f t="shared" si="104"/>
        <v>0</v>
      </c>
      <c r="CG315" s="564">
        <f t="shared" si="104"/>
        <v>0</v>
      </c>
      <c r="CH315" s="564">
        <f t="shared" si="104"/>
        <v>0</v>
      </c>
      <c r="CI315" s="564">
        <f t="shared" si="104"/>
        <v>0</v>
      </c>
      <c r="CJ315" s="564">
        <f t="shared" si="104"/>
        <v>0</v>
      </c>
      <c r="CK315" s="564">
        <f t="shared" si="104"/>
        <v>0</v>
      </c>
      <c r="CL315" s="564">
        <f t="shared" si="104"/>
        <v>0</v>
      </c>
      <c r="CM315" s="564">
        <f t="shared" si="104"/>
        <v>0</v>
      </c>
      <c r="CN315" s="564">
        <f t="shared" si="104"/>
        <v>0</v>
      </c>
      <c r="CO315" s="564">
        <f t="shared" si="104"/>
        <v>0</v>
      </c>
      <c r="CP315" s="564">
        <f t="shared" si="104"/>
        <v>0</v>
      </c>
      <c r="CQ315" s="564">
        <f t="shared" si="104"/>
        <v>0</v>
      </c>
      <c r="CR315" s="564">
        <f t="shared" si="104"/>
        <v>0</v>
      </c>
      <c r="CS315" s="564">
        <f t="shared" si="104"/>
        <v>0</v>
      </c>
      <c r="CT315" s="564">
        <f t="shared" si="104"/>
        <v>0</v>
      </c>
      <c r="CU315" s="564">
        <f t="shared" si="104"/>
        <v>0</v>
      </c>
      <c r="CV315" s="564">
        <f t="shared" si="104"/>
        <v>0</v>
      </c>
      <c r="CW315" s="564">
        <f t="shared" si="104"/>
        <v>0</v>
      </c>
      <c r="CX315" s="564">
        <f t="shared" si="104"/>
        <v>0</v>
      </c>
      <c r="CY315" s="564">
        <f t="shared" si="104"/>
        <v>0</v>
      </c>
      <c r="CZ315" s="564">
        <f t="shared" si="104"/>
        <v>0</v>
      </c>
    </row>
    <row r="316" spans="1:104" x14ac:dyDescent="0.3">
      <c r="A316" s="563">
        <v>338</v>
      </c>
      <c r="B316" s="180"/>
      <c r="C316" s="180">
        <v>60</v>
      </c>
      <c r="D316" s="569">
        <f t="shared" ref="D316:AI316" si="105">D60</f>
        <v>0</v>
      </c>
      <c r="E316" s="569">
        <f t="shared" si="105"/>
        <v>55364</v>
      </c>
      <c r="F316" s="569">
        <f t="shared" si="105"/>
        <v>427538</v>
      </c>
      <c r="G316" s="569">
        <f t="shared" si="105"/>
        <v>1029235</v>
      </c>
      <c r="H316" s="569">
        <f t="shared" si="105"/>
        <v>843731</v>
      </c>
      <c r="I316" s="569">
        <f t="shared" si="105"/>
        <v>724853</v>
      </c>
      <c r="J316" s="569">
        <f t="shared" si="105"/>
        <v>23801</v>
      </c>
      <c r="K316" s="569">
        <f t="shared" si="105"/>
        <v>175638</v>
      </c>
      <c r="L316" s="569">
        <f t="shared" si="105"/>
        <v>38980</v>
      </c>
      <c r="M316" s="569">
        <f t="shared" si="105"/>
        <v>17833660</v>
      </c>
      <c r="N316" s="569">
        <f t="shared" si="105"/>
        <v>302389</v>
      </c>
      <c r="O316" s="569">
        <f t="shared" si="105"/>
        <v>3995637</v>
      </c>
      <c r="P316" s="569">
        <f t="shared" si="105"/>
        <v>19920</v>
      </c>
      <c r="Q316" s="569">
        <f t="shared" si="105"/>
        <v>94308410</v>
      </c>
      <c r="R316" s="569">
        <f t="shared" si="105"/>
        <v>1477083</v>
      </c>
      <c r="S316" s="569">
        <f t="shared" si="105"/>
        <v>17577</v>
      </c>
      <c r="T316" s="569">
        <f t="shared" si="105"/>
        <v>178688896</v>
      </c>
      <c r="U316" s="569">
        <f t="shared" si="105"/>
        <v>27225830</v>
      </c>
      <c r="V316" s="569">
        <f t="shared" si="105"/>
        <v>36918997</v>
      </c>
      <c r="W316" s="569">
        <f t="shared" si="105"/>
        <v>73894523</v>
      </c>
      <c r="X316" s="569">
        <f t="shared" si="105"/>
        <v>0</v>
      </c>
      <c r="Y316" s="569">
        <f t="shared" si="105"/>
        <v>9940277</v>
      </c>
      <c r="Z316" s="569">
        <f t="shared" si="105"/>
        <v>656319</v>
      </c>
      <c r="AA316" s="569">
        <f t="shared" si="105"/>
        <v>21707965</v>
      </c>
      <c r="AB316" s="569">
        <f t="shared" si="105"/>
        <v>2901505</v>
      </c>
      <c r="AC316" s="569">
        <f t="shared" si="105"/>
        <v>812308</v>
      </c>
      <c r="AD316" s="569">
        <f t="shared" si="105"/>
        <v>838037</v>
      </c>
      <c r="AE316" s="569">
        <f t="shared" si="105"/>
        <v>2915154</v>
      </c>
      <c r="AF316" s="569">
        <f t="shared" si="105"/>
        <v>25023081</v>
      </c>
      <c r="AG316" s="569">
        <f t="shared" si="105"/>
        <v>3414585</v>
      </c>
      <c r="AH316" s="569">
        <f t="shared" si="105"/>
        <v>346984</v>
      </c>
      <c r="AI316" s="569">
        <f t="shared" si="105"/>
        <v>86668326</v>
      </c>
      <c r="AJ316" s="569">
        <f t="shared" ref="AJ316:BO316" si="106">AJ60</f>
        <v>41866</v>
      </c>
      <c r="AK316" s="569">
        <f t="shared" si="106"/>
        <v>0</v>
      </c>
      <c r="AL316" s="569">
        <f t="shared" si="106"/>
        <v>0</v>
      </c>
      <c r="AM316" s="569">
        <f t="shared" si="106"/>
        <v>18434888</v>
      </c>
      <c r="AN316" s="569">
        <f t="shared" si="106"/>
        <v>339466</v>
      </c>
      <c r="AO316" s="569">
        <f t="shared" si="106"/>
        <v>349793</v>
      </c>
      <c r="AP316" s="569">
        <f t="shared" si="106"/>
        <v>0</v>
      </c>
      <c r="AQ316" s="569">
        <f t="shared" si="106"/>
        <v>15484417</v>
      </c>
      <c r="AR316" s="569">
        <f t="shared" si="106"/>
        <v>49683079</v>
      </c>
      <c r="AS316" s="569">
        <f t="shared" si="106"/>
        <v>0</v>
      </c>
      <c r="AT316" s="569">
        <f t="shared" si="106"/>
        <v>1991622</v>
      </c>
      <c r="AU316" s="569">
        <f t="shared" si="106"/>
        <v>94376</v>
      </c>
      <c r="AV316" s="569">
        <f t="shared" si="106"/>
        <v>21143050</v>
      </c>
      <c r="AW316" s="569">
        <f t="shared" si="106"/>
        <v>2270775</v>
      </c>
      <c r="AX316" s="569">
        <f t="shared" si="106"/>
        <v>609439</v>
      </c>
      <c r="AY316" s="569">
        <f t="shared" si="106"/>
        <v>9931441</v>
      </c>
      <c r="AZ316" s="569">
        <f t="shared" si="106"/>
        <v>275522</v>
      </c>
      <c r="BA316" s="569">
        <f t="shared" si="106"/>
        <v>208842</v>
      </c>
      <c r="BB316" s="569">
        <f t="shared" si="106"/>
        <v>0</v>
      </c>
      <c r="BC316" s="569">
        <f t="shared" si="106"/>
        <v>92040</v>
      </c>
      <c r="BD316" s="569">
        <f t="shared" si="106"/>
        <v>16277635</v>
      </c>
      <c r="BE316" s="569">
        <f t="shared" si="106"/>
        <v>30798</v>
      </c>
      <c r="BF316" s="569">
        <f t="shared" si="106"/>
        <v>120109</v>
      </c>
      <c r="BG316" s="569">
        <f t="shared" si="106"/>
        <v>111207</v>
      </c>
      <c r="BH316" s="569">
        <f t="shared" si="106"/>
        <v>36116</v>
      </c>
      <c r="BI316" s="569">
        <f t="shared" si="106"/>
        <v>88959</v>
      </c>
      <c r="BJ316" s="569">
        <f t="shared" si="106"/>
        <v>51967</v>
      </c>
      <c r="BK316" s="569">
        <f t="shared" si="106"/>
        <v>5809003</v>
      </c>
      <c r="BL316" s="569">
        <f t="shared" si="106"/>
        <v>0</v>
      </c>
      <c r="BM316" s="569">
        <f t="shared" si="106"/>
        <v>887977</v>
      </c>
      <c r="BN316" s="569">
        <f t="shared" si="106"/>
        <v>3247380</v>
      </c>
      <c r="BO316" s="569">
        <f t="shared" si="106"/>
        <v>1585504</v>
      </c>
      <c r="BP316" s="569">
        <f t="shared" ref="BP316:CZ316" si="107">BP60</f>
        <v>1704289</v>
      </c>
      <c r="BQ316" s="569">
        <f t="shared" si="107"/>
        <v>11145906</v>
      </c>
      <c r="BR316" s="569">
        <f t="shared" si="107"/>
        <v>984333</v>
      </c>
      <c r="BS316" s="569">
        <f t="shared" si="107"/>
        <v>33269113</v>
      </c>
      <c r="BT316" s="569">
        <f t="shared" si="107"/>
        <v>417998</v>
      </c>
      <c r="BU316" s="569">
        <f t="shared" si="107"/>
        <v>3880059</v>
      </c>
      <c r="BV316" s="569">
        <f t="shared" si="107"/>
        <v>675171</v>
      </c>
      <c r="BW316" s="569">
        <f t="shared" si="107"/>
        <v>1547402</v>
      </c>
      <c r="BX316" s="569">
        <f t="shared" si="107"/>
        <v>1365313</v>
      </c>
      <c r="BY316" s="569">
        <f t="shared" si="107"/>
        <v>39698</v>
      </c>
      <c r="BZ316" s="569">
        <f t="shared" si="107"/>
        <v>1481922</v>
      </c>
      <c r="CA316" s="569">
        <f t="shared" si="107"/>
        <v>50150</v>
      </c>
      <c r="CB316" s="569">
        <f t="shared" si="107"/>
        <v>1218601</v>
      </c>
      <c r="CC316" s="569">
        <f t="shared" si="107"/>
        <v>0</v>
      </c>
      <c r="CD316" s="569">
        <f t="shared" si="107"/>
        <v>24574</v>
      </c>
      <c r="CE316" s="569">
        <f t="shared" si="107"/>
        <v>0</v>
      </c>
      <c r="CF316" s="569">
        <f t="shared" si="107"/>
        <v>0</v>
      </c>
      <c r="CG316" s="569">
        <f t="shared" si="107"/>
        <v>0</v>
      </c>
      <c r="CH316" s="569">
        <f t="shared" si="107"/>
        <v>0</v>
      </c>
      <c r="CI316" s="569">
        <f t="shared" si="107"/>
        <v>0</v>
      </c>
      <c r="CJ316" s="569">
        <f t="shared" si="107"/>
        <v>0</v>
      </c>
      <c r="CK316" s="569">
        <f t="shared" si="107"/>
        <v>0</v>
      </c>
      <c r="CL316" s="569">
        <f t="shared" si="107"/>
        <v>0</v>
      </c>
      <c r="CM316" s="569">
        <f t="shared" si="107"/>
        <v>0</v>
      </c>
      <c r="CN316" s="569">
        <f t="shared" si="107"/>
        <v>0</v>
      </c>
      <c r="CO316" s="569">
        <f t="shared" si="107"/>
        <v>0</v>
      </c>
      <c r="CP316" s="569">
        <f t="shared" si="107"/>
        <v>0</v>
      </c>
      <c r="CQ316" s="569">
        <f t="shared" si="107"/>
        <v>0</v>
      </c>
      <c r="CR316" s="569">
        <f t="shared" si="107"/>
        <v>0</v>
      </c>
      <c r="CS316" s="569">
        <f t="shared" si="107"/>
        <v>0</v>
      </c>
      <c r="CT316" s="569">
        <f t="shared" si="107"/>
        <v>0</v>
      </c>
      <c r="CU316" s="569">
        <f t="shared" si="107"/>
        <v>0</v>
      </c>
      <c r="CV316" s="569">
        <f t="shared" si="107"/>
        <v>0</v>
      </c>
      <c r="CW316" s="569">
        <f t="shared" si="107"/>
        <v>0</v>
      </c>
      <c r="CX316" s="569">
        <f t="shared" si="107"/>
        <v>0</v>
      </c>
      <c r="CY316" s="569">
        <f t="shared" si="107"/>
        <v>0</v>
      </c>
      <c r="CZ316" s="569">
        <f t="shared" si="107"/>
        <v>0</v>
      </c>
    </row>
    <row r="317" spans="1:104" s="180" customFormat="1" x14ac:dyDescent="0.3">
      <c r="A317" s="567">
        <v>620</v>
      </c>
      <c r="C317" s="180">
        <v>166</v>
      </c>
      <c r="D317" s="568">
        <f t="shared" ref="D317:AI317" si="108">D166</f>
        <v>0</v>
      </c>
      <c r="E317" s="568">
        <f t="shared" si="108"/>
        <v>2</v>
      </c>
      <c r="F317" s="568">
        <f t="shared" si="108"/>
        <v>1</v>
      </c>
      <c r="G317" s="568">
        <f t="shared" si="108"/>
        <v>2</v>
      </c>
      <c r="H317" s="568">
        <f t="shared" si="108"/>
        <v>1</v>
      </c>
      <c r="I317" s="568">
        <f t="shared" si="108"/>
        <v>1</v>
      </c>
      <c r="J317" s="568">
        <f t="shared" si="108"/>
        <v>1</v>
      </c>
      <c r="K317" s="568">
        <f t="shared" si="108"/>
        <v>2</v>
      </c>
      <c r="L317" s="568">
        <f t="shared" si="108"/>
        <v>2</v>
      </c>
      <c r="M317" s="568">
        <f t="shared" si="108"/>
        <v>0</v>
      </c>
      <c r="N317" s="568">
        <f t="shared" si="108"/>
        <v>2</v>
      </c>
      <c r="O317" s="568">
        <f t="shared" si="108"/>
        <v>1</v>
      </c>
      <c r="P317" s="568">
        <f t="shared" si="108"/>
        <v>2</v>
      </c>
      <c r="Q317" s="568">
        <f t="shared" si="108"/>
        <v>2</v>
      </c>
      <c r="R317" s="568">
        <f t="shared" si="108"/>
        <v>2</v>
      </c>
      <c r="S317" s="568">
        <f t="shared" si="108"/>
        <v>2</v>
      </c>
      <c r="T317" s="568">
        <f t="shared" si="108"/>
        <v>1</v>
      </c>
      <c r="U317" s="568">
        <f t="shared" si="108"/>
        <v>2</v>
      </c>
      <c r="V317" s="568">
        <f t="shared" si="108"/>
        <v>2</v>
      </c>
      <c r="W317" s="568">
        <f t="shared" si="108"/>
        <v>2</v>
      </c>
      <c r="X317" s="568">
        <f t="shared" si="108"/>
        <v>0</v>
      </c>
      <c r="Y317" s="568">
        <f t="shared" si="108"/>
        <v>2</v>
      </c>
      <c r="Z317" s="568">
        <f t="shared" si="108"/>
        <v>2</v>
      </c>
      <c r="AA317" s="568">
        <f t="shared" si="108"/>
        <v>1</v>
      </c>
      <c r="AB317" s="568">
        <f t="shared" si="108"/>
        <v>2</v>
      </c>
      <c r="AC317" s="568">
        <f t="shared" si="108"/>
        <v>1</v>
      </c>
      <c r="AD317" s="568">
        <f t="shared" si="108"/>
        <v>2</v>
      </c>
      <c r="AE317" s="568">
        <f t="shared" si="108"/>
        <v>1</v>
      </c>
      <c r="AF317" s="568">
        <f t="shared" si="108"/>
        <v>1</v>
      </c>
      <c r="AG317" s="568">
        <f t="shared" si="108"/>
        <v>1</v>
      </c>
      <c r="AH317" s="568">
        <f t="shared" si="108"/>
        <v>2</v>
      </c>
      <c r="AI317" s="568">
        <f t="shared" si="108"/>
        <v>1</v>
      </c>
      <c r="AJ317" s="568">
        <f t="shared" ref="AJ317:BO317" si="109">AJ166</f>
        <v>2</v>
      </c>
      <c r="AK317" s="568">
        <f t="shared" si="109"/>
        <v>0</v>
      </c>
      <c r="AL317" s="568">
        <f t="shared" si="109"/>
        <v>0</v>
      </c>
      <c r="AM317" s="568">
        <f t="shared" si="109"/>
        <v>1</v>
      </c>
      <c r="AN317" s="568">
        <f t="shared" si="109"/>
        <v>2</v>
      </c>
      <c r="AO317" s="568">
        <f t="shared" si="109"/>
        <v>2</v>
      </c>
      <c r="AP317" s="568">
        <f t="shared" si="109"/>
        <v>2</v>
      </c>
      <c r="AQ317" s="568">
        <f t="shared" si="109"/>
        <v>1</v>
      </c>
      <c r="AR317" s="568">
        <f t="shared" si="109"/>
        <v>2</v>
      </c>
      <c r="AS317" s="568">
        <f t="shared" si="109"/>
        <v>0</v>
      </c>
      <c r="AT317" s="568">
        <f t="shared" si="109"/>
        <v>2</v>
      </c>
      <c r="AU317" s="568">
        <f t="shared" si="109"/>
        <v>2</v>
      </c>
      <c r="AV317" s="568">
        <f t="shared" si="109"/>
        <v>2</v>
      </c>
      <c r="AW317" s="568">
        <f t="shared" si="109"/>
        <v>1</v>
      </c>
      <c r="AX317" s="568">
        <f t="shared" si="109"/>
        <v>1</v>
      </c>
      <c r="AY317" s="568">
        <f t="shared" si="109"/>
        <v>2</v>
      </c>
      <c r="AZ317" s="568">
        <f t="shared" si="109"/>
        <v>2</v>
      </c>
      <c r="BA317" s="568">
        <f t="shared" si="109"/>
        <v>2</v>
      </c>
      <c r="BB317" s="568">
        <f t="shared" si="109"/>
        <v>2</v>
      </c>
      <c r="BC317" s="568">
        <f t="shared" si="109"/>
        <v>1</v>
      </c>
      <c r="BD317" s="568">
        <f t="shared" si="109"/>
        <v>1</v>
      </c>
      <c r="BE317" s="568">
        <f t="shared" si="109"/>
        <v>2</v>
      </c>
      <c r="BF317" s="568">
        <f t="shared" si="109"/>
        <v>2</v>
      </c>
      <c r="BG317" s="568">
        <f t="shared" si="109"/>
        <v>2</v>
      </c>
      <c r="BH317" s="568">
        <f t="shared" si="109"/>
        <v>2</v>
      </c>
      <c r="BI317" s="568">
        <f t="shared" si="109"/>
        <v>2</v>
      </c>
      <c r="BJ317" s="568">
        <f t="shared" si="109"/>
        <v>2</v>
      </c>
      <c r="BK317" s="568">
        <f t="shared" si="109"/>
        <v>2</v>
      </c>
      <c r="BL317" s="568">
        <f t="shared" si="109"/>
        <v>0</v>
      </c>
      <c r="BM317" s="568">
        <f t="shared" si="109"/>
        <v>1</v>
      </c>
      <c r="BN317" s="568">
        <f t="shared" si="109"/>
        <v>2</v>
      </c>
      <c r="BO317" s="568">
        <f t="shared" si="109"/>
        <v>2</v>
      </c>
      <c r="BP317" s="568">
        <f t="shared" ref="BP317:CZ317" si="110">BP166</f>
        <v>2</v>
      </c>
      <c r="BQ317" s="568">
        <f t="shared" si="110"/>
        <v>2</v>
      </c>
      <c r="BR317" s="568">
        <f t="shared" si="110"/>
        <v>2</v>
      </c>
      <c r="BS317" s="568">
        <f t="shared" si="110"/>
        <v>1</v>
      </c>
      <c r="BT317" s="568">
        <f t="shared" si="110"/>
        <v>2</v>
      </c>
      <c r="BU317" s="568">
        <f t="shared" si="110"/>
        <v>2</v>
      </c>
      <c r="BV317" s="568">
        <f t="shared" si="110"/>
        <v>2</v>
      </c>
      <c r="BW317" s="568">
        <f t="shared" si="110"/>
        <v>2</v>
      </c>
      <c r="BX317" s="568">
        <f t="shared" si="110"/>
        <v>2</v>
      </c>
      <c r="BY317" s="568">
        <f t="shared" si="110"/>
        <v>2</v>
      </c>
      <c r="BZ317" s="568">
        <f t="shared" si="110"/>
        <v>2</v>
      </c>
      <c r="CA317" s="568">
        <f t="shared" si="110"/>
        <v>2</v>
      </c>
      <c r="CB317" s="568">
        <f t="shared" si="110"/>
        <v>2</v>
      </c>
      <c r="CC317" s="568">
        <f t="shared" si="110"/>
        <v>0</v>
      </c>
      <c r="CD317" s="568">
        <f t="shared" si="110"/>
        <v>2</v>
      </c>
      <c r="CE317" s="568">
        <f t="shared" si="110"/>
        <v>0</v>
      </c>
      <c r="CF317" s="568">
        <f t="shared" si="110"/>
        <v>0</v>
      </c>
      <c r="CG317" s="568">
        <f t="shared" si="110"/>
        <v>0</v>
      </c>
      <c r="CH317" s="568">
        <f t="shared" si="110"/>
        <v>0</v>
      </c>
      <c r="CI317" s="568">
        <f t="shared" si="110"/>
        <v>0</v>
      </c>
      <c r="CJ317" s="568">
        <f t="shared" si="110"/>
        <v>0</v>
      </c>
      <c r="CK317" s="568">
        <f t="shared" si="110"/>
        <v>0</v>
      </c>
      <c r="CL317" s="568">
        <f t="shared" si="110"/>
        <v>0</v>
      </c>
      <c r="CM317" s="568">
        <f t="shared" si="110"/>
        <v>0</v>
      </c>
      <c r="CN317" s="568">
        <f t="shared" si="110"/>
        <v>0</v>
      </c>
      <c r="CO317" s="568">
        <f t="shared" si="110"/>
        <v>0</v>
      </c>
      <c r="CP317" s="568">
        <f t="shared" si="110"/>
        <v>0</v>
      </c>
      <c r="CQ317" s="568">
        <f t="shared" si="110"/>
        <v>0</v>
      </c>
      <c r="CR317" s="568">
        <f t="shared" si="110"/>
        <v>0</v>
      </c>
      <c r="CS317" s="568">
        <f t="shared" si="110"/>
        <v>0</v>
      </c>
      <c r="CT317" s="568">
        <f t="shared" si="110"/>
        <v>0</v>
      </c>
      <c r="CU317" s="568">
        <f t="shared" si="110"/>
        <v>0</v>
      </c>
      <c r="CV317" s="568">
        <f t="shared" si="110"/>
        <v>0</v>
      </c>
      <c r="CW317" s="568">
        <f t="shared" si="110"/>
        <v>0</v>
      </c>
      <c r="CX317" s="568">
        <f t="shared" si="110"/>
        <v>0</v>
      </c>
      <c r="CY317" s="568">
        <f t="shared" si="110"/>
        <v>0</v>
      </c>
      <c r="CZ317" s="568">
        <f t="shared" si="110"/>
        <v>0</v>
      </c>
    </row>
    <row r="318" spans="1:104" s="180" customFormat="1" x14ac:dyDescent="0.3">
      <c r="A318" s="155">
        <v>545</v>
      </c>
      <c r="C318" s="180">
        <v>142</v>
      </c>
      <c r="D318" s="568">
        <f t="shared" ref="D318:AI318" si="111">D142</f>
        <v>0</v>
      </c>
      <c r="E318" s="568">
        <f t="shared" si="111"/>
        <v>0</v>
      </c>
      <c r="F318" s="568">
        <f t="shared" si="111"/>
        <v>0</v>
      </c>
      <c r="G318" s="568">
        <f t="shared" si="111"/>
        <v>0</v>
      </c>
      <c r="H318" s="568">
        <f t="shared" si="111"/>
        <v>0</v>
      </c>
      <c r="I318" s="568">
        <f t="shared" si="111"/>
        <v>0</v>
      </c>
      <c r="J318" s="568">
        <f t="shared" si="111"/>
        <v>0</v>
      </c>
      <c r="K318" s="568">
        <f t="shared" si="111"/>
        <v>0</v>
      </c>
      <c r="L318" s="568">
        <f t="shared" si="111"/>
        <v>0</v>
      </c>
      <c r="M318" s="568">
        <f t="shared" si="111"/>
        <v>0</v>
      </c>
      <c r="N318" s="568">
        <f t="shared" si="111"/>
        <v>0</v>
      </c>
      <c r="O318" s="568">
        <f t="shared" si="111"/>
        <v>0</v>
      </c>
      <c r="P318" s="568">
        <f t="shared" si="111"/>
        <v>0</v>
      </c>
      <c r="Q318" s="568">
        <f t="shared" si="111"/>
        <v>0</v>
      </c>
      <c r="R318" s="568">
        <f t="shared" si="111"/>
        <v>0</v>
      </c>
      <c r="S318" s="568">
        <f t="shared" si="111"/>
        <v>0</v>
      </c>
      <c r="T318" s="568">
        <f t="shared" si="111"/>
        <v>0</v>
      </c>
      <c r="U318" s="568">
        <f t="shared" si="111"/>
        <v>0</v>
      </c>
      <c r="V318" s="568">
        <f t="shared" si="111"/>
        <v>0</v>
      </c>
      <c r="W318" s="568">
        <f t="shared" si="111"/>
        <v>0</v>
      </c>
      <c r="X318" s="568">
        <f t="shared" si="111"/>
        <v>0</v>
      </c>
      <c r="Y318" s="568">
        <f t="shared" si="111"/>
        <v>0</v>
      </c>
      <c r="Z318" s="568">
        <f t="shared" si="111"/>
        <v>0</v>
      </c>
      <c r="AA318" s="568">
        <f t="shared" si="111"/>
        <v>0</v>
      </c>
      <c r="AB318" s="568">
        <f t="shared" si="111"/>
        <v>0</v>
      </c>
      <c r="AC318" s="568">
        <f t="shared" si="111"/>
        <v>0</v>
      </c>
      <c r="AD318" s="568">
        <f t="shared" si="111"/>
        <v>0</v>
      </c>
      <c r="AE318" s="568">
        <f t="shared" si="111"/>
        <v>0.04</v>
      </c>
      <c r="AF318" s="568">
        <f t="shared" si="111"/>
        <v>0</v>
      </c>
      <c r="AG318" s="568">
        <f t="shared" si="111"/>
        <v>0</v>
      </c>
      <c r="AH318" s="568">
        <f t="shared" si="111"/>
        <v>0</v>
      </c>
      <c r="AI318" s="568">
        <f t="shared" si="111"/>
        <v>0</v>
      </c>
      <c r="AJ318" s="568">
        <f t="shared" ref="AJ318:BO318" si="112">AJ142</f>
        <v>0</v>
      </c>
      <c r="AK318" s="568">
        <f t="shared" si="112"/>
        <v>0</v>
      </c>
      <c r="AL318" s="568">
        <f t="shared" si="112"/>
        <v>0</v>
      </c>
      <c r="AM318" s="568">
        <f t="shared" si="112"/>
        <v>0</v>
      </c>
      <c r="AN318" s="568">
        <f t="shared" si="112"/>
        <v>0</v>
      </c>
      <c r="AO318" s="568">
        <f t="shared" si="112"/>
        <v>0</v>
      </c>
      <c r="AP318" s="568">
        <f t="shared" si="112"/>
        <v>0</v>
      </c>
      <c r="AQ318" s="568">
        <f t="shared" si="112"/>
        <v>0</v>
      </c>
      <c r="AR318" s="568">
        <f t="shared" si="112"/>
        <v>0</v>
      </c>
      <c r="AS318" s="568">
        <f t="shared" si="112"/>
        <v>0</v>
      </c>
      <c r="AT318" s="568">
        <f t="shared" si="112"/>
        <v>0</v>
      </c>
      <c r="AU318" s="568">
        <f t="shared" si="112"/>
        <v>0</v>
      </c>
      <c r="AV318" s="568">
        <f t="shared" si="112"/>
        <v>0</v>
      </c>
      <c r="AW318" s="568">
        <f t="shared" si="112"/>
        <v>0</v>
      </c>
      <c r="AX318" s="568">
        <f t="shared" si="112"/>
        <v>0</v>
      </c>
      <c r="AY318" s="568">
        <f t="shared" si="112"/>
        <v>0</v>
      </c>
      <c r="AZ318" s="568">
        <f t="shared" si="112"/>
        <v>0</v>
      </c>
      <c r="BA318" s="568">
        <f t="shared" si="112"/>
        <v>0</v>
      </c>
      <c r="BB318" s="568">
        <f t="shared" si="112"/>
        <v>0</v>
      </c>
      <c r="BC318" s="568">
        <f t="shared" si="112"/>
        <v>0</v>
      </c>
      <c r="BD318" s="568">
        <f t="shared" si="112"/>
        <v>0</v>
      </c>
      <c r="BE318" s="568">
        <f t="shared" si="112"/>
        <v>0</v>
      </c>
      <c r="BF318" s="568">
        <f t="shared" si="112"/>
        <v>0</v>
      </c>
      <c r="BG318" s="568">
        <f t="shared" si="112"/>
        <v>0</v>
      </c>
      <c r="BH318" s="568">
        <f t="shared" si="112"/>
        <v>0</v>
      </c>
      <c r="BI318" s="568">
        <f t="shared" si="112"/>
        <v>0</v>
      </c>
      <c r="BJ318" s="568">
        <f t="shared" si="112"/>
        <v>0</v>
      </c>
      <c r="BK318" s="568">
        <f t="shared" si="112"/>
        <v>0</v>
      </c>
      <c r="BL318" s="568">
        <f t="shared" si="112"/>
        <v>0</v>
      </c>
      <c r="BM318" s="568">
        <f t="shared" si="112"/>
        <v>0</v>
      </c>
      <c r="BN318" s="568">
        <f t="shared" si="112"/>
        <v>3.3</v>
      </c>
      <c r="BO318" s="568">
        <f t="shared" si="112"/>
        <v>0</v>
      </c>
      <c r="BP318" s="568">
        <f t="shared" ref="BP318:CZ318" si="113">BP142</f>
        <v>0</v>
      </c>
      <c r="BQ318" s="568">
        <f t="shared" si="113"/>
        <v>1.4999999999999999E-2</v>
      </c>
      <c r="BR318" s="568">
        <f t="shared" si="113"/>
        <v>0</v>
      </c>
      <c r="BS318" s="568">
        <f t="shared" si="113"/>
        <v>0</v>
      </c>
      <c r="BT318" s="568">
        <f t="shared" si="113"/>
        <v>0</v>
      </c>
      <c r="BU318" s="568">
        <f t="shared" si="113"/>
        <v>0</v>
      </c>
      <c r="BV318" s="568">
        <f t="shared" si="113"/>
        <v>0</v>
      </c>
      <c r="BW318" s="568">
        <f t="shared" si="113"/>
        <v>0</v>
      </c>
      <c r="BX318" s="568">
        <f t="shared" si="113"/>
        <v>0</v>
      </c>
      <c r="BY318" s="568">
        <f t="shared" si="113"/>
        <v>0</v>
      </c>
      <c r="BZ318" s="568">
        <f t="shared" si="113"/>
        <v>0</v>
      </c>
      <c r="CA318" s="568">
        <f t="shared" si="113"/>
        <v>0</v>
      </c>
      <c r="CB318" s="568">
        <f t="shared" si="113"/>
        <v>0</v>
      </c>
      <c r="CC318" s="568">
        <f t="shared" si="113"/>
        <v>0</v>
      </c>
      <c r="CD318" s="568">
        <f t="shared" si="113"/>
        <v>0</v>
      </c>
      <c r="CE318" s="568">
        <f t="shared" si="113"/>
        <v>0</v>
      </c>
      <c r="CF318" s="568">
        <f t="shared" si="113"/>
        <v>0</v>
      </c>
      <c r="CG318" s="568">
        <f t="shared" si="113"/>
        <v>0</v>
      </c>
      <c r="CH318" s="568">
        <f t="shared" si="113"/>
        <v>0</v>
      </c>
      <c r="CI318" s="568">
        <f t="shared" si="113"/>
        <v>0</v>
      </c>
      <c r="CJ318" s="568">
        <f t="shared" si="113"/>
        <v>0</v>
      </c>
      <c r="CK318" s="568">
        <f t="shared" si="113"/>
        <v>0</v>
      </c>
      <c r="CL318" s="568">
        <f t="shared" si="113"/>
        <v>0</v>
      </c>
      <c r="CM318" s="568">
        <f t="shared" si="113"/>
        <v>0</v>
      </c>
      <c r="CN318" s="568">
        <f t="shared" si="113"/>
        <v>0</v>
      </c>
      <c r="CO318" s="568">
        <f t="shared" si="113"/>
        <v>0</v>
      </c>
      <c r="CP318" s="568">
        <f t="shared" si="113"/>
        <v>0</v>
      </c>
      <c r="CQ318" s="568">
        <f t="shared" si="113"/>
        <v>0</v>
      </c>
      <c r="CR318" s="568">
        <f t="shared" si="113"/>
        <v>0</v>
      </c>
      <c r="CS318" s="568">
        <f t="shared" si="113"/>
        <v>0</v>
      </c>
      <c r="CT318" s="568">
        <f t="shared" si="113"/>
        <v>0</v>
      </c>
      <c r="CU318" s="568">
        <f t="shared" si="113"/>
        <v>0</v>
      </c>
      <c r="CV318" s="568">
        <f t="shared" si="113"/>
        <v>0</v>
      </c>
      <c r="CW318" s="568">
        <f t="shared" si="113"/>
        <v>0</v>
      </c>
      <c r="CX318" s="568">
        <f t="shared" si="113"/>
        <v>0</v>
      </c>
      <c r="CY318" s="568">
        <f t="shared" si="113"/>
        <v>0</v>
      </c>
      <c r="CZ318" s="568">
        <f t="shared" si="113"/>
        <v>0</v>
      </c>
    </row>
    <row r="319" spans="1:104" s="180" customFormat="1" x14ac:dyDescent="0.3">
      <c r="A319" s="567">
        <v>624</v>
      </c>
      <c r="C319" s="180">
        <v>169</v>
      </c>
      <c r="D319" s="568">
        <f t="shared" ref="D319:AI319" si="114">D169</f>
        <v>0</v>
      </c>
      <c r="E319" s="568">
        <f t="shared" si="114"/>
        <v>1</v>
      </c>
      <c r="F319" s="568">
        <f t="shared" si="114"/>
        <v>1</v>
      </c>
      <c r="G319" s="568">
        <f t="shared" si="114"/>
        <v>1</v>
      </c>
      <c r="H319" s="568">
        <f t="shared" si="114"/>
        <v>2</v>
      </c>
      <c r="I319" s="568">
        <f t="shared" si="114"/>
        <v>2</v>
      </c>
      <c r="J319" s="568">
        <f t="shared" si="114"/>
        <v>1</v>
      </c>
      <c r="K319" s="568">
        <f t="shared" si="114"/>
        <v>1</v>
      </c>
      <c r="L319" s="568">
        <f t="shared" si="114"/>
        <v>1</v>
      </c>
      <c r="M319" s="568">
        <f t="shared" si="114"/>
        <v>1</v>
      </c>
      <c r="N319" s="568">
        <f t="shared" si="114"/>
        <v>1</v>
      </c>
      <c r="O319" s="568">
        <f t="shared" si="114"/>
        <v>2</v>
      </c>
      <c r="P319" s="568">
        <f t="shared" si="114"/>
        <v>1</v>
      </c>
      <c r="Q319" s="568">
        <f t="shared" si="114"/>
        <v>2</v>
      </c>
      <c r="R319" s="568">
        <f t="shared" si="114"/>
        <v>1</v>
      </c>
      <c r="S319" s="568">
        <f t="shared" si="114"/>
        <v>0</v>
      </c>
      <c r="T319" s="568">
        <f t="shared" si="114"/>
        <v>1</v>
      </c>
      <c r="U319" s="568">
        <f t="shared" si="114"/>
        <v>2</v>
      </c>
      <c r="V319" s="568">
        <f t="shared" si="114"/>
        <v>2</v>
      </c>
      <c r="W319" s="568">
        <f t="shared" si="114"/>
        <v>1</v>
      </c>
      <c r="X319" s="568">
        <f t="shared" si="114"/>
        <v>0</v>
      </c>
      <c r="Y319" s="568">
        <f t="shared" si="114"/>
        <v>2</v>
      </c>
      <c r="Z319" s="568">
        <f t="shared" si="114"/>
        <v>1</v>
      </c>
      <c r="AA319" s="568">
        <f t="shared" si="114"/>
        <v>2</v>
      </c>
      <c r="AB319" s="568">
        <f t="shared" si="114"/>
        <v>1</v>
      </c>
      <c r="AC319" s="568">
        <f t="shared" si="114"/>
        <v>2</v>
      </c>
      <c r="AD319" s="568">
        <f t="shared" si="114"/>
        <v>1</v>
      </c>
      <c r="AE319" s="568">
        <f t="shared" si="114"/>
        <v>1</v>
      </c>
      <c r="AF319" s="568">
        <f t="shared" si="114"/>
        <v>2</v>
      </c>
      <c r="AG319" s="568">
        <f t="shared" si="114"/>
        <v>1</v>
      </c>
      <c r="AH319" s="568">
        <f t="shared" si="114"/>
        <v>1</v>
      </c>
      <c r="AI319" s="568">
        <f t="shared" si="114"/>
        <v>1</v>
      </c>
      <c r="AJ319" s="568">
        <f t="shared" ref="AJ319:BO319" si="115">AJ169</f>
        <v>1</v>
      </c>
      <c r="AK319" s="568">
        <f t="shared" si="115"/>
        <v>0</v>
      </c>
      <c r="AL319" s="568">
        <f t="shared" si="115"/>
        <v>0</v>
      </c>
      <c r="AM319" s="568">
        <f t="shared" si="115"/>
        <v>2</v>
      </c>
      <c r="AN319" s="568">
        <f t="shared" si="115"/>
        <v>2</v>
      </c>
      <c r="AO319" s="568">
        <f t="shared" si="115"/>
        <v>1</v>
      </c>
      <c r="AP319" s="568">
        <f t="shared" si="115"/>
        <v>2</v>
      </c>
      <c r="AQ319" s="568">
        <f t="shared" si="115"/>
        <v>1</v>
      </c>
      <c r="AR319" s="568">
        <f t="shared" si="115"/>
        <v>1</v>
      </c>
      <c r="AS319" s="568">
        <f t="shared" si="115"/>
        <v>0</v>
      </c>
      <c r="AT319" s="568">
        <f t="shared" si="115"/>
        <v>1</v>
      </c>
      <c r="AU319" s="568">
        <f t="shared" si="115"/>
        <v>1</v>
      </c>
      <c r="AV319" s="568">
        <f t="shared" si="115"/>
        <v>0</v>
      </c>
      <c r="AW319" s="568">
        <f t="shared" si="115"/>
        <v>1</v>
      </c>
      <c r="AX319" s="568">
        <f t="shared" si="115"/>
        <v>2</v>
      </c>
      <c r="AY319" s="568">
        <f t="shared" si="115"/>
        <v>2</v>
      </c>
      <c r="AZ319" s="568">
        <f t="shared" si="115"/>
        <v>2</v>
      </c>
      <c r="BA319" s="568">
        <f t="shared" si="115"/>
        <v>1</v>
      </c>
      <c r="BB319" s="568">
        <f t="shared" si="115"/>
        <v>2</v>
      </c>
      <c r="BC319" s="568">
        <f t="shared" si="115"/>
        <v>2</v>
      </c>
      <c r="BD319" s="568">
        <f t="shared" si="115"/>
        <v>1</v>
      </c>
      <c r="BE319" s="568">
        <f t="shared" si="115"/>
        <v>2</v>
      </c>
      <c r="BF319" s="568">
        <f t="shared" si="115"/>
        <v>1</v>
      </c>
      <c r="BG319" s="568">
        <f t="shared" si="115"/>
        <v>1</v>
      </c>
      <c r="BH319" s="568">
        <f t="shared" si="115"/>
        <v>1</v>
      </c>
      <c r="BI319" s="568">
        <f t="shared" si="115"/>
        <v>1</v>
      </c>
      <c r="BJ319" s="568">
        <f t="shared" si="115"/>
        <v>1</v>
      </c>
      <c r="BK319" s="568">
        <f t="shared" si="115"/>
        <v>2</v>
      </c>
      <c r="BL319" s="568">
        <f t="shared" si="115"/>
        <v>0</v>
      </c>
      <c r="BM319" s="568">
        <f t="shared" si="115"/>
        <v>1</v>
      </c>
      <c r="BN319" s="568">
        <f t="shared" si="115"/>
        <v>2</v>
      </c>
      <c r="BO319" s="568">
        <f t="shared" si="115"/>
        <v>1</v>
      </c>
      <c r="BP319" s="568">
        <f t="shared" ref="BP319:CZ319" si="116">BP169</f>
        <v>2</v>
      </c>
      <c r="BQ319" s="568">
        <f t="shared" si="116"/>
        <v>1</v>
      </c>
      <c r="BR319" s="568">
        <f t="shared" si="116"/>
        <v>1</v>
      </c>
      <c r="BS319" s="568">
        <f t="shared" si="116"/>
        <v>1</v>
      </c>
      <c r="BT319" s="568">
        <f t="shared" si="116"/>
        <v>2</v>
      </c>
      <c r="BU319" s="568">
        <f t="shared" si="116"/>
        <v>1</v>
      </c>
      <c r="BV319" s="568">
        <f t="shared" si="116"/>
        <v>1</v>
      </c>
      <c r="BW319" s="568">
        <f t="shared" si="116"/>
        <v>2</v>
      </c>
      <c r="BX319" s="568">
        <f t="shared" si="116"/>
        <v>1</v>
      </c>
      <c r="BY319" s="568">
        <f t="shared" si="116"/>
        <v>1</v>
      </c>
      <c r="BZ319" s="568">
        <f t="shared" si="116"/>
        <v>1</v>
      </c>
      <c r="CA319" s="568">
        <f t="shared" si="116"/>
        <v>1</v>
      </c>
      <c r="CB319" s="568">
        <f t="shared" si="116"/>
        <v>2</v>
      </c>
      <c r="CC319" s="568">
        <f t="shared" si="116"/>
        <v>0</v>
      </c>
      <c r="CD319" s="568">
        <f t="shared" si="116"/>
        <v>1</v>
      </c>
      <c r="CE319" s="568">
        <f t="shared" si="116"/>
        <v>0</v>
      </c>
      <c r="CF319" s="568">
        <f t="shared" si="116"/>
        <v>0</v>
      </c>
      <c r="CG319" s="568">
        <f t="shared" si="116"/>
        <v>0</v>
      </c>
      <c r="CH319" s="568">
        <f t="shared" si="116"/>
        <v>0</v>
      </c>
      <c r="CI319" s="568">
        <f t="shared" si="116"/>
        <v>0</v>
      </c>
      <c r="CJ319" s="568">
        <f t="shared" si="116"/>
        <v>0</v>
      </c>
      <c r="CK319" s="568">
        <f t="shared" si="116"/>
        <v>0</v>
      </c>
      <c r="CL319" s="568">
        <f t="shared" si="116"/>
        <v>0</v>
      </c>
      <c r="CM319" s="568">
        <f t="shared" si="116"/>
        <v>0</v>
      </c>
      <c r="CN319" s="568">
        <f t="shared" si="116"/>
        <v>0</v>
      </c>
      <c r="CO319" s="568">
        <f t="shared" si="116"/>
        <v>0</v>
      </c>
      <c r="CP319" s="568">
        <f t="shared" si="116"/>
        <v>0</v>
      </c>
      <c r="CQ319" s="568">
        <f t="shared" si="116"/>
        <v>0</v>
      </c>
      <c r="CR319" s="568">
        <f t="shared" si="116"/>
        <v>0</v>
      </c>
      <c r="CS319" s="568">
        <f t="shared" si="116"/>
        <v>0</v>
      </c>
      <c r="CT319" s="568">
        <f t="shared" si="116"/>
        <v>0</v>
      </c>
      <c r="CU319" s="568">
        <f t="shared" si="116"/>
        <v>0</v>
      </c>
      <c r="CV319" s="568">
        <f t="shared" si="116"/>
        <v>0</v>
      </c>
      <c r="CW319" s="568">
        <f t="shared" si="116"/>
        <v>0</v>
      </c>
      <c r="CX319" s="568">
        <f t="shared" si="116"/>
        <v>0</v>
      </c>
      <c r="CY319" s="568">
        <f t="shared" si="116"/>
        <v>0</v>
      </c>
      <c r="CZ319" s="568">
        <f t="shared" si="116"/>
        <v>0</v>
      </c>
    </row>
    <row r="320" spans="1:104" s="180" customFormat="1" x14ac:dyDescent="0.3">
      <c r="A320" s="567">
        <v>577</v>
      </c>
      <c r="C320" s="180">
        <v>150</v>
      </c>
      <c r="D320" s="568">
        <f t="shared" ref="D320:AI320" si="117">D150</f>
        <v>0</v>
      </c>
      <c r="E320" s="568">
        <f t="shared" si="117"/>
        <v>2</v>
      </c>
      <c r="F320" s="568">
        <f t="shared" si="117"/>
        <v>0</v>
      </c>
      <c r="G320" s="568">
        <f t="shared" si="117"/>
        <v>2</v>
      </c>
      <c r="H320" s="568">
        <f t="shared" si="117"/>
        <v>0</v>
      </c>
      <c r="I320" s="568">
        <f t="shared" si="117"/>
        <v>2</v>
      </c>
      <c r="J320" s="568">
        <f t="shared" si="117"/>
        <v>2</v>
      </c>
      <c r="K320" s="568">
        <f t="shared" si="117"/>
        <v>0</v>
      </c>
      <c r="L320" s="568">
        <f t="shared" si="117"/>
        <v>2</v>
      </c>
      <c r="M320" s="568">
        <f t="shared" si="117"/>
        <v>2</v>
      </c>
      <c r="N320" s="568">
        <f t="shared" si="117"/>
        <v>2</v>
      </c>
      <c r="O320" s="568">
        <f t="shared" si="117"/>
        <v>2</v>
      </c>
      <c r="P320" s="568">
        <f t="shared" si="117"/>
        <v>2</v>
      </c>
      <c r="Q320" s="568">
        <f t="shared" si="117"/>
        <v>2</v>
      </c>
      <c r="R320" s="568">
        <f t="shared" si="117"/>
        <v>2</v>
      </c>
      <c r="S320" s="568">
        <f t="shared" si="117"/>
        <v>0</v>
      </c>
      <c r="T320" s="568">
        <f t="shared" si="117"/>
        <v>2</v>
      </c>
      <c r="U320" s="568">
        <f t="shared" si="117"/>
        <v>2</v>
      </c>
      <c r="V320" s="568">
        <f t="shared" si="117"/>
        <v>2</v>
      </c>
      <c r="W320" s="568">
        <f t="shared" si="117"/>
        <v>2</v>
      </c>
      <c r="X320" s="568">
        <f t="shared" si="117"/>
        <v>0</v>
      </c>
      <c r="Y320" s="568">
        <f t="shared" si="117"/>
        <v>1</v>
      </c>
      <c r="Z320" s="568">
        <f t="shared" si="117"/>
        <v>2</v>
      </c>
      <c r="AA320" s="568">
        <f t="shared" si="117"/>
        <v>2</v>
      </c>
      <c r="AB320" s="568">
        <f t="shared" si="117"/>
        <v>2</v>
      </c>
      <c r="AC320" s="568">
        <f t="shared" si="117"/>
        <v>2</v>
      </c>
      <c r="AD320" s="568">
        <f t="shared" si="117"/>
        <v>2</v>
      </c>
      <c r="AE320" s="568">
        <f t="shared" si="117"/>
        <v>2</v>
      </c>
      <c r="AF320" s="568">
        <f t="shared" si="117"/>
        <v>2</v>
      </c>
      <c r="AG320" s="568">
        <f t="shared" si="117"/>
        <v>2</v>
      </c>
      <c r="AH320" s="568">
        <f t="shared" si="117"/>
        <v>2</v>
      </c>
      <c r="AI320" s="568">
        <f t="shared" si="117"/>
        <v>2</v>
      </c>
      <c r="AJ320" s="568">
        <f t="shared" ref="AJ320:BO320" si="118">AJ150</f>
        <v>2</v>
      </c>
      <c r="AK320" s="568">
        <f t="shared" si="118"/>
        <v>0</v>
      </c>
      <c r="AL320" s="568">
        <f t="shared" si="118"/>
        <v>0</v>
      </c>
      <c r="AM320" s="568">
        <f t="shared" si="118"/>
        <v>2</v>
      </c>
      <c r="AN320" s="568">
        <f t="shared" si="118"/>
        <v>2</v>
      </c>
      <c r="AO320" s="568">
        <f t="shared" si="118"/>
        <v>2</v>
      </c>
      <c r="AP320" s="568">
        <f t="shared" si="118"/>
        <v>2</v>
      </c>
      <c r="AQ320" s="568">
        <f t="shared" si="118"/>
        <v>0</v>
      </c>
      <c r="AR320" s="568">
        <f t="shared" si="118"/>
        <v>2</v>
      </c>
      <c r="AS320" s="568">
        <f t="shared" si="118"/>
        <v>0</v>
      </c>
      <c r="AT320" s="568">
        <f t="shared" si="118"/>
        <v>2</v>
      </c>
      <c r="AU320" s="568">
        <f t="shared" si="118"/>
        <v>2</v>
      </c>
      <c r="AV320" s="568">
        <f t="shared" si="118"/>
        <v>2</v>
      </c>
      <c r="AW320" s="568">
        <f t="shared" si="118"/>
        <v>2</v>
      </c>
      <c r="AX320" s="568">
        <f t="shared" si="118"/>
        <v>1</v>
      </c>
      <c r="AY320" s="568">
        <f t="shared" si="118"/>
        <v>2</v>
      </c>
      <c r="AZ320" s="568">
        <f t="shared" si="118"/>
        <v>2</v>
      </c>
      <c r="BA320" s="568">
        <f t="shared" si="118"/>
        <v>2</v>
      </c>
      <c r="BB320" s="568">
        <f t="shared" si="118"/>
        <v>2</v>
      </c>
      <c r="BC320" s="568">
        <f t="shared" si="118"/>
        <v>0</v>
      </c>
      <c r="BD320" s="568">
        <f t="shared" si="118"/>
        <v>2</v>
      </c>
      <c r="BE320" s="568">
        <f t="shared" si="118"/>
        <v>0</v>
      </c>
      <c r="BF320" s="568">
        <f t="shared" si="118"/>
        <v>2</v>
      </c>
      <c r="BG320" s="568">
        <f t="shared" si="118"/>
        <v>0</v>
      </c>
      <c r="BH320" s="568">
        <f t="shared" si="118"/>
        <v>0</v>
      </c>
      <c r="BI320" s="568">
        <f t="shared" si="118"/>
        <v>2</v>
      </c>
      <c r="BJ320" s="568">
        <f t="shared" si="118"/>
        <v>2</v>
      </c>
      <c r="BK320" s="568">
        <f t="shared" si="118"/>
        <v>2</v>
      </c>
      <c r="BL320" s="568">
        <f t="shared" si="118"/>
        <v>0</v>
      </c>
      <c r="BM320" s="568">
        <f t="shared" si="118"/>
        <v>2</v>
      </c>
      <c r="BN320" s="568">
        <f t="shared" si="118"/>
        <v>0</v>
      </c>
      <c r="BO320" s="568">
        <f t="shared" si="118"/>
        <v>2</v>
      </c>
      <c r="BP320" s="568">
        <f t="shared" ref="BP320:CZ320" si="119">BP150</f>
        <v>2</v>
      </c>
      <c r="BQ320" s="568">
        <f t="shared" si="119"/>
        <v>2</v>
      </c>
      <c r="BR320" s="568">
        <f t="shared" si="119"/>
        <v>2</v>
      </c>
      <c r="BS320" s="568">
        <f t="shared" si="119"/>
        <v>2</v>
      </c>
      <c r="BT320" s="568">
        <f t="shared" si="119"/>
        <v>2</v>
      </c>
      <c r="BU320" s="568">
        <f t="shared" si="119"/>
        <v>2</v>
      </c>
      <c r="BV320" s="568">
        <f t="shared" si="119"/>
        <v>0</v>
      </c>
      <c r="BW320" s="568">
        <f t="shared" si="119"/>
        <v>2</v>
      </c>
      <c r="BX320" s="568">
        <f t="shared" si="119"/>
        <v>2</v>
      </c>
      <c r="BY320" s="568">
        <f t="shared" si="119"/>
        <v>0</v>
      </c>
      <c r="BZ320" s="568">
        <f t="shared" si="119"/>
        <v>2</v>
      </c>
      <c r="CA320" s="568">
        <f t="shared" si="119"/>
        <v>2</v>
      </c>
      <c r="CB320" s="568">
        <f t="shared" si="119"/>
        <v>2</v>
      </c>
      <c r="CC320" s="568">
        <f t="shared" si="119"/>
        <v>0</v>
      </c>
      <c r="CD320" s="568">
        <f t="shared" si="119"/>
        <v>2</v>
      </c>
      <c r="CE320" s="568">
        <f t="shared" si="119"/>
        <v>0</v>
      </c>
      <c r="CF320" s="568">
        <f t="shared" si="119"/>
        <v>0</v>
      </c>
      <c r="CG320" s="568">
        <f t="shared" si="119"/>
        <v>0</v>
      </c>
      <c r="CH320" s="568">
        <f t="shared" si="119"/>
        <v>0</v>
      </c>
      <c r="CI320" s="568">
        <f t="shared" si="119"/>
        <v>0</v>
      </c>
      <c r="CJ320" s="568">
        <f t="shared" si="119"/>
        <v>0</v>
      </c>
      <c r="CK320" s="568">
        <f t="shared" si="119"/>
        <v>0</v>
      </c>
      <c r="CL320" s="568">
        <f t="shared" si="119"/>
        <v>0</v>
      </c>
      <c r="CM320" s="568">
        <f t="shared" si="119"/>
        <v>0</v>
      </c>
      <c r="CN320" s="568">
        <f t="shared" si="119"/>
        <v>0</v>
      </c>
      <c r="CO320" s="568">
        <f t="shared" si="119"/>
        <v>0</v>
      </c>
      <c r="CP320" s="568">
        <f t="shared" si="119"/>
        <v>0</v>
      </c>
      <c r="CQ320" s="568">
        <f t="shared" si="119"/>
        <v>0</v>
      </c>
      <c r="CR320" s="568">
        <f t="shared" si="119"/>
        <v>0</v>
      </c>
      <c r="CS320" s="568">
        <f t="shared" si="119"/>
        <v>0</v>
      </c>
      <c r="CT320" s="568">
        <f t="shared" si="119"/>
        <v>0</v>
      </c>
      <c r="CU320" s="568">
        <f t="shared" si="119"/>
        <v>0</v>
      </c>
      <c r="CV320" s="568">
        <f t="shared" si="119"/>
        <v>0</v>
      </c>
      <c r="CW320" s="568">
        <f t="shared" si="119"/>
        <v>0</v>
      </c>
      <c r="CX320" s="568">
        <f t="shared" si="119"/>
        <v>0</v>
      </c>
      <c r="CY320" s="568">
        <f t="shared" si="119"/>
        <v>0</v>
      </c>
      <c r="CZ320" s="568">
        <f t="shared" si="119"/>
        <v>0</v>
      </c>
    </row>
    <row r="321" spans="1:104" s="180" customFormat="1" x14ac:dyDescent="0.3">
      <c r="A321" s="567">
        <v>991</v>
      </c>
      <c r="C321" s="180">
        <v>235</v>
      </c>
      <c r="D321" s="568">
        <f t="shared" ref="D321:AI321" si="120">D235</f>
        <v>0</v>
      </c>
      <c r="E321" s="568">
        <f t="shared" si="120"/>
        <v>23</v>
      </c>
      <c r="F321" s="568">
        <f t="shared" si="120"/>
        <v>23</v>
      </c>
      <c r="G321" s="568">
        <f t="shared" si="120"/>
        <v>22</v>
      </c>
      <c r="H321" s="568">
        <f t="shared" si="120"/>
        <v>23</v>
      </c>
      <c r="I321" s="568">
        <f t="shared" si="120"/>
        <v>20</v>
      </c>
      <c r="J321" s="568">
        <f t="shared" si="120"/>
        <v>23</v>
      </c>
      <c r="K321" s="568">
        <f t="shared" si="120"/>
        <v>23</v>
      </c>
      <c r="L321" s="568">
        <f t="shared" si="120"/>
        <v>23</v>
      </c>
      <c r="M321" s="568">
        <f t="shared" si="120"/>
        <v>20</v>
      </c>
      <c r="N321" s="568">
        <f t="shared" si="120"/>
        <v>23</v>
      </c>
      <c r="O321" s="568">
        <f t="shared" si="120"/>
        <v>23</v>
      </c>
      <c r="P321" s="568">
        <f t="shared" si="120"/>
        <v>23</v>
      </c>
      <c r="Q321" s="568">
        <f t="shared" si="120"/>
        <v>23</v>
      </c>
      <c r="R321" s="568">
        <f t="shared" si="120"/>
        <v>22</v>
      </c>
      <c r="S321" s="568">
        <f t="shared" si="120"/>
        <v>0</v>
      </c>
      <c r="T321" s="568">
        <f t="shared" si="120"/>
        <v>20</v>
      </c>
      <c r="U321" s="568">
        <f t="shared" si="120"/>
        <v>23</v>
      </c>
      <c r="V321" s="568">
        <f t="shared" si="120"/>
        <v>20</v>
      </c>
      <c r="W321" s="568">
        <f t="shared" si="120"/>
        <v>23</v>
      </c>
      <c r="X321" s="568">
        <f t="shared" si="120"/>
        <v>0</v>
      </c>
      <c r="Y321" s="568">
        <f t="shared" si="120"/>
        <v>23</v>
      </c>
      <c r="Z321" s="568">
        <f t="shared" si="120"/>
        <v>23</v>
      </c>
      <c r="AA321" s="568">
        <f t="shared" si="120"/>
        <v>23</v>
      </c>
      <c r="AB321" s="568">
        <f t="shared" si="120"/>
        <v>23</v>
      </c>
      <c r="AC321" s="568">
        <f t="shared" si="120"/>
        <v>23</v>
      </c>
      <c r="AD321" s="568">
        <f t="shared" si="120"/>
        <v>23</v>
      </c>
      <c r="AE321" s="568">
        <f t="shared" si="120"/>
        <v>23</v>
      </c>
      <c r="AF321" s="568">
        <f t="shared" si="120"/>
        <v>23</v>
      </c>
      <c r="AG321" s="568">
        <f t="shared" si="120"/>
        <v>23</v>
      </c>
      <c r="AH321" s="568">
        <f t="shared" si="120"/>
        <v>22</v>
      </c>
      <c r="AI321" s="568">
        <f t="shared" si="120"/>
        <v>20</v>
      </c>
      <c r="AJ321" s="568">
        <f t="shared" ref="AJ321:BO321" si="121">AJ235</f>
        <v>22</v>
      </c>
      <c r="AK321" s="568">
        <f t="shared" si="121"/>
        <v>0</v>
      </c>
      <c r="AL321" s="568">
        <f t="shared" si="121"/>
        <v>0</v>
      </c>
      <c r="AM321" s="568">
        <f t="shared" si="121"/>
        <v>23</v>
      </c>
      <c r="AN321" s="568">
        <f t="shared" si="121"/>
        <v>23</v>
      </c>
      <c r="AO321" s="568">
        <f t="shared" si="121"/>
        <v>23</v>
      </c>
      <c r="AP321" s="568">
        <f t="shared" si="121"/>
        <v>23</v>
      </c>
      <c r="AQ321" s="568">
        <f t="shared" si="121"/>
        <v>22</v>
      </c>
      <c r="AR321" s="568">
        <f t="shared" si="121"/>
        <v>20</v>
      </c>
      <c r="AS321" s="568">
        <f t="shared" si="121"/>
        <v>0</v>
      </c>
      <c r="AT321" s="568">
        <f t="shared" si="121"/>
        <v>23</v>
      </c>
      <c r="AU321" s="568">
        <f t="shared" si="121"/>
        <v>23</v>
      </c>
      <c r="AV321" s="568">
        <f t="shared" si="121"/>
        <v>20</v>
      </c>
      <c r="AW321" s="568">
        <f t="shared" si="121"/>
        <v>23</v>
      </c>
      <c r="AX321" s="568">
        <f t="shared" si="121"/>
        <v>23</v>
      </c>
      <c r="AY321" s="568">
        <f t="shared" si="121"/>
        <v>22</v>
      </c>
      <c r="AZ321" s="568">
        <f t="shared" si="121"/>
        <v>20</v>
      </c>
      <c r="BA321" s="568">
        <f t="shared" si="121"/>
        <v>23</v>
      </c>
      <c r="BB321" s="568">
        <f t="shared" si="121"/>
        <v>22</v>
      </c>
      <c r="BC321" s="568">
        <f t="shared" si="121"/>
        <v>23</v>
      </c>
      <c r="BD321" s="568">
        <f t="shared" si="121"/>
        <v>23</v>
      </c>
      <c r="BE321" s="568">
        <f t="shared" si="121"/>
        <v>23</v>
      </c>
      <c r="BF321" s="568">
        <f t="shared" si="121"/>
        <v>22</v>
      </c>
      <c r="BG321" s="568">
        <f t="shared" si="121"/>
        <v>22</v>
      </c>
      <c r="BH321" s="568">
        <f t="shared" si="121"/>
        <v>23</v>
      </c>
      <c r="BI321" s="568">
        <f t="shared" si="121"/>
        <v>0</v>
      </c>
      <c r="BJ321" s="568">
        <f t="shared" si="121"/>
        <v>23</v>
      </c>
      <c r="BK321" s="568">
        <f t="shared" si="121"/>
        <v>22</v>
      </c>
      <c r="BL321" s="568">
        <f t="shared" si="121"/>
        <v>0</v>
      </c>
      <c r="BM321" s="568">
        <f t="shared" si="121"/>
        <v>23</v>
      </c>
      <c r="BN321" s="568">
        <f t="shared" si="121"/>
        <v>23</v>
      </c>
      <c r="BO321" s="568">
        <f t="shared" si="121"/>
        <v>23</v>
      </c>
      <c r="BP321" s="568">
        <f t="shared" ref="BP321:CZ321" si="122">BP235</f>
        <v>20</v>
      </c>
      <c r="BQ321" s="568">
        <f t="shared" si="122"/>
        <v>22</v>
      </c>
      <c r="BR321" s="568">
        <f t="shared" si="122"/>
        <v>23</v>
      </c>
      <c r="BS321" s="568">
        <f t="shared" si="122"/>
        <v>20</v>
      </c>
      <c r="BT321" s="568">
        <f t="shared" si="122"/>
        <v>23</v>
      </c>
      <c r="BU321" s="568">
        <f t="shared" si="122"/>
        <v>23</v>
      </c>
      <c r="BV321" s="568">
        <f t="shared" si="122"/>
        <v>23</v>
      </c>
      <c r="BW321" s="568">
        <f t="shared" si="122"/>
        <v>0</v>
      </c>
      <c r="BX321" s="568">
        <f t="shared" si="122"/>
        <v>23</v>
      </c>
      <c r="BY321" s="568">
        <f t="shared" si="122"/>
        <v>23</v>
      </c>
      <c r="BZ321" s="568">
        <f t="shared" si="122"/>
        <v>23</v>
      </c>
      <c r="CA321" s="568">
        <f t="shared" si="122"/>
        <v>23</v>
      </c>
      <c r="CB321" s="568">
        <f t="shared" si="122"/>
        <v>23</v>
      </c>
      <c r="CC321" s="568">
        <f t="shared" si="122"/>
        <v>0</v>
      </c>
      <c r="CD321" s="568">
        <f t="shared" si="122"/>
        <v>22</v>
      </c>
      <c r="CE321" s="568">
        <f t="shared" si="122"/>
        <v>0</v>
      </c>
      <c r="CF321" s="568">
        <f t="shared" si="122"/>
        <v>0</v>
      </c>
      <c r="CG321" s="568">
        <f t="shared" si="122"/>
        <v>0</v>
      </c>
      <c r="CH321" s="568">
        <f t="shared" si="122"/>
        <v>0</v>
      </c>
      <c r="CI321" s="568">
        <f t="shared" si="122"/>
        <v>0</v>
      </c>
      <c r="CJ321" s="568">
        <f t="shared" si="122"/>
        <v>0</v>
      </c>
      <c r="CK321" s="568">
        <f t="shared" si="122"/>
        <v>0</v>
      </c>
      <c r="CL321" s="568">
        <f t="shared" si="122"/>
        <v>0</v>
      </c>
      <c r="CM321" s="568">
        <f t="shared" si="122"/>
        <v>0</v>
      </c>
      <c r="CN321" s="568">
        <f t="shared" si="122"/>
        <v>0</v>
      </c>
      <c r="CO321" s="568">
        <f t="shared" si="122"/>
        <v>0</v>
      </c>
      <c r="CP321" s="568">
        <f t="shared" si="122"/>
        <v>0</v>
      </c>
      <c r="CQ321" s="568">
        <f t="shared" si="122"/>
        <v>0</v>
      </c>
      <c r="CR321" s="568">
        <f t="shared" si="122"/>
        <v>0</v>
      </c>
      <c r="CS321" s="568">
        <f t="shared" si="122"/>
        <v>0</v>
      </c>
      <c r="CT321" s="568">
        <f t="shared" si="122"/>
        <v>0</v>
      </c>
      <c r="CU321" s="568">
        <f t="shared" si="122"/>
        <v>0</v>
      </c>
      <c r="CV321" s="568">
        <f t="shared" si="122"/>
        <v>0</v>
      </c>
      <c r="CW321" s="568">
        <f t="shared" si="122"/>
        <v>0</v>
      </c>
      <c r="CX321" s="568">
        <f t="shared" si="122"/>
        <v>0</v>
      </c>
      <c r="CY321" s="568">
        <f t="shared" si="122"/>
        <v>0</v>
      </c>
      <c r="CZ321" s="568">
        <f t="shared" si="122"/>
        <v>0</v>
      </c>
    </row>
    <row r="322" spans="1:104" s="180" customFormat="1" x14ac:dyDescent="0.3">
      <c r="A322" s="556">
        <v>1055</v>
      </c>
      <c r="B322" s="557" t="s">
        <v>1708</v>
      </c>
      <c r="C322" s="180">
        <v>245</v>
      </c>
      <c r="D322" s="568">
        <f t="shared" ref="D322:AI322" si="123">D245</f>
        <v>0</v>
      </c>
      <c r="E322" s="568">
        <f t="shared" si="123"/>
        <v>2</v>
      </c>
      <c r="F322" s="568">
        <f t="shared" si="123"/>
        <v>2</v>
      </c>
      <c r="G322" s="568">
        <f t="shared" si="123"/>
        <v>2</v>
      </c>
      <c r="H322" s="568">
        <f t="shared" si="123"/>
        <v>2</v>
      </c>
      <c r="I322" s="568">
        <f t="shared" si="123"/>
        <v>2</v>
      </c>
      <c r="J322" s="568">
        <f t="shared" si="123"/>
        <v>2</v>
      </c>
      <c r="K322" s="568">
        <f t="shared" si="123"/>
        <v>2</v>
      </c>
      <c r="L322" s="568">
        <f t="shared" si="123"/>
        <v>2</v>
      </c>
      <c r="M322" s="568">
        <f t="shared" si="123"/>
        <v>2</v>
      </c>
      <c r="N322" s="568">
        <f t="shared" si="123"/>
        <v>2</v>
      </c>
      <c r="O322" s="568">
        <f t="shared" si="123"/>
        <v>2</v>
      </c>
      <c r="P322" s="568">
        <f t="shared" si="123"/>
        <v>2</v>
      </c>
      <c r="Q322" s="568">
        <f t="shared" si="123"/>
        <v>2</v>
      </c>
      <c r="R322" s="568">
        <f t="shared" si="123"/>
        <v>2</v>
      </c>
      <c r="S322" s="568">
        <f t="shared" si="123"/>
        <v>2</v>
      </c>
      <c r="T322" s="568">
        <f t="shared" si="123"/>
        <v>2</v>
      </c>
      <c r="U322" s="568">
        <f t="shared" si="123"/>
        <v>2</v>
      </c>
      <c r="V322" s="568">
        <f t="shared" si="123"/>
        <v>2</v>
      </c>
      <c r="W322" s="568">
        <f t="shared" si="123"/>
        <v>2</v>
      </c>
      <c r="X322" s="568">
        <f t="shared" si="123"/>
        <v>0</v>
      </c>
      <c r="Y322" s="568">
        <f t="shared" si="123"/>
        <v>2</v>
      </c>
      <c r="Z322" s="568">
        <f t="shared" si="123"/>
        <v>2</v>
      </c>
      <c r="AA322" s="568">
        <f t="shared" si="123"/>
        <v>2</v>
      </c>
      <c r="AB322" s="568">
        <f t="shared" si="123"/>
        <v>2</v>
      </c>
      <c r="AC322" s="568">
        <f t="shared" si="123"/>
        <v>2</v>
      </c>
      <c r="AD322" s="568">
        <f t="shared" si="123"/>
        <v>2</v>
      </c>
      <c r="AE322" s="568">
        <f t="shared" si="123"/>
        <v>2</v>
      </c>
      <c r="AF322" s="568">
        <f t="shared" si="123"/>
        <v>2</v>
      </c>
      <c r="AG322" s="568">
        <f t="shared" si="123"/>
        <v>2</v>
      </c>
      <c r="AH322" s="568">
        <f t="shared" si="123"/>
        <v>1</v>
      </c>
      <c r="AI322" s="568">
        <f t="shared" si="123"/>
        <v>2</v>
      </c>
      <c r="AJ322" s="568">
        <f t="shared" ref="AJ322:BO322" si="124">AJ245</f>
        <v>2</v>
      </c>
      <c r="AK322" s="568">
        <f t="shared" si="124"/>
        <v>0</v>
      </c>
      <c r="AL322" s="568">
        <f t="shared" si="124"/>
        <v>0</v>
      </c>
      <c r="AM322" s="568">
        <f t="shared" si="124"/>
        <v>2</v>
      </c>
      <c r="AN322" s="568">
        <f t="shared" si="124"/>
        <v>2</v>
      </c>
      <c r="AO322" s="568">
        <f t="shared" si="124"/>
        <v>2</v>
      </c>
      <c r="AP322" s="568">
        <f t="shared" si="124"/>
        <v>2</v>
      </c>
      <c r="AQ322" s="568">
        <f t="shared" si="124"/>
        <v>2</v>
      </c>
      <c r="AR322" s="568">
        <f t="shared" si="124"/>
        <v>2</v>
      </c>
      <c r="AS322" s="568">
        <f t="shared" si="124"/>
        <v>0</v>
      </c>
      <c r="AT322" s="568">
        <f t="shared" si="124"/>
        <v>1</v>
      </c>
      <c r="AU322" s="568">
        <f t="shared" si="124"/>
        <v>2</v>
      </c>
      <c r="AV322" s="568">
        <f t="shared" si="124"/>
        <v>2</v>
      </c>
      <c r="AW322" s="568">
        <f t="shared" si="124"/>
        <v>2</v>
      </c>
      <c r="AX322" s="568">
        <f t="shared" si="124"/>
        <v>2</v>
      </c>
      <c r="AY322" s="568">
        <f t="shared" si="124"/>
        <v>2</v>
      </c>
      <c r="AZ322" s="568">
        <f t="shared" si="124"/>
        <v>2</v>
      </c>
      <c r="BA322" s="568">
        <f t="shared" si="124"/>
        <v>2</v>
      </c>
      <c r="BB322" s="568">
        <f t="shared" si="124"/>
        <v>2</v>
      </c>
      <c r="BC322" s="568">
        <f t="shared" si="124"/>
        <v>2</v>
      </c>
      <c r="BD322" s="568">
        <f t="shared" si="124"/>
        <v>2</v>
      </c>
      <c r="BE322" s="568">
        <f t="shared" si="124"/>
        <v>2</v>
      </c>
      <c r="BF322" s="568">
        <f t="shared" si="124"/>
        <v>2</v>
      </c>
      <c r="BG322" s="568">
        <f t="shared" si="124"/>
        <v>1</v>
      </c>
      <c r="BH322" s="568">
        <f t="shared" si="124"/>
        <v>2</v>
      </c>
      <c r="BI322" s="568">
        <f t="shared" si="124"/>
        <v>2</v>
      </c>
      <c r="BJ322" s="568">
        <f t="shared" si="124"/>
        <v>2</v>
      </c>
      <c r="BK322" s="568">
        <f t="shared" si="124"/>
        <v>2</v>
      </c>
      <c r="BL322" s="568">
        <f t="shared" si="124"/>
        <v>0</v>
      </c>
      <c r="BM322" s="568">
        <f t="shared" si="124"/>
        <v>2</v>
      </c>
      <c r="BN322" s="568">
        <f t="shared" si="124"/>
        <v>2</v>
      </c>
      <c r="BO322" s="568">
        <f t="shared" si="124"/>
        <v>2</v>
      </c>
      <c r="BP322" s="568">
        <f t="shared" ref="BP322:CZ322" si="125">BP245</f>
        <v>2</v>
      </c>
      <c r="BQ322" s="568">
        <f t="shared" si="125"/>
        <v>2</v>
      </c>
      <c r="BR322" s="568">
        <f t="shared" si="125"/>
        <v>2</v>
      </c>
      <c r="BS322" s="568">
        <f t="shared" si="125"/>
        <v>2</v>
      </c>
      <c r="BT322" s="568">
        <f t="shared" si="125"/>
        <v>2</v>
      </c>
      <c r="BU322" s="568">
        <f t="shared" si="125"/>
        <v>2</v>
      </c>
      <c r="BV322" s="568">
        <f t="shared" si="125"/>
        <v>2</v>
      </c>
      <c r="BW322" s="568">
        <f t="shared" si="125"/>
        <v>2</v>
      </c>
      <c r="BX322" s="568">
        <f t="shared" si="125"/>
        <v>2</v>
      </c>
      <c r="BY322" s="568">
        <f t="shared" si="125"/>
        <v>2</v>
      </c>
      <c r="BZ322" s="568">
        <f t="shared" si="125"/>
        <v>1</v>
      </c>
      <c r="CA322" s="568">
        <f t="shared" si="125"/>
        <v>2</v>
      </c>
      <c r="CB322" s="568">
        <f t="shared" si="125"/>
        <v>2</v>
      </c>
      <c r="CC322" s="568">
        <f t="shared" si="125"/>
        <v>0</v>
      </c>
      <c r="CD322" s="568">
        <f t="shared" si="125"/>
        <v>2</v>
      </c>
      <c r="CE322" s="568">
        <f t="shared" si="125"/>
        <v>0</v>
      </c>
      <c r="CF322" s="568">
        <f t="shared" si="125"/>
        <v>0</v>
      </c>
      <c r="CG322" s="568">
        <f t="shared" si="125"/>
        <v>0</v>
      </c>
      <c r="CH322" s="568">
        <f t="shared" si="125"/>
        <v>0</v>
      </c>
      <c r="CI322" s="568">
        <f t="shared" si="125"/>
        <v>0</v>
      </c>
      <c r="CJ322" s="568">
        <f t="shared" si="125"/>
        <v>0</v>
      </c>
      <c r="CK322" s="568">
        <f t="shared" si="125"/>
        <v>0</v>
      </c>
      <c r="CL322" s="568">
        <f t="shared" si="125"/>
        <v>0</v>
      </c>
      <c r="CM322" s="568">
        <f t="shared" si="125"/>
        <v>0</v>
      </c>
      <c r="CN322" s="568">
        <f t="shared" si="125"/>
        <v>0</v>
      </c>
      <c r="CO322" s="568">
        <f t="shared" si="125"/>
        <v>0</v>
      </c>
      <c r="CP322" s="568">
        <f t="shared" si="125"/>
        <v>0</v>
      </c>
      <c r="CQ322" s="568">
        <f t="shared" si="125"/>
        <v>0</v>
      </c>
      <c r="CR322" s="568">
        <f t="shared" si="125"/>
        <v>0</v>
      </c>
      <c r="CS322" s="568">
        <f t="shared" si="125"/>
        <v>0</v>
      </c>
      <c r="CT322" s="568">
        <f t="shared" si="125"/>
        <v>0</v>
      </c>
      <c r="CU322" s="568">
        <f t="shared" si="125"/>
        <v>0</v>
      </c>
      <c r="CV322" s="568">
        <f t="shared" si="125"/>
        <v>0</v>
      </c>
      <c r="CW322" s="568">
        <f t="shared" si="125"/>
        <v>0</v>
      </c>
      <c r="CX322" s="568">
        <f t="shared" si="125"/>
        <v>0</v>
      </c>
      <c r="CY322" s="568">
        <f t="shared" si="125"/>
        <v>0</v>
      </c>
      <c r="CZ322" s="568">
        <f t="shared" si="125"/>
        <v>0</v>
      </c>
    </row>
    <row r="323" spans="1:104" s="180" customFormat="1" x14ac:dyDescent="0.3">
      <c r="A323" s="556">
        <v>1056</v>
      </c>
      <c r="B323" s="557" t="s">
        <v>1709</v>
      </c>
      <c r="C323" s="180">
        <v>246</v>
      </c>
      <c r="D323" s="568">
        <f t="shared" ref="D323:AI323" si="126">D246</f>
        <v>0</v>
      </c>
      <c r="E323" s="568">
        <f t="shared" si="126"/>
        <v>2</v>
      </c>
      <c r="F323" s="568">
        <f t="shared" si="126"/>
        <v>2</v>
      </c>
      <c r="G323" s="568">
        <f t="shared" si="126"/>
        <v>2</v>
      </c>
      <c r="H323" s="568">
        <f t="shared" si="126"/>
        <v>2</v>
      </c>
      <c r="I323" s="568">
        <f t="shared" si="126"/>
        <v>2</v>
      </c>
      <c r="J323" s="568">
        <f t="shared" si="126"/>
        <v>2</v>
      </c>
      <c r="K323" s="568">
        <f t="shared" si="126"/>
        <v>2</v>
      </c>
      <c r="L323" s="568">
        <f t="shared" si="126"/>
        <v>2</v>
      </c>
      <c r="M323" s="568">
        <f t="shared" si="126"/>
        <v>2</v>
      </c>
      <c r="N323" s="568">
        <f t="shared" si="126"/>
        <v>2</v>
      </c>
      <c r="O323" s="568">
        <f t="shared" si="126"/>
        <v>2</v>
      </c>
      <c r="P323" s="568">
        <f t="shared" si="126"/>
        <v>2</v>
      </c>
      <c r="Q323" s="568">
        <f t="shared" si="126"/>
        <v>2</v>
      </c>
      <c r="R323" s="568">
        <f t="shared" si="126"/>
        <v>2</v>
      </c>
      <c r="S323" s="568">
        <f t="shared" si="126"/>
        <v>2</v>
      </c>
      <c r="T323" s="568">
        <f t="shared" si="126"/>
        <v>2</v>
      </c>
      <c r="U323" s="568">
        <f t="shared" si="126"/>
        <v>2</v>
      </c>
      <c r="V323" s="568">
        <f t="shared" si="126"/>
        <v>2</v>
      </c>
      <c r="W323" s="568">
        <f t="shared" si="126"/>
        <v>2</v>
      </c>
      <c r="X323" s="568">
        <f t="shared" si="126"/>
        <v>0</v>
      </c>
      <c r="Y323" s="568">
        <f t="shared" si="126"/>
        <v>2</v>
      </c>
      <c r="Z323" s="568">
        <f t="shared" si="126"/>
        <v>2</v>
      </c>
      <c r="AA323" s="568">
        <f t="shared" si="126"/>
        <v>2</v>
      </c>
      <c r="AB323" s="568">
        <f t="shared" si="126"/>
        <v>2</v>
      </c>
      <c r="AC323" s="568">
        <f t="shared" si="126"/>
        <v>2</v>
      </c>
      <c r="AD323" s="568">
        <f t="shared" si="126"/>
        <v>2</v>
      </c>
      <c r="AE323" s="568">
        <f t="shared" si="126"/>
        <v>2</v>
      </c>
      <c r="AF323" s="568">
        <f t="shared" si="126"/>
        <v>2</v>
      </c>
      <c r="AG323" s="568">
        <f t="shared" si="126"/>
        <v>2</v>
      </c>
      <c r="AH323" s="568">
        <f t="shared" si="126"/>
        <v>2</v>
      </c>
      <c r="AI323" s="568">
        <f t="shared" si="126"/>
        <v>2</v>
      </c>
      <c r="AJ323" s="568">
        <f t="shared" ref="AJ323:BO323" si="127">AJ246</f>
        <v>2</v>
      </c>
      <c r="AK323" s="568">
        <f t="shared" si="127"/>
        <v>0</v>
      </c>
      <c r="AL323" s="568">
        <f t="shared" si="127"/>
        <v>0</v>
      </c>
      <c r="AM323" s="568">
        <f t="shared" si="127"/>
        <v>2</v>
      </c>
      <c r="AN323" s="568">
        <f t="shared" si="127"/>
        <v>2</v>
      </c>
      <c r="AO323" s="568">
        <f t="shared" si="127"/>
        <v>1</v>
      </c>
      <c r="AP323" s="568">
        <f t="shared" si="127"/>
        <v>2</v>
      </c>
      <c r="AQ323" s="568">
        <f t="shared" si="127"/>
        <v>2</v>
      </c>
      <c r="AR323" s="568">
        <f t="shared" si="127"/>
        <v>2</v>
      </c>
      <c r="AS323" s="568">
        <f t="shared" si="127"/>
        <v>0</v>
      </c>
      <c r="AT323" s="568">
        <f t="shared" si="127"/>
        <v>1</v>
      </c>
      <c r="AU323" s="568">
        <f t="shared" si="127"/>
        <v>2</v>
      </c>
      <c r="AV323" s="568">
        <f t="shared" si="127"/>
        <v>2</v>
      </c>
      <c r="AW323" s="568">
        <f t="shared" si="127"/>
        <v>2</v>
      </c>
      <c r="AX323" s="568">
        <f t="shared" si="127"/>
        <v>2</v>
      </c>
      <c r="AY323" s="568">
        <f t="shared" si="127"/>
        <v>2</v>
      </c>
      <c r="AZ323" s="568">
        <f t="shared" si="127"/>
        <v>2</v>
      </c>
      <c r="BA323" s="568">
        <f t="shared" si="127"/>
        <v>1</v>
      </c>
      <c r="BB323" s="568">
        <f t="shared" si="127"/>
        <v>2</v>
      </c>
      <c r="BC323" s="568">
        <f t="shared" si="127"/>
        <v>2</v>
      </c>
      <c r="BD323" s="568">
        <f t="shared" si="127"/>
        <v>2</v>
      </c>
      <c r="BE323" s="568">
        <f t="shared" si="127"/>
        <v>2</v>
      </c>
      <c r="BF323" s="568">
        <f t="shared" si="127"/>
        <v>2</v>
      </c>
      <c r="BG323" s="568">
        <f t="shared" si="127"/>
        <v>1</v>
      </c>
      <c r="BH323" s="568">
        <f t="shared" si="127"/>
        <v>2</v>
      </c>
      <c r="BI323" s="568">
        <f t="shared" si="127"/>
        <v>2</v>
      </c>
      <c r="BJ323" s="568">
        <f t="shared" si="127"/>
        <v>2</v>
      </c>
      <c r="BK323" s="568">
        <f t="shared" si="127"/>
        <v>2</v>
      </c>
      <c r="BL323" s="568">
        <f t="shared" si="127"/>
        <v>0</v>
      </c>
      <c r="BM323" s="568">
        <f t="shared" si="127"/>
        <v>2</v>
      </c>
      <c r="BN323" s="568">
        <f t="shared" si="127"/>
        <v>2</v>
      </c>
      <c r="BO323" s="568">
        <f t="shared" si="127"/>
        <v>2</v>
      </c>
      <c r="BP323" s="568">
        <f t="shared" ref="BP323:CZ323" si="128">BP246</f>
        <v>2</v>
      </c>
      <c r="BQ323" s="568">
        <f t="shared" si="128"/>
        <v>2</v>
      </c>
      <c r="BR323" s="568">
        <f t="shared" si="128"/>
        <v>2</v>
      </c>
      <c r="BS323" s="568">
        <f t="shared" si="128"/>
        <v>2</v>
      </c>
      <c r="BT323" s="568">
        <f t="shared" si="128"/>
        <v>1</v>
      </c>
      <c r="BU323" s="568">
        <f t="shared" si="128"/>
        <v>2</v>
      </c>
      <c r="BV323" s="568">
        <f t="shared" si="128"/>
        <v>2</v>
      </c>
      <c r="BW323" s="568">
        <f t="shared" si="128"/>
        <v>2</v>
      </c>
      <c r="BX323" s="568">
        <f t="shared" si="128"/>
        <v>2</v>
      </c>
      <c r="BY323" s="568">
        <f t="shared" si="128"/>
        <v>2</v>
      </c>
      <c r="BZ323" s="568">
        <f t="shared" si="128"/>
        <v>1</v>
      </c>
      <c r="CA323" s="568">
        <f t="shared" si="128"/>
        <v>2</v>
      </c>
      <c r="CB323" s="568">
        <f t="shared" si="128"/>
        <v>2</v>
      </c>
      <c r="CC323" s="568">
        <f t="shared" si="128"/>
        <v>0</v>
      </c>
      <c r="CD323" s="568">
        <f t="shared" si="128"/>
        <v>2</v>
      </c>
      <c r="CE323" s="568">
        <f t="shared" si="128"/>
        <v>0</v>
      </c>
      <c r="CF323" s="568">
        <f t="shared" si="128"/>
        <v>0</v>
      </c>
      <c r="CG323" s="568">
        <f t="shared" si="128"/>
        <v>0</v>
      </c>
      <c r="CH323" s="568">
        <f t="shared" si="128"/>
        <v>0</v>
      </c>
      <c r="CI323" s="568">
        <f t="shared" si="128"/>
        <v>0</v>
      </c>
      <c r="CJ323" s="568">
        <f t="shared" si="128"/>
        <v>0</v>
      </c>
      <c r="CK323" s="568">
        <f t="shared" si="128"/>
        <v>0</v>
      </c>
      <c r="CL323" s="568">
        <f t="shared" si="128"/>
        <v>0</v>
      </c>
      <c r="CM323" s="568">
        <f t="shared" si="128"/>
        <v>0</v>
      </c>
      <c r="CN323" s="568">
        <f t="shared" si="128"/>
        <v>0</v>
      </c>
      <c r="CO323" s="568">
        <f t="shared" si="128"/>
        <v>0</v>
      </c>
      <c r="CP323" s="568">
        <f t="shared" si="128"/>
        <v>0</v>
      </c>
      <c r="CQ323" s="568">
        <f t="shared" si="128"/>
        <v>0</v>
      </c>
      <c r="CR323" s="568">
        <f t="shared" si="128"/>
        <v>0</v>
      </c>
      <c r="CS323" s="568">
        <f t="shared" si="128"/>
        <v>0</v>
      </c>
      <c r="CT323" s="568">
        <f t="shared" si="128"/>
        <v>0</v>
      </c>
      <c r="CU323" s="568">
        <f t="shared" si="128"/>
        <v>0</v>
      </c>
      <c r="CV323" s="568">
        <f t="shared" si="128"/>
        <v>0</v>
      </c>
      <c r="CW323" s="568">
        <f t="shared" si="128"/>
        <v>0</v>
      </c>
      <c r="CX323" s="568">
        <f t="shared" si="128"/>
        <v>0</v>
      </c>
      <c r="CY323" s="568">
        <f t="shared" si="128"/>
        <v>0</v>
      </c>
      <c r="CZ323" s="568">
        <f t="shared" si="128"/>
        <v>0</v>
      </c>
    </row>
    <row r="324" spans="1:104" s="180" customFormat="1" x14ac:dyDescent="0.3">
      <c r="A324" s="556">
        <v>1057</v>
      </c>
      <c r="B324" s="557" t="s">
        <v>1519</v>
      </c>
      <c r="C324" s="180">
        <v>247</v>
      </c>
      <c r="D324" s="568">
        <f t="shared" ref="D324:AI324" si="129">D247</f>
        <v>0</v>
      </c>
      <c r="E324" s="568">
        <f t="shared" si="129"/>
        <v>2</v>
      </c>
      <c r="F324" s="568">
        <f t="shared" si="129"/>
        <v>2</v>
      </c>
      <c r="G324" s="568">
        <f t="shared" si="129"/>
        <v>2</v>
      </c>
      <c r="H324" s="568">
        <f t="shared" si="129"/>
        <v>2</v>
      </c>
      <c r="I324" s="568">
        <f t="shared" si="129"/>
        <v>2</v>
      </c>
      <c r="J324" s="568">
        <f t="shared" si="129"/>
        <v>2</v>
      </c>
      <c r="K324" s="568">
        <f t="shared" si="129"/>
        <v>2</v>
      </c>
      <c r="L324" s="568">
        <f t="shared" si="129"/>
        <v>2</v>
      </c>
      <c r="M324" s="568">
        <f t="shared" si="129"/>
        <v>2</v>
      </c>
      <c r="N324" s="568">
        <f t="shared" si="129"/>
        <v>2</v>
      </c>
      <c r="O324" s="568">
        <f t="shared" si="129"/>
        <v>2</v>
      </c>
      <c r="P324" s="568">
        <f t="shared" si="129"/>
        <v>1</v>
      </c>
      <c r="Q324" s="568">
        <f t="shared" si="129"/>
        <v>2</v>
      </c>
      <c r="R324" s="568">
        <f t="shared" si="129"/>
        <v>2</v>
      </c>
      <c r="S324" s="568">
        <f t="shared" si="129"/>
        <v>2</v>
      </c>
      <c r="T324" s="568">
        <f t="shared" si="129"/>
        <v>2</v>
      </c>
      <c r="U324" s="568">
        <f t="shared" si="129"/>
        <v>2</v>
      </c>
      <c r="V324" s="568">
        <f t="shared" si="129"/>
        <v>2</v>
      </c>
      <c r="W324" s="568">
        <f t="shared" si="129"/>
        <v>2</v>
      </c>
      <c r="X324" s="568">
        <f t="shared" si="129"/>
        <v>0</v>
      </c>
      <c r="Y324" s="568">
        <f t="shared" si="129"/>
        <v>2</v>
      </c>
      <c r="Z324" s="568">
        <f t="shared" si="129"/>
        <v>1</v>
      </c>
      <c r="AA324" s="568">
        <f t="shared" si="129"/>
        <v>2</v>
      </c>
      <c r="AB324" s="568">
        <f t="shared" si="129"/>
        <v>1</v>
      </c>
      <c r="AC324" s="568">
        <f t="shared" si="129"/>
        <v>2</v>
      </c>
      <c r="AD324" s="568">
        <f t="shared" si="129"/>
        <v>2</v>
      </c>
      <c r="AE324" s="568">
        <f t="shared" si="129"/>
        <v>2</v>
      </c>
      <c r="AF324" s="568">
        <f t="shared" si="129"/>
        <v>1</v>
      </c>
      <c r="AG324" s="568">
        <f t="shared" si="129"/>
        <v>2</v>
      </c>
      <c r="AH324" s="568">
        <f t="shared" si="129"/>
        <v>2</v>
      </c>
      <c r="AI324" s="568">
        <f t="shared" si="129"/>
        <v>1</v>
      </c>
      <c r="AJ324" s="568">
        <f t="shared" ref="AJ324:BO324" si="130">AJ247</f>
        <v>2</v>
      </c>
      <c r="AK324" s="568">
        <f t="shared" si="130"/>
        <v>0</v>
      </c>
      <c r="AL324" s="568">
        <f t="shared" si="130"/>
        <v>0</v>
      </c>
      <c r="AM324" s="568">
        <f t="shared" si="130"/>
        <v>2</v>
      </c>
      <c r="AN324" s="568">
        <f t="shared" si="130"/>
        <v>2</v>
      </c>
      <c r="AO324" s="568">
        <f t="shared" si="130"/>
        <v>2</v>
      </c>
      <c r="AP324" s="568">
        <f t="shared" si="130"/>
        <v>2</v>
      </c>
      <c r="AQ324" s="568">
        <f t="shared" si="130"/>
        <v>2</v>
      </c>
      <c r="AR324" s="568">
        <f t="shared" si="130"/>
        <v>2</v>
      </c>
      <c r="AS324" s="568">
        <f t="shared" si="130"/>
        <v>0</v>
      </c>
      <c r="AT324" s="568">
        <f t="shared" si="130"/>
        <v>1</v>
      </c>
      <c r="AU324" s="568">
        <f t="shared" si="130"/>
        <v>2</v>
      </c>
      <c r="AV324" s="568">
        <f t="shared" si="130"/>
        <v>2</v>
      </c>
      <c r="AW324" s="568">
        <f t="shared" si="130"/>
        <v>2</v>
      </c>
      <c r="AX324" s="568">
        <f t="shared" si="130"/>
        <v>2</v>
      </c>
      <c r="AY324" s="568">
        <f t="shared" si="130"/>
        <v>2</v>
      </c>
      <c r="AZ324" s="568">
        <f t="shared" si="130"/>
        <v>2</v>
      </c>
      <c r="BA324" s="568">
        <f t="shared" si="130"/>
        <v>2</v>
      </c>
      <c r="BB324" s="568">
        <f t="shared" si="130"/>
        <v>1</v>
      </c>
      <c r="BC324" s="568">
        <f t="shared" si="130"/>
        <v>2</v>
      </c>
      <c r="BD324" s="568">
        <f t="shared" si="130"/>
        <v>2</v>
      </c>
      <c r="BE324" s="568">
        <f t="shared" si="130"/>
        <v>2</v>
      </c>
      <c r="BF324" s="568">
        <f t="shared" si="130"/>
        <v>1</v>
      </c>
      <c r="BG324" s="568">
        <f t="shared" si="130"/>
        <v>2</v>
      </c>
      <c r="BH324" s="568">
        <f t="shared" si="130"/>
        <v>1</v>
      </c>
      <c r="BI324" s="568">
        <f t="shared" si="130"/>
        <v>2</v>
      </c>
      <c r="BJ324" s="568">
        <f t="shared" si="130"/>
        <v>2</v>
      </c>
      <c r="BK324" s="568">
        <f t="shared" si="130"/>
        <v>2</v>
      </c>
      <c r="BL324" s="568">
        <f t="shared" si="130"/>
        <v>0</v>
      </c>
      <c r="BM324" s="568">
        <f t="shared" si="130"/>
        <v>2</v>
      </c>
      <c r="BN324" s="568">
        <f t="shared" si="130"/>
        <v>2</v>
      </c>
      <c r="BO324" s="568">
        <f t="shared" si="130"/>
        <v>2</v>
      </c>
      <c r="BP324" s="568">
        <f t="shared" ref="BP324:CZ324" si="131">BP247</f>
        <v>2</v>
      </c>
      <c r="BQ324" s="568">
        <f t="shared" si="131"/>
        <v>2</v>
      </c>
      <c r="BR324" s="568">
        <f t="shared" si="131"/>
        <v>2</v>
      </c>
      <c r="BS324" s="568">
        <f t="shared" si="131"/>
        <v>1</v>
      </c>
      <c r="BT324" s="568">
        <f t="shared" si="131"/>
        <v>1</v>
      </c>
      <c r="BU324" s="568">
        <f t="shared" si="131"/>
        <v>2</v>
      </c>
      <c r="BV324" s="568">
        <f t="shared" si="131"/>
        <v>2</v>
      </c>
      <c r="BW324" s="568">
        <f t="shared" si="131"/>
        <v>1</v>
      </c>
      <c r="BX324" s="568">
        <f t="shared" si="131"/>
        <v>2</v>
      </c>
      <c r="BY324" s="568">
        <f t="shared" si="131"/>
        <v>2</v>
      </c>
      <c r="BZ324" s="568">
        <f t="shared" si="131"/>
        <v>1</v>
      </c>
      <c r="CA324" s="568">
        <f t="shared" si="131"/>
        <v>2</v>
      </c>
      <c r="CB324" s="568">
        <f t="shared" si="131"/>
        <v>1</v>
      </c>
      <c r="CC324" s="568">
        <f t="shared" si="131"/>
        <v>0</v>
      </c>
      <c r="CD324" s="568">
        <f t="shared" si="131"/>
        <v>2</v>
      </c>
      <c r="CE324" s="568">
        <f t="shared" si="131"/>
        <v>0</v>
      </c>
      <c r="CF324" s="568">
        <f t="shared" si="131"/>
        <v>0</v>
      </c>
      <c r="CG324" s="568">
        <f t="shared" si="131"/>
        <v>0</v>
      </c>
      <c r="CH324" s="568">
        <f t="shared" si="131"/>
        <v>0</v>
      </c>
      <c r="CI324" s="568">
        <f t="shared" si="131"/>
        <v>0</v>
      </c>
      <c r="CJ324" s="568">
        <f t="shared" si="131"/>
        <v>0</v>
      </c>
      <c r="CK324" s="568">
        <f t="shared" si="131"/>
        <v>0</v>
      </c>
      <c r="CL324" s="568">
        <f t="shared" si="131"/>
        <v>0</v>
      </c>
      <c r="CM324" s="568">
        <f t="shared" si="131"/>
        <v>0</v>
      </c>
      <c r="CN324" s="568">
        <f t="shared" si="131"/>
        <v>0</v>
      </c>
      <c r="CO324" s="568">
        <f t="shared" si="131"/>
        <v>0</v>
      </c>
      <c r="CP324" s="568">
        <f t="shared" si="131"/>
        <v>0</v>
      </c>
      <c r="CQ324" s="568">
        <f t="shared" si="131"/>
        <v>0</v>
      </c>
      <c r="CR324" s="568">
        <f t="shared" si="131"/>
        <v>0</v>
      </c>
      <c r="CS324" s="568">
        <f t="shared" si="131"/>
        <v>0</v>
      </c>
      <c r="CT324" s="568">
        <f t="shared" si="131"/>
        <v>0</v>
      </c>
      <c r="CU324" s="568">
        <f t="shared" si="131"/>
        <v>0</v>
      </c>
      <c r="CV324" s="568">
        <f t="shared" si="131"/>
        <v>0</v>
      </c>
      <c r="CW324" s="568">
        <f t="shared" si="131"/>
        <v>0</v>
      </c>
      <c r="CX324" s="568">
        <f t="shared" si="131"/>
        <v>0</v>
      </c>
      <c r="CY324" s="568">
        <f t="shared" si="131"/>
        <v>0</v>
      </c>
      <c r="CZ324" s="568">
        <f t="shared" si="131"/>
        <v>0</v>
      </c>
    </row>
    <row r="325" spans="1:104" s="180" customFormat="1" x14ac:dyDescent="0.3">
      <c r="A325" s="556">
        <v>1058</v>
      </c>
      <c r="B325" s="557" t="s">
        <v>1520</v>
      </c>
      <c r="C325" s="180">
        <v>248</v>
      </c>
      <c r="D325" s="568">
        <f t="shared" ref="D325:AI325" si="132">D248</f>
        <v>0</v>
      </c>
      <c r="E325" s="568">
        <f t="shared" si="132"/>
        <v>2</v>
      </c>
      <c r="F325" s="568">
        <f t="shared" si="132"/>
        <v>2</v>
      </c>
      <c r="G325" s="568">
        <f t="shared" si="132"/>
        <v>2</v>
      </c>
      <c r="H325" s="568">
        <f t="shared" si="132"/>
        <v>2</v>
      </c>
      <c r="I325" s="568">
        <f t="shared" si="132"/>
        <v>2</v>
      </c>
      <c r="J325" s="568">
        <f t="shared" si="132"/>
        <v>2</v>
      </c>
      <c r="K325" s="568">
        <f t="shared" si="132"/>
        <v>2</v>
      </c>
      <c r="L325" s="568">
        <f t="shared" si="132"/>
        <v>2</v>
      </c>
      <c r="M325" s="568">
        <f t="shared" si="132"/>
        <v>2</v>
      </c>
      <c r="N325" s="568">
        <f t="shared" si="132"/>
        <v>2</v>
      </c>
      <c r="O325" s="568">
        <f t="shared" si="132"/>
        <v>2</v>
      </c>
      <c r="P325" s="568">
        <f t="shared" si="132"/>
        <v>2</v>
      </c>
      <c r="Q325" s="568">
        <f t="shared" si="132"/>
        <v>2</v>
      </c>
      <c r="R325" s="568">
        <f t="shared" si="132"/>
        <v>2</v>
      </c>
      <c r="S325" s="568">
        <f t="shared" si="132"/>
        <v>2</v>
      </c>
      <c r="T325" s="568">
        <f t="shared" si="132"/>
        <v>2</v>
      </c>
      <c r="U325" s="568">
        <f t="shared" si="132"/>
        <v>2</v>
      </c>
      <c r="V325" s="568">
        <f t="shared" si="132"/>
        <v>2</v>
      </c>
      <c r="W325" s="568">
        <f t="shared" si="132"/>
        <v>2</v>
      </c>
      <c r="X325" s="568">
        <f t="shared" si="132"/>
        <v>0</v>
      </c>
      <c r="Y325" s="568">
        <f t="shared" si="132"/>
        <v>2</v>
      </c>
      <c r="Z325" s="568">
        <f t="shared" si="132"/>
        <v>1</v>
      </c>
      <c r="AA325" s="568">
        <f t="shared" si="132"/>
        <v>2</v>
      </c>
      <c r="AB325" s="568">
        <f t="shared" si="132"/>
        <v>2</v>
      </c>
      <c r="AC325" s="568">
        <f t="shared" si="132"/>
        <v>2</v>
      </c>
      <c r="AD325" s="568">
        <f t="shared" si="132"/>
        <v>2</v>
      </c>
      <c r="AE325" s="568">
        <f t="shared" si="132"/>
        <v>2</v>
      </c>
      <c r="AF325" s="568">
        <f t="shared" si="132"/>
        <v>2</v>
      </c>
      <c r="AG325" s="568">
        <f t="shared" si="132"/>
        <v>2</v>
      </c>
      <c r="AH325" s="568">
        <f t="shared" si="132"/>
        <v>2</v>
      </c>
      <c r="AI325" s="568">
        <f t="shared" si="132"/>
        <v>1</v>
      </c>
      <c r="AJ325" s="568">
        <f t="shared" ref="AJ325:BO325" si="133">AJ248</f>
        <v>2</v>
      </c>
      <c r="AK325" s="568">
        <f t="shared" si="133"/>
        <v>0</v>
      </c>
      <c r="AL325" s="568">
        <f t="shared" si="133"/>
        <v>0</v>
      </c>
      <c r="AM325" s="568">
        <f t="shared" si="133"/>
        <v>2</v>
      </c>
      <c r="AN325" s="568">
        <f t="shared" si="133"/>
        <v>2</v>
      </c>
      <c r="AO325" s="568">
        <f t="shared" si="133"/>
        <v>2</v>
      </c>
      <c r="AP325" s="568">
        <f t="shared" si="133"/>
        <v>1</v>
      </c>
      <c r="AQ325" s="568">
        <f t="shared" si="133"/>
        <v>2</v>
      </c>
      <c r="AR325" s="568">
        <f t="shared" si="133"/>
        <v>2</v>
      </c>
      <c r="AS325" s="568">
        <f t="shared" si="133"/>
        <v>0</v>
      </c>
      <c r="AT325" s="568">
        <f t="shared" si="133"/>
        <v>2</v>
      </c>
      <c r="AU325" s="568">
        <f t="shared" si="133"/>
        <v>2</v>
      </c>
      <c r="AV325" s="568">
        <f t="shared" si="133"/>
        <v>2</v>
      </c>
      <c r="AW325" s="568">
        <f t="shared" si="133"/>
        <v>2</v>
      </c>
      <c r="AX325" s="568">
        <f t="shared" si="133"/>
        <v>2</v>
      </c>
      <c r="AY325" s="568">
        <f t="shared" si="133"/>
        <v>2</v>
      </c>
      <c r="AZ325" s="568">
        <f t="shared" si="133"/>
        <v>2</v>
      </c>
      <c r="BA325" s="568">
        <f t="shared" si="133"/>
        <v>1</v>
      </c>
      <c r="BB325" s="568">
        <f t="shared" si="133"/>
        <v>2</v>
      </c>
      <c r="BC325" s="568">
        <f t="shared" si="133"/>
        <v>2</v>
      </c>
      <c r="BD325" s="568">
        <f t="shared" si="133"/>
        <v>2</v>
      </c>
      <c r="BE325" s="568">
        <f t="shared" si="133"/>
        <v>2</v>
      </c>
      <c r="BF325" s="568">
        <f t="shared" si="133"/>
        <v>2</v>
      </c>
      <c r="BG325" s="568">
        <f t="shared" si="133"/>
        <v>2</v>
      </c>
      <c r="BH325" s="568">
        <f t="shared" si="133"/>
        <v>2</v>
      </c>
      <c r="BI325" s="568">
        <f t="shared" si="133"/>
        <v>2</v>
      </c>
      <c r="BJ325" s="568">
        <f t="shared" si="133"/>
        <v>2</v>
      </c>
      <c r="BK325" s="568">
        <f t="shared" si="133"/>
        <v>1</v>
      </c>
      <c r="BL325" s="568">
        <f t="shared" si="133"/>
        <v>0</v>
      </c>
      <c r="BM325" s="568">
        <f t="shared" si="133"/>
        <v>2</v>
      </c>
      <c r="BN325" s="568">
        <f t="shared" si="133"/>
        <v>2</v>
      </c>
      <c r="BO325" s="568">
        <f t="shared" si="133"/>
        <v>2</v>
      </c>
      <c r="BP325" s="568">
        <f t="shared" ref="BP325:CZ325" si="134">BP248</f>
        <v>2</v>
      </c>
      <c r="BQ325" s="568">
        <f t="shared" si="134"/>
        <v>2</v>
      </c>
      <c r="BR325" s="568">
        <f t="shared" si="134"/>
        <v>2</v>
      </c>
      <c r="BS325" s="568">
        <f t="shared" si="134"/>
        <v>2</v>
      </c>
      <c r="BT325" s="568">
        <f t="shared" si="134"/>
        <v>1</v>
      </c>
      <c r="BU325" s="568">
        <f t="shared" si="134"/>
        <v>2</v>
      </c>
      <c r="BV325" s="568">
        <f t="shared" si="134"/>
        <v>2</v>
      </c>
      <c r="BW325" s="568">
        <f t="shared" si="134"/>
        <v>2</v>
      </c>
      <c r="BX325" s="568">
        <f t="shared" si="134"/>
        <v>2</v>
      </c>
      <c r="BY325" s="568">
        <f t="shared" si="134"/>
        <v>2</v>
      </c>
      <c r="BZ325" s="568">
        <f t="shared" si="134"/>
        <v>2</v>
      </c>
      <c r="CA325" s="568">
        <f t="shared" si="134"/>
        <v>2</v>
      </c>
      <c r="CB325" s="568">
        <f t="shared" si="134"/>
        <v>1</v>
      </c>
      <c r="CC325" s="568">
        <f t="shared" si="134"/>
        <v>0</v>
      </c>
      <c r="CD325" s="568">
        <f t="shared" si="134"/>
        <v>2</v>
      </c>
      <c r="CE325" s="568">
        <f t="shared" si="134"/>
        <v>0</v>
      </c>
      <c r="CF325" s="568">
        <f t="shared" si="134"/>
        <v>0</v>
      </c>
      <c r="CG325" s="568">
        <f t="shared" si="134"/>
        <v>0</v>
      </c>
      <c r="CH325" s="568">
        <f t="shared" si="134"/>
        <v>0</v>
      </c>
      <c r="CI325" s="568">
        <f t="shared" si="134"/>
        <v>0</v>
      </c>
      <c r="CJ325" s="568">
        <f t="shared" si="134"/>
        <v>0</v>
      </c>
      <c r="CK325" s="568">
        <f t="shared" si="134"/>
        <v>0</v>
      </c>
      <c r="CL325" s="568">
        <f t="shared" si="134"/>
        <v>0</v>
      </c>
      <c r="CM325" s="568">
        <f t="shared" si="134"/>
        <v>0</v>
      </c>
      <c r="CN325" s="568">
        <f t="shared" si="134"/>
        <v>0</v>
      </c>
      <c r="CO325" s="568">
        <f t="shared" si="134"/>
        <v>0</v>
      </c>
      <c r="CP325" s="568">
        <f t="shared" si="134"/>
        <v>0</v>
      </c>
      <c r="CQ325" s="568">
        <f t="shared" si="134"/>
        <v>0</v>
      </c>
      <c r="CR325" s="568">
        <f t="shared" si="134"/>
        <v>0</v>
      </c>
      <c r="CS325" s="568">
        <f t="shared" si="134"/>
        <v>0</v>
      </c>
      <c r="CT325" s="568">
        <f t="shared" si="134"/>
        <v>0</v>
      </c>
      <c r="CU325" s="568">
        <f t="shared" si="134"/>
        <v>0</v>
      </c>
      <c r="CV325" s="568">
        <f t="shared" si="134"/>
        <v>0</v>
      </c>
      <c r="CW325" s="568">
        <f t="shared" si="134"/>
        <v>0</v>
      </c>
      <c r="CX325" s="568">
        <f t="shared" si="134"/>
        <v>0</v>
      </c>
      <c r="CY325" s="568">
        <f t="shared" si="134"/>
        <v>0</v>
      </c>
      <c r="CZ325" s="568">
        <f t="shared" si="134"/>
        <v>0</v>
      </c>
    </row>
    <row r="326" spans="1:104" s="180" customFormat="1" x14ac:dyDescent="0.3">
      <c r="A326" s="556">
        <v>1059</v>
      </c>
      <c r="B326" s="557" t="s">
        <v>1710</v>
      </c>
      <c r="C326" s="180">
        <v>249</v>
      </c>
      <c r="D326" s="568">
        <f t="shared" ref="D326:AI326" si="135">D249</f>
        <v>0</v>
      </c>
      <c r="E326" s="568">
        <f t="shared" si="135"/>
        <v>1</v>
      </c>
      <c r="F326" s="568">
        <f t="shared" si="135"/>
        <v>1</v>
      </c>
      <c r="G326" s="568">
        <f t="shared" si="135"/>
        <v>1</v>
      </c>
      <c r="H326" s="568">
        <f t="shared" si="135"/>
        <v>1</v>
      </c>
      <c r="I326" s="568">
        <f t="shared" si="135"/>
        <v>1</v>
      </c>
      <c r="J326" s="568">
        <f t="shared" si="135"/>
        <v>1</v>
      </c>
      <c r="K326" s="568">
        <f t="shared" si="135"/>
        <v>1</v>
      </c>
      <c r="L326" s="568">
        <f t="shared" si="135"/>
        <v>1</v>
      </c>
      <c r="M326" s="568">
        <f t="shared" si="135"/>
        <v>1</v>
      </c>
      <c r="N326" s="568">
        <f t="shared" si="135"/>
        <v>1</v>
      </c>
      <c r="O326" s="568">
        <f t="shared" si="135"/>
        <v>1</v>
      </c>
      <c r="P326" s="568">
        <f t="shared" si="135"/>
        <v>1</v>
      </c>
      <c r="Q326" s="568">
        <f t="shared" si="135"/>
        <v>1</v>
      </c>
      <c r="R326" s="568">
        <f t="shared" si="135"/>
        <v>1</v>
      </c>
      <c r="S326" s="568">
        <f t="shared" si="135"/>
        <v>1</v>
      </c>
      <c r="T326" s="568">
        <f t="shared" si="135"/>
        <v>1</v>
      </c>
      <c r="U326" s="568">
        <f t="shared" si="135"/>
        <v>1</v>
      </c>
      <c r="V326" s="568">
        <f t="shared" si="135"/>
        <v>1</v>
      </c>
      <c r="W326" s="568">
        <f t="shared" si="135"/>
        <v>1</v>
      </c>
      <c r="X326" s="568">
        <f t="shared" si="135"/>
        <v>0</v>
      </c>
      <c r="Y326" s="568">
        <f t="shared" si="135"/>
        <v>1</v>
      </c>
      <c r="Z326" s="568">
        <f t="shared" si="135"/>
        <v>1</v>
      </c>
      <c r="AA326" s="568">
        <f t="shared" si="135"/>
        <v>1</v>
      </c>
      <c r="AB326" s="568">
        <f t="shared" si="135"/>
        <v>1</v>
      </c>
      <c r="AC326" s="568">
        <f t="shared" si="135"/>
        <v>1</v>
      </c>
      <c r="AD326" s="568">
        <f t="shared" si="135"/>
        <v>1</v>
      </c>
      <c r="AE326" s="568">
        <f t="shared" si="135"/>
        <v>1</v>
      </c>
      <c r="AF326" s="568">
        <f t="shared" si="135"/>
        <v>1</v>
      </c>
      <c r="AG326" s="568">
        <f t="shared" si="135"/>
        <v>1</v>
      </c>
      <c r="AH326" s="568">
        <f t="shared" si="135"/>
        <v>1</v>
      </c>
      <c r="AI326" s="568">
        <f t="shared" si="135"/>
        <v>1</v>
      </c>
      <c r="AJ326" s="568">
        <f t="shared" ref="AJ326:BO326" si="136">AJ249</f>
        <v>1</v>
      </c>
      <c r="AK326" s="568">
        <f t="shared" si="136"/>
        <v>0</v>
      </c>
      <c r="AL326" s="568">
        <f t="shared" si="136"/>
        <v>0</v>
      </c>
      <c r="AM326" s="568">
        <f t="shared" si="136"/>
        <v>1</v>
      </c>
      <c r="AN326" s="568">
        <f t="shared" si="136"/>
        <v>1</v>
      </c>
      <c r="AO326" s="568">
        <f t="shared" si="136"/>
        <v>1</v>
      </c>
      <c r="AP326" s="568">
        <f t="shared" si="136"/>
        <v>1</v>
      </c>
      <c r="AQ326" s="568">
        <f t="shared" si="136"/>
        <v>1</v>
      </c>
      <c r="AR326" s="568">
        <f t="shared" si="136"/>
        <v>1</v>
      </c>
      <c r="AS326" s="568">
        <f t="shared" si="136"/>
        <v>0</v>
      </c>
      <c r="AT326" s="568">
        <f t="shared" si="136"/>
        <v>1</v>
      </c>
      <c r="AU326" s="568">
        <f t="shared" si="136"/>
        <v>1</v>
      </c>
      <c r="AV326" s="568">
        <f t="shared" si="136"/>
        <v>1</v>
      </c>
      <c r="AW326" s="568">
        <f t="shared" si="136"/>
        <v>1</v>
      </c>
      <c r="AX326" s="568">
        <f t="shared" si="136"/>
        <v>1</v>
      </c>
      <c r="AY326" s="568">
        <f t="shared" si="136"/>
        <v>1</v>
      </c>
      <c r="AZ326" s="568">
        <f t="shared" si="136"/>
        <v>1</v>
      </c>
      <c r="BA326" s="568">
        <f t="shared" si="136"/>
        <v>1</v>
      </c>
      <c r="BB326" s="568">
        <f t="shared" si="136"/>
        <v>1</v>
      </c>
      <c r="BC326" s="568">
        <f t="shared" si="136"/>
        <v>1</v>
      </c>
      <c r="BD326" s="568">
        <f t="shared" si="136"/>
        <v>1</v>
      </c>
      <c r="BE326" s="568">
        <f t="shared" si="136"/>
        <v>1</v>
      </c>
      <c r="BF326" s="568">
        <f t="shared" si="136"/>
        <v>2</v>
      </c>
      <c r="BG326" s="568">
        <f t="shared" si="136"/>
        <v>1</v>
      </c>
      <c r="BH326" s="568">
        <f t="shared" si="136"/>
        <v>1</v>
      </c>
      <c r="BI326" s="568">
        <f t="shared" si="136"/>
        <v>1</v>
      </c>
      <c r="BJ326" s="568">
        <f t="shared" si="136"/>
        <v>1</v>
      </c>
      <c r="BK326" s="568">
        <f t="shared" si="136"/>
        <v>1</v>
      </c>
      <c r="BL326" s="568">
        <f t="shared" si="136"/>
        <v>0</v>
      </c>
      <c r="BM326" s="568">
        <f t="shared" si="136"/>
        <v>1</v>
      </c>
      <c r="BN326" s="568">
        <f t="shared" si="136"/>
        <v>1</v>
      </c>
      <c r="BO326" s="568">
        <f t="shared" si="136"/>
        <v>1</v>
      </c>
      <c r="BP326" s="568">
        <f t="shared" ref="BP326:CZ326" si="137">BP249</f>
        <v>1</v>
      </c>
      <c r="BQ326" s="568">
        <f t="shared" si="137"/>
        <v>1</v>
      </c>
      <c r="BR326" s="568">
        <f t="shared" si="137"/>
        <v>1</v>
      </c>
      <c r="BS326" s="568">
        <f t="shared" si="137"/>
        <v>1</v>
      </c>
      <c r="BT326" s="568">
        <f t="shared" si="137"/>
        <v>1</v>
      </c>
      <c r="BU326" s="568">
        <f t="shared" si="137"/>
        <v>1</v>
      </c>
      <c r="BV326" s="568">
        <f t="shared" si="137"/>
        <v>1</v>
      </c>
      <c r="BW326" s="568">
        <f t="shared" si="137"/>
        <v>1</v>
      </c>
      <c r="BX326" s="568">
        <f t="shared" si="137"/>
        <v>1</v>
      </c>
      <c r="BY326" s="568">
        <f t="shared" si="137"/>
        <v>1</v>
      </c>
      <c r="BZ326" s="568">
        <f t="shared" si="137"/>
        <v>1</v>
      </c>
      <c r="CA326" s="568">
        <f t="shared" si="137"/>
        <v>1</v>
      </c>
      <c r="CB326" s="568">
        <f t="shared" si="137"/>
        <v>1</v>
      </c>
      <c r="CC326" s="568">
        <f t="shared" si="137"/>
        <v>0</v>
      </c>
      <c r="CD326" s="568">
        <f t="shared" si="137"/>
        <v>1</v>
      </c>
      <c r="CE326" s="568">
        <f t="shared" si="137"/>
        <v>0</v>
      </c>
      <c r="CF326" s="568">
        <f t="shared" si="137"/>
        <v>0</v>
      </c>
      <c r="CG326" s="568">
        <f t="shared" si="137"/>
        <v>0</v>
      </c>
      <c r="CH326" s="568">
        <f t="shared" si="137"/>
        <v>0</v>
      </c>
      <c r="CI326" s="568">
        <f t="shared" si="137"/>
        <v>0</v>
      </c>
      <c r="CJ326" s="568">
        <f t="shared" si="137"/>
        <v>0</v>
      </c>
      <c r="CK326" s="568">
        <f t="shared" si="137"/>
        <v>0</v>
      </c>
      <c r="CL326" s="568">
        <f t="shared" si="137"/>
        <v>0</v>
      </c>
      <c r="CM326" s="568">
        <f t="shared" si="137"/>
        <v>0</v>
      </c>
      <c r="CN326" s="568">
        <f t="shared" si="137"/>
        <v>0</v>
      </c>
      <c r="CO326" s="568">
        <f t="shared" si="137"/>
        <v>0</v>
      </c>
      <c r="CP326" s="568">
        <f t="shared" si="137"/>
        <v>0</v>
      </c>
      <c r="CQ326" s="568">
        <f t="shared" si="137"/>
        <v>0</v>
      </c>
      <c r="CR326" s="568">
        <f t="shared" si="137"/>
        <v>0</v>
      </c>
      <c r="CS326" s="568">
        <f t="shared" si="137"/>
        <v>0</v>
      </c>
      <c r="CT326" s="568">
        <f t="shared" si="137"/>
        <v>0</v>
      </c>
      <c r="CU326" s="568">
        <f t="shared" si="137"/>
        <v>0</v>
      </c>
      <c r="CV326" s="568">
        <f t="shared" si="137"/>
        <v>0</v>
      </c>
      <c r="CW326" s="568">
        <f t="shared" si="137"/>
        <v>0</v>
      </c>
      <c r="CX326" s="568">
        <f t="shared" si="137"/>
        <v>0</v>
      </c>
      <c r="CY326" s="568">
        <f t="shared" si="137"/>
        <v>0</v>
      </c>
      <c r="CZ326" s="568">
        <f t="shared" si="137"/>
        <v>0</v>
      </c>
    </row>
    <row r="327" spans="1:104" s="562" customFormat="1" x14ac:dyDescent="0.3">
      <c r="A327" s="561" t="s">
        <v>1059</v>
      </c>
      <c r="D327" s="562">
        <f>SUM(D285:D326)</f>
        <v>50304.01</v>
      </c>
      <c r="E327" s="562">
        <f t="shared" ref="E327:BP327" si="138">SUM(E285:E326)</f>
        <v>573272</v>
      </c>
      <c r="F327" s="562">
        <f t="shared" si="138"/>
        <v>4039922.01</v>
      </c>
      <c r="G327" s="251">
        <f>SUM(G285:G326)</f>
        <v>15600858</v>
      </c>
      <c r="H327" s="562">
        <f t="shared" si="138"/>
        <v>12226463</v>
      </c>
      <c r="I327" s="562">
        <f t="shared" si="138"/>
        <v>14965806</v>
      </c>
      <c r="J327" s="562">
        <f t="shared" si="138"/>
        <v>334973.01</v>
      </c>
      <c r="K327" s="562">
        <f t="shared" si="138"/>
        <v>3465565</v>
      </c>
      <c r="L327" s="562">
        <f t="shared" si="138"/>
        <v>1672388</v>
      </c>
      <c r="M327" s="562">
        <f t="shared" si="138"/>
        <v>128963577</v>
      </c>
      <c r="N327" s="562">
        <f t="shared" si="138"/>
        <v>1902679</v>
      </c>
      <c r="O327" s="562">
        <f t="shared" si="138"/>
        <v>26151916.009999998</v>
      </c>
      <c r="P327" s="562">
        <f t="shared" si="138"/>
        <v>604718</v>
      </c>
      <c r="Q327" s="562">
        <f t="shared" si="138"/>
        <v>488163563.07999998</v>
      </c>
      <c r="R327" s="562">
        <f t="shared" si="138"/>
        <v>10619728.01</v>
      </c>
      <c r="S327" s="562">
        <f t="shared" si="138"/>
        <v>402937</v>
      </c>
      <c r="T327" s="562">
        <f t="shared" si="138"/>
        <v>582806561.00999999</v>
      </c>
      <c r="U327" s="562">
        <f t="shared" si="138"/>
        <v>125463020.01000001</v>
      </c>
      <c r="V327" s="562">
        <f t="shared" si="138"/>
        <v>182286370.07999998</v>
      </c>
      <c r="W327" s="562">
        <f t="shared" si="138"/>
        <v>369478158</v>
      </c>
      <c r="X327" s="562">
        <f t="shared" si="138"/>
        <v>50315.01</v>
      </c>
      <c r="Y327" s="562">
        <f t="shared" si="138"/>
        <v>80242412.00999999</v>
      </c>
      <c r="Z327" s="562">
        <f t="shared" si="138"/>
        <v>6879452.0099999998</v>
      </c>
      <c r="AA327" s="562">
        <f t="shared" si="138"/>
        <v>113810873.00999999</v>
      </c>
      <c r="AB327" s="562">
        <f t="shared" si="138"/>
        <v>26474616.009999998</v>
      </c>
      <c r="AC327" s="562">
        <f t="shared" si="138"/>
        <v>10090527.01</v>
      </c>
      <c r="AD327" s="562">
        <f t="shared" si="138"/>
        <v>6490793.0099999998</v>
      </c>
      <c r="AE327" s="562">
        <f t="shared" si="138"/>
        <v>14430263.049999999</v>
      </c>
      <c r="AF327" s="562">
        <f t="shared" si="138"/>
        <v>119008596.01000001</v>
      </c>
      <c r="AG327" s="562">
        <f t="shared" si="138"/>
        <v>21739973.010000002</v>
      </c>
      <c r="AH327" s="562">
        <f t="shared" si="138"/>
        <v>4914727</v>
      </c>
      <c r="AI327" s="562">
        <f t="shared" si="138"/>
        <v>313065947.09000003</v>
      </c>
      <c r="AJ327" s="562">
        <f t="shared" si="138"/>
        <v>9308422.0099999998</v>
      </c>
      <c r="AK327" s="562">
        <f t="shared" si="138"/>
        <v>50326.01</v>
      </c>
      <c r="AL327" s="562">
        <f t="shared" si="138"/>
        <v>50328.01</v>
      </c>
      <c r="AM327" s="562">
        <f t="shared" si="138"/>
        <v>96831087.079999998</v>
      </c>
      <c r="AN327" s="562">
        <f t="shared" si="138"/>
        <v>1899149.01</v>
      </c>
      <c r="AO327" s="562">
        <f t="shared" si="138"/>
        <v>2274991.0099999998</v>
      </c>
      <c r="AP327" s="562">
        <f t="shared" si="138"/>
        <v>236920</v>
      </c>
      <c r="AQ327" s="562">
        <f t="shared" si="138"/>
        <v>75468895</v>
      </c>
      <c r="AR327" s="562">
        <f t="shared" si="138"/>
        <v>158137457.00999999</v>
      </c>
      <c r="AS327" s="562">
        <f t="shared" si="138"/>
        <v>50575</v>
      </c>
      <c r="AT327" s="562">
        <f t="shared" si="138"/>
        <v>22206688.009999998</v>
      </c>
      <c r="AU327" s="562">
        <f t="shared" si="138"/>
        <v>1650048.0899999999</v>
      </c>
      <c r="AV327" s="562">
        <f t="shared" si="138"/>
        <v>144617602.00999999</v>
      </c>
      <c r="AW327" s="562">
        <f t="shared" si="138"/>
        <v>18011753</v>
      </c>
      <c r="AX327" s="562">
        <f t="shared" si="138"/>
        <v>9415658.0099999998</v>
      </c>
      <c r="AY327" s="562">
        <f t="shared" si="138"/>
        <v>95800685.00999999</v>
      </c>
      <c r="AZ327" s="562">
        <f t="shared" si="138"/>
        <v>6361486.0099999998</v>
      </c>
      <c r="BA327" s="562">
        <f t="shared" si="138"/>
        <v>5098814.01</v>
      </c>
      <c r="BB327" s="562">
        <f t="shared" si="138"/>
        <v>226126</v>
      </c>
      <c r="BC327" s="562">
        <f t="shared" si="138"/>
        <v>1292373.01</v>
      </c>
      <c r="BD327" s="562">
        <f t="shared" si="138"/>
        <v>68918894.00999999</v>
      </c>
      <c r="BE327" s="562">
        <f t="shared" si="138"/>
        <v>967781</v>
      </c>
      <c r="BF327" s="562">
        <f t="shared" si="138"/>
        <v>1902530.01</v>
      </c>
      <c r="BG327" s="562">
        <f t="shared" si="138"/>
        <v>3401298.01</v>
      </c>
      <c r="BH327" s="562">
        <f t="shared" si="138"/>
        <v>579452</v>
      </c>
      <c r="BI327" s="562">
        <f t="shared" si="138"/>
        <v>1442152.01</v>
      </c>
      <c r="BJ327" s="562">
        <f t="shared" si="138"/>
        <v>1001179</v>
      </c>
      <c r="BK327" s="562">
        <f t="shared" si="138"/>
        <v>25248695.009999998</v>
      </c>
      <c r="BL327" s="562">
        <f t="shared" si="138"/>
        <v>50346.09</v>
      </c>
      <c r="BM327" s="562">
        <f t="shared" si="138"/>
        <v>14729778.01</v>
      </c>
      <c r="BN327" s="562">
        <f t="shared" si="138"/>
        <v>22154055.310000002</v>
      </c>
      <c r="BO327" s="562">
        <f t="shared" si="138"/>
        <v>6245636.0099999998</v>
      </c>
      <c r="BP327" s="562">
        <f t="shared" si="138"/>
        <v>8833307.0099999998</v>
      </c>
      <c r="BQ327" s="562">
        <f t="shared" ref="BQ327:CZ327" si="139">SUM(BQ285:BQ326)</f>
        <v>71715242.015000001</v>
      </c>
      <c r="BR327" s="562">
        <f t="shared" si="139"/>
        <v>7951207.0999999996</v>
      </c>
      <c r="BS327" s="562">
        <f t="shared" si="139"/>
        <v>136856009.06999999</v>
      </c>
      <c r="BT327" s="562">
        <f t="shared" si="139"/>
        <v>3641731.01</v>
      </c>
      <c r="BU327" s="562">
        <f t="shared" si="139"/>
        <v>27823946.009999998</v>
      </c>
      <c r="BV327" s="562">
        <f t="shared" si="139"/>
        <v>7885716</v>
      </c>
      <c r="BW327" s="562">
        <f t="shared" si="139"/>
        <v>10696413.01</v>
      </c>
      <c r="BX327" s="562">
        <f t="shared" si="139"/>
        <v>6755766.0099999998</v>
      </c>
      <c r="BY327" s="562">
        <f t="shared" si="139"/>
        <v>926580.01</v>
      </c>
      <c r="BZ327" s="562">
        <f t="shared" si="139"/>
        <v>10250965.01</v>
      </c>
      <c r="CA327" s="562">
        <f t="shared" si="139"/>
        <v>546561.01</v>
      </c>
      <c r="CB327" s="562">
        <f t="shared" si="139"/>
        <v>10524033.01</v>
      </c>
      <c r="CC327" s="562">
        <f t="shared" si="139"/>
        <v>50360</v>
      </c>
      <c r="CD327" s="562">
        <f t="shared" si="139"/>
        <v>657446.01</v>
      </c>
      <c r="CE327" s="562">
        <f t="shared" si="139"/>
        <v>0</v>
      </c>
      <c r="CF327" s="562">
        <f t="shared" si="139"/>
        <v>0</v>
      </c>
      <c r="CG327" s="562">
        <f t="shared" si="139"/>
        <v>0</v>
      </c>
      <c r="CH327" s="562">
        <f t="shared" si="139"/>
        <v>0</v>
      </c>
      <c r="CI327" s="562">
        <f t="shared" si="139"/>
        <v>0</v>
      </c>
      <c r="CJ327" s="562">
        <f t="shared" si="139"/>
        <v>0</v>
      </c>
      <c r="CK327" s="562">
        <f t="shared" si="139"/>
        <v>0</v>
      </c>
      <c r="CL327" s="562">
        <f t="shared" si="139"/>
        <v>0</v>
      </c>
      <c r="CM327" s="562">
        <f t="shared" si="139"/>
        <v>0</v>
      </c>
      <c r="CN327" s="562">
        <f t="shared" si="139"/>
        <v>0</v>
      </c>
      <c r="CO327" s="562">
        <f t="shared" si="139"/>
        <v>0</v>
      </c>
      <c r="CP327" s="562">
        <f t="shared" si="139"/>
        <v>0</v>
      </c>
      <c r="CQ327" s="562">
        <f t="shared" si="139"/>
        <v>0</v>
      </c>
      <c r="CR327" s="562">
        <f t="shared" si="139"/>
        <v>0</v>
      </c>
      <c r="CS327" s="562">
        <f t="shared" si="139"/>
        <v>0</v>
      </c>
      <c r="CT327" s="562">
        <f t="shared" si="139"/>
        <v>0</v>
      </c>
      <c r="CU327" s="562">
        <f t="shared" si="139"/>
        <v>0</v>
      </c>
      <c r="CV327" s="562">
        <f t="shared" si="139"/>
        <v>0</v>
      </c>
      <c r="CW327" s="562">
        <f t="shared" si="139"/>
        <v>0</v>
      </c>
      <c r="CX327" s="562">
        <f t="shared" si="139"/>
        <v>0</v>
      </c>
      <c r="CY327" s="562">
        <f t="shared" si="139"/>
        <v>0</v>
      </c>
      <c r="CZ327" s="562">
        <f t="shared" si="139"/>
        <v>0</v>
      </c>
    </row>
    <row r="328" spans="1:104" s="562" customFormat="1" x14ac:dyDescent="0.3">
      <c r="A328" s="561"/>
    </row>
    <row r="329" spans="1:104" s="562" customFormat="1" x14ac:dyDescent="0.3">
      <c r="A329" s="561" t="s">
        <v>1729</v>
      </c>
      <c r="D329" s="806">
        <f>D280-D327</f>
        <v>0</v>
      </c>
      <c r="E329" s="806">
        <f t="shared" ref="E329:BP329" si="140">E280-E327</f>
        <v>2235730.62</v>
      </c>
      <c r="F329" s="806">
        <f t="shared" si="140"/>
        <v>51813329.745700002</v>
      </c>
      <c r="G329" s="806">
        <f t="shared" si="140"/>
        <v>69903573.549999997</v>
      </c>
      <c r="H329" s="806">
        <f t="shared" si="140"/>
        <v>62638260.090000004</v>
      </c>
      <c r="I329" s="806">
        <f t="shared" si="140"/>
        <v>88946636.629999995</v>
      </c>
      <c r="J329" s="806">
        <f t="shared" si="140"/>
        <v>12120838.57</v>
      </c>
      <c r="K329" s="806">
        <f t="shared" si="140"/>
        <v>11914623.540999999</v>
      </c>
      <c r="L329" s="806">
        <f t="shared" si="140"/>
        <v>9481096.2599999998</v>
      </c>
      <c r="M329" s="806">
        <f t="shared" si="140"/>
        <v>400992194.005</v>
      </c>
      <c r="N329" s="806">
        <f t="shared" si="140"/>
        <v>10348204.73</v>
      </c>
      <c r="O329" s="806">
        <f t="shared" si="140"/>
        <v>248123129.79000002</v>
      </c>
      <c r="P329" s="806">
        <f t="shared" si="140"/>
        <v>2846423.58</v>
      </c>
      <c r="Q329" s="806">
        <f t="shared" si="140"/>
        <v>3245876045.2325001</v>
      </c>
      <c r="R329" s="806">
        <f t="shared" si="140"/>
        <v>50059292.68</v>
      </c>
      <c r="S329" s="806">
        <f t="shared" si="140"/>
        <v>1815172</v>
      </c>
      <c r="T329" s="806">
        <f t="shared" si="140"/>
        <v>2873302628.2299995</v>
      </c>
      <c r="U329" s="806">
        <f t="shared" si="140"/>
        <v>706155451.93000007</v>
      </c>
      <c r="V329" s="806">
        <f t="shared" si="140"/>
        <v>1429027610.95</v>
      </c>
      <c r="W329" s="806">
        <f t="shared" si="140"/>
        <v>955128890.83999991</v>
      </c>
      <c r="X329" s="806">
        <f t="shared" si="140"/>
        <v>0</v>
      </c>
      <c r="Y329" s="806">
        <f t="shared" si="140"/>
        <v>629444198.62</v>
      </c>
      <c r="Z329" s="806">
        <f t="shared" si="140"/>
        <v>101437183.25999999</v>
      </c>
      <c r="AA329" s="806">
        <f t="shared" si="140"/>
        <v>660258101.53499997</v>
      </c>
      <c r="AB329" s="806">
        <f t="shared" si="140"/>
        <v>236169688.75</v>
      </c>
      <c r="AC329" s="806">
        <f t="shared" si="140"/>
        <v>79373333.224999994</v>
      </c>
      <c r="AD329" s="806">
        <f t="shared" si="140"/>
        <v>84286963.569999993</v>
      </c>
      <c r="AE329" s="806">
        <f t="shared" si="140"/>
        <v>145292098.58999997</v>
      </c>
      <c r="AF329" s="806">
        <f t="shared" si="140"/>
        <v>597179498.28999996</v>
      </c>
      <c r="AG329" s="806">
        <f t="shared" si="140"/>
        <v>174409015.83000001</v>
      </c>
      <c r="AH329" s="806">
        <f t="shared" si="140"/>
        <v>25588826.690000001</v>
      </c>
      <c r="AI329" s="806">
        <f t="shared" si="140"/>
        <v>2029718058.6921997</v>
      </c>
      <c r="AJ329" s="806">
        <f t="shared" si="140"/>
        <v>50551158.5</v>
      </c>
      <c r="AK329" s="806">
        <f t="shared" si="140"/>
        <v>0</v>
      </c>
      <c r="AL329" s="806">
        <f t="shared" si="140"/>
        <v>0</v>
      </c>
      <c r="AM329" s="806">
        <f t="shared" si="140"/>
        <v>792486889.5999999</v>
      </c>
      <c r="AN329" s="806">
        <f t="shared" si="140"/>
        <v>20662188.579999998</v>
      </c>
      <c r="AO329" s="806">
        <f t="shared" si="140"/>
        <v>28206219.289999999</v>
      </c>
      <c r="AP329" s="806">
        <f t="shared" si="140"/>
        <v>1204064</v>
      </c>
      <c r="AQ329" s="806">
        <f t="shared" si="140"/>
        <v>195773626.61000001</v>
      </c>
      <c r="AR329" s="806">
        <f t="shared" si="140"/>
        <v>464980577.37</v>
      </c>
      <c r="AS329" s="806">
        <f t="shared" si="140"/>
        <v>0</v>
      </c>
      <c r="AT329" s="806">
        <f t="shared" si="140"/>
        <v>141963853.36000001</v>
      </c>
      <c r="AU329" s="806">
        <f t="shared" si="140"/>
        <v>11161004.15</v>
      </c>
      <c r="AV329" s="806">
        <f t="shared" si="140"/>
        <v>1137643429.25</v>
      </c>
      <c r="AW329" s="806">
        <f t="shared" si="140"/>
        <v>58296579.319999993</v>
      </c>
      <c r="AX329" s="806">
        <f t="shared" si="140"/>
        <v>123998233.30999999</v>
      </c>
      <c r="AY329" s="806">
        <f t="shared" si="140"/>
        <v>342337427.9364</v>
      </c>
      <c r="AZ329" s="806">
        <f t="shared" si="140"/>
        <v>66740024.619999997</v>
      </c>
      <c r="BA329" s="806">
        <f t="shared" si="140"/>
        <v>31765077.080000006</v>
      </c>
      <c r="BB329" s="806">
        <f t="shared" si="140"/>
        <v>1005397</v>
      </c>
      <c r="BC329" s="806">
        <f t="shared" si="140"/>
        <v>9841889.0625</v>
      </c>
      <c r="BD329" s="806">
        <f t="shared" si="140"/>
        <v>480407619.23000002</v>
      </c>
      <c r="BE329" s="806">
        <f t="shared" si="140"/>
        <v>5276064</v>
      </c>
      <c r="BF329" s="806">
        <f t="shared" si="140"/>
        <v>24775082.229999997</v>
      </c>
      <c r="BG329" s="806">
        <f t="shared" si="140"/>
        <v>25761023.799999997</v>
      </c>
      <c r="BH329" s="806">
        <f t="shared" si="140"/>
        <v>2895177.19</v>
      </c>
      <c r="BI329" s="806">
        <f t="shared" si="140"/>
        <v>21221284.439999998</v>
      </c>
      <c r="BJ329" s="806">
        <f t="shared" si="140"/>
        <v>4265078.6550000003</v>
      </c>
      <c r="BK329" s="806">
        <f t="shared" si="140"/>
        <v>162266335.98000002</v>
      </c>
      <c r="BL329" s="806">
        <f t="shared" si="140"/>
        <v>0</v>
      </c>
      <c r="BM329" s="806">
        <f t="shared" si="140"/>
        <v>108277381.89</v>
      </c>
      <c r="BN329" s="806">
        <f t="shared" si="140"/>
        <v>110863991.527</v>
      </c>
      <c r="BO329" s="806">
        <f t="shared" si="140"/>
        <v>60821874.898000002</v>
      </c>
      <c r="BP329" s="806">
        <f t="shared" si="140"/>
        <v>51799001.120000005</v>
      </c>
      <c r="BQ329" s="806">
        <f t="shared" ref="BQ329:CZ329" si="141">BQ280-BQ327</f>
        <v>342790267.16500002</v>
      </c>
      <c r="BR329" s="806">
        <f t="shared" si="141"/>
        <v>90080225.540000007</v>
      </c>
      <c r="BS329" s="806">
        <f t="shared" si="141"/>
        <v>556310905.77999997</v>
      </c>
      <c r="BT329" s="806">
        <f t="shared" si="141"/>
        <v>52478919.980000004</v>
      </c>
      <c r="BU329" s="806">
        <f t="shared" si="141"/>
        <v>239303551.19330001</v>
      </c>
      <c r="BV329" s="806">
        <f t="shared" si="141"/>
        <v>32649902.579999998</v>
      </c>
      <c r="BW329" s="806">
        <f t="shared" si="141"/>
        <v>117765236.13</v>
      </c>
      <c r="BX329" s="806">
        <f t="shared" si="141"/>
        <v>42080127.100000001</v>
      </c>
      <c r="BY329" s="806">
        <f t="shared" si="141"/>
        <v>6025742.5</v>
      </c>
      <c r="BZ329" s="806">
        <f t="shared" si="141"/>
        <v>40701066.620000005</v>
      </c>
      <c r="CA329" s="806">
        <f t="shared" si="141"/>
        <v>21314462.02</v>
      </c>
      <c r="CB329" s="806">
        <f t="shared" si="141"/>
        <v>57409489.18</v>
      </c>
      <c r="CC329" s="806">
        <f t="shared" si="141"/>
        <v>0</v>
      </c>
      <c r="CD329" s="806">
        <f t="shared" si="141"/>
        <v>6945592.96</v>
      </c>
      <c r="CE329" s="806">
        <f t="shared" si="141"/>
        <v>0</v>
      </c>
      <c r="CF329" s="806">
        <f t="shared" si="141"/>
        <v>0</v>
      </c>
      <c r="CG329" s="806">
        <f t="shared" si="141"/>
        <v>0</v>
      </c>
      <c r="CH329" s="806">
        <f t="shared" si="141"/>
        <v>0</v>
      </c>
      <c r="CI329" s="806">
        <f t="shared" si="141"/>
        <v>0</v>
      </c>
      <c r="CJ329" s="806">
        <f t="shared" si="141"/>
        <v>0</v>
      </c>
      <c r="CK329" s="806">
        <f t="shared" si="141"/>
        <v>0</v>
      </c>
      <c r="CL329" s="806">
        <f t="shared" si="141"/>
        <v>0</v>
      </c>
      <c r="CM329" s="806">
        <f t="shared" si="141"/>
        <v>0</v>
      </c>
      <c r="CN329" s="806">
        <f t="shared" si="141"/>
        <v>0</v>
      </c>
      <c r="CO329" s="806">
        <f t="shared" si="141"/>
        <v>0</v>
      </c>
      <c r="CP329" s="806">
        <f t="shared" si="141"/>
        <v>0</v>
      </c>
      <c r="CQ329" s="806">
        <f t="shared" si="141"/>
        <v>0</v>
      </c>
      <c r="CR329" s="806">
        <f t="shared" si="141"/>
        <v>0</v>
      </c>
      <c r="CS329" s="806">
        <f t="shared" si="141"/>
        <v>0</v>
      </c>
      <c r="CT329" s="806">
        <f t="shared" si="141"/>
        <v>0</v>
      </c>
      <c r="CU329" s="806">
        <f t="shared" si="141"/>
        <v>0</v>
      </c>
      <c r="CV329" s="806">
        <f t="shared" si="141"/>
        <v>0</v>
      </c>
      <c r="CW329" s="806">
        <f t="shared" si="141"/>
        <v>0</v>
      </c>
      <c r="CX329" s="806">
        <f t="shared" si="141"/>
        <v>0</v>
      </c>
      <c r="CY329" s="806">
        <f t="shared" si="141"/>
        <v>0</v>
      </c>
      <c r="CZ329" s="806">
        <f t="shared" si="141"/>
        <v>0</v>
      </c>
    </row>
    <row r="330" spans="1:104" s="562" customFormat="1" x14ac:dyDescent="0.3">
      <c r="A330" s="561"/>
    </row>
    <row r="331" spans="1:104" x14ac:dyDescent="0.3">
      <c r="A331" s="563">
        <v>1</v>
      </c>
      <c r="B331" s="180"/>
      <c r="C331" s="180"/>
      <c r="D331" s="564">
        <f t="shared" ref="D331:AI331" si="142">D258</f>
        <v>0</v>
      </c>
      <c r="E331" s="564">
        <f t="shared" si="142"/>
        <v>423150</v>
      </c>
      <c r="F331" s="564">
        <f t="shared" si="142"/>
        <v>2484651</v>
      </c>
      <c r="G331" s="564">
        <f t="shared" si="142"/>
        <v>13901532</v>
      </c>
      <c r="H331" s="564">
        <f t="shared" si="142"/>
        <v>11247950</v>
      </c>
      <c r="I331" s="564">
        <f t="shared" si="142"/>
        <v>13620709</v>
      </c>
      <c r="J331" s="564">
        <f t="shared" si="142"/>
        <v>189054</v>
      </c>
      <c r="K331" s="564">
        <f t="shared" si="142"/>
        <v>2946102</v>
      </c>
      <c r="L331" s="564">
        <f t="shared" si="142"/>
        <v>1504900</v>
      </c>
      <c r="M331" s="564">
        <f t="shared" si="142"/>
        <v>98163699</v>
      </c>
      <c r="N331" s="564">
        <f t="shared" si="142"/>
        <v>1473564</v>
      </c>
      <c r="O331" s="564">
        <f t="shared" si="142"/>
        <v>17061463</v>
      </c>
      <c r="P331" s="564">
        <f t="shared" si="142"/>
        <v>532254</v>
      </c>
      <c r="Q331" s="564">
        <f t="shared" si="142"/>
        <v>186805847</v>
      </c>
      <c r="R331" s="564">
        <f t="shared" si="142"/>
        <v>7920067</v>
      </c>
      <c r="S331" s="564">
        <f t="shared" si="142"/>
        <v>314737</v>
      </c>
      <c r="T331" s="564">
        <f t="shared" si="142"/>
        <v>314826199</v>
      </c>
      <c r="U331" s="564">
        <f t="shared" si="142"/>
        <v>77535764</v>
      </c>
      <c r="V331" s="564">
        <f t="shared" si="142"/>
        <v>81477689</v>
      </c>
      <c r="W331" s="564">
        <f t="shared" si="142"/>
        <v>256433643</v>
      </c>
      <c r="X331" s="564">
        <f t="shared" si="142"/>
        <v>0</v>
      </c>
      <c r="Y331" s="564">
        <f t="shared" si="142"/>
        <v>49885086</v>
      </c>
      <c r="Z331" s="564">
        <f t="shared" si="142"/>
        <v>3810096</v>
      </c>
      <c r="AA331" s="564">
        <f t="shared" si="142"/>
        <v>58479028</v>
      </c>
      <c r="AB331" s="564">
        <f t="shared" si="142"/>
        <v>8876033</v>
      </c>
      <c r="AC331" s="564">
        <f t="shared" si="142"/>
        <v>7054043</v>
      </c>
      <c r="AD331" s="564">
        <f t="shared" si="142"/>
        <v>3827311</v>
      </c>
      <c r="AE331" s="564">
        <f t="shared" si="142"/>
        <v>8624127</v>
      </c>
      <c r="AF331" s="564">
        <f t="shared" si="142"/>
        <v>74116505</v>
      </c>
      <c r="AG331" s="564">
        <f t="shared" si="142"/>
        <v>15842965</v>
      </c>
      <c r="AH331" s="564">
        <f t="shared" si="142"/>
        <v>4453081</v>
      </c>
      <c r="AI331" s="564">
        <f t="shared" si="142"/>
        <v>123845009</v>
      </c>
      <c r="AJ331" s="564">
        <f t="shared" ref="AJ331:BO331" si="143">AJ258</f>
        <v>8719869</v>
      </c>
      <c r="AK331" s="564">
        <f t="shared" si="143"/>
        <v>0</v>
      </c>
      <c r="AL331" s="564">
        <f t="shared" si="143"/>
        <v>0</v>
      </c>
      <c r="AM331" s="564">
        <f t="shared" si="143"/>
        <v>42105137</v>
      </c>
      <c r="AN331" s="564">
        <f t="shared" si="143"/>
        <v>1252010</v>
      </c>
      <c r="AO331" s="564">
        <f t="shared" si="143"/>
        <v>1478121</v>
      </c>
      <c r="AP331" s="564">
        <f t="shared" si="143"/>
        <v>186342</v>
      </c>
      <c r="AQ331" s="564">
        <f t="shared" si="143"/>
        <v>44815885</v>
      </c>
      <c r="AR331" s="564">
        <f t="shared" si="143"/>
        <v>95885615</v>
      </c>
      <c r="AS331" s="564">
        <f t="shared" si="143"/>
        <v>0</v>
      </c>
      <c r="AT331" s="564">
        <f t="shared" si="143"/>
        <v>6126143</v>
      </c>
      <c r="AU331" s="564">
        <f t="shared" si="143"/>
        <v>593069</v>
      </c>
      <c r="AV331" s="564">
        <f t="shared" si="143"/>
        <v>64197882</v>
      </c>
      <c r="AW331" s="564">
        <f t="shared" si="143"/>
        <v>13385298</v>
      </c>
      <c r="AX331" s="564">
        <f t="shared" si="143"/>
        <v>5113796</v>
      </c>
      <c r="AY331" s="564">
        <f t="shared" si="143"/>
        <v>33307914</v>
      </c>
      <c r="AZ331" s="564">
        <f t="shared" si="143"/>
        <v>4856557</v>
      </c>
      <c r="BA331" s="564">
        <f t="shared" si="143"/>
        <v>4400032</v>
      </c>
      <c r="BB331" s="564">
        <f t="shared" si="143"/>
        <v>175737</v>
      </c>
      <c r="BC331" s="564">
        <f t="shared" si="143"/>
        <v>1033771</v>
      </c>
      <c r="BD331" s="564">
        <f t="shared" si="143"/>
        <v>21344305</v>
      </c>
      <c r="BE331" s="564">
        <f t="shared" si="143"/>
        <v>824997</v>
      </c>
      <c r="BF331" s="564">
        <f t="shared" si="143"/>
        <v>1144438</v>
      </c>
      <c r="BG331" s="564">
        <f t="shared" si="143"/>
        <v>502024</v>
      </c>
      <c r="BH331" s="564">
        <f t="shared" si="143"/>
        <v>455879</v>
      </c>
      <c r="BI331" s="564">
        <f t="shared" si="143"/>
        <v>869867</v>
      </c>
      <c r="BJ331" s="564">
        <f t="shared" si="143"/>
        <v>794640</v>
      </c>
      <c r="BK331" s="564">
        <f t="shared" si="143"/>
        <v>11828317</v>
      </c>
      <c r="BL331" s="564">
        <f t="shared" si="143"/>
        <v>0</v>
      </c>
      <c r="BM331" s="564">
        <f t="shared" si="143"/>
        <v>4073347</v>
      </c>
      <c r="BN331" s="564">
        <f t="shared" si="143"/>
        <v>16698718</v>
      </c>
      <c r="BO331" s="564">
        <f t="shared" si="143"/>
        <v>3297291</v>
      </c>
      <c r="BP331" s="564">
        <f t="shared" ref="BP331:CZ331" si="144">BP258</f>
        <v>5693385</v>
      </c>
      <c r="BQ331" s="564">
        <f t="shared" si="144"/>
        <v>52162411</v>
      </c>
      <c r="BR331" s="564">
        <f t="shared" si="144"/>
        <v>1917774</v>
      </c>
      <c r="BS331" s="564">
        <f t="shared" si="144"/>
        <v>86590869</v>
      </c>
      <c r="BT331" s="564">
        <f t="shared" si="144"/>
        <v>2240942</v>
      </c>
      <c r="BU331" s="564">
        <f t="shared" si="144"/>
        <v>14929504</v>
      </c>
      <c r="BV331" s="564">
        <f t="shared" si="144"/>
        <v>6442240</v>
      </c>
      <c r="BW331" s="564">
        <f t="shared" si="144"/>
        <v>5758780</v>
      </c>
      <c r="BX331" s="564">
        <f t="shared" si="144"/>
        <v>3390403</v>
      </c>
      <c r="BY331" s="564">
        <f t="shared" si="144"/>
        <v>723583</v>
      </c>
      <c r="BZ331" s="564">
        <f t="shared" si="144"/>
        <v>2738092</v>
      </c>
      <c r="CA331" s="564">
        <f t="shared" si="144"/>
        <v>295051</v>
      </c>
      <c r="CB331" s="564">
        <f t="shared" si="144"/>
        <v>4061675</v>
      </c>
      <c r="CC331" s="564">
        <f t="shared" si="144"/>
        <v>0</v>
      </c>
      <c r="CD331" s="564">
        <f t="shared" si="144"/>
        <v>474252</v>
      </c>
      <c r="CE331" s="564">
        <f t="shared" si="144"/>
        <v>0</v>
      </c>
      <c r="CF331" s="564">
        <f t="shared" si="144"/>
        <v>0</v>
      </c>
      <c r="CG331" s="564">
        <f t="shared" si="144"/>
        <v>0</v>
      </c>
      <c r="CH331" s="564">
        <f t="shared" si="144"/>
        <v>0</v>
      </c>
      <c r="CI331" s="564">
        <f t="shared" si="144"/>
        <v>0</v>
      </c>
      <c r="CJ331" s="564">
        <f t="shared" si="144"/>
        <v>0</v>
      </c>
      <c r="CK331" s="564">
        <f t="shared" si="144"/>
        <v>0</v>
      </c>
      <c r="CL331" s="564">
        <f t="shared" si="144"/>
        <v>0</v>
      </c>
      <c r="CM331" s="564">
        <f t="shared" si="144"/>
        <v>0</v>
      </c>
      <c r="CN331" s="564">
        <f t="shared" si="144"/>
        <v>0</v>
      </c>
      <c r="CO331" s="564">
        <f t="shared" si="144"/>
        <v>0</v>
      </c>
      <c r="CP331" s="564">
        <f t="shared" si="144"/>
        <v>0</v>
      </c>
      <c r="CQ331" s="564">
        <f t="shared" si="144"/>
        <v>0</v>
      </c>
      <c r="CR331" s="564">
        <f t="shared" si="144"/>
        <v>0</v>
      </c>
      <c r="CS331" s="564">
        <f t="shared" si="144"/>
        <v>0</v>
      </c>
      <c r="CT331" s="564">
        <f t="shared" si="144"/>
        <v>0</v>
      </c>
      <c r="CU331" s="564">
        <f t="shared" si="144"/>
        <v>0</v>
      </c>
      <c r="CV331" s="564">
        <f t="shared" si="144"/>
        <v>0</v>
      </c>
      <c r="CW331" s="564">
        <f t="shared" si="144"/>
        <v>0</v>
      </c>
      <c r="CX331" s="564">
        <f t="shared" si="144"/>
        <v>0</v>
      </c>
      <c r="CY331" s="564">
        <f t="shared" si="144"/>
        <v>0</v>
      </c>
      <c r="CZ331" s="564">
        <f t="shared" si="144"/>
        <v>0</v>
      </c>
    </row>
    <row r="332" spans="1:104" x14ac:dyDescent="0.3">
      <c r="A332" s="563">
        <v>2</v>
      </c>
      <c r="B332" s="180"/>
      <c r="C332" s="180"/>
      <c r="D332" s="564">
        <f t="shared" ref="D332:AI332" si="145">D259</f>
        <v>0</v>
      </c>
      <c r="E332" s="564">
        <f t="shared" si="145"/>
        <v>22201</v>
      </c>
      <c r="F332" s="564">
        <f t="shared" si="145"/>
        <v>127026</v>
      </c>
      <c r="G332" s="564">
        <f t="shared" si="145"/>
        <v>311223</v>
      </c>
      <c r="H332" s="564">
        <f t="shared" si="145"/>
        <v>42059</v>
      </c>
      <c r="I332" s="564">
        <f t="shared" si="145"/>
        <v>508684</v>
      </c>
      <c r="J332" s="564">
        <f t="shared" si="145"/>
        <v>377</v>
      </c>
      <c r="K332" s="564">
        <f t="shared" si="145"/>
        <v>146585</v>
      </c>
      <c r="L332" s="564">
        <f t="shared" si="145"/>
        <v>38980</v>
      </c>
      <c r="M332" s="564">
        <f t="shared" si="145"/>
        <v>5651503</v>
      </c>
      <c r="N332" s="564">
        <f t="shared" si="145"/>
        <v>38031</v>
      </c>
      <c r="O332" s="564">
        <f t="shared" si="145"/>
        <v>270026</v>
      </c>
      <c r="P332" s="564">
        <f t="shared" si="145"/>
        <v>1140</v>
      </c>
      <c r="Q332" s="564">
        <f t="shared" si="145"/>
        <v>9804613</v>
      </c>
      <c r="R332" s="564">
        <f t="shared" si="145"/>
        <v>102761</v>
      </c>
      <c r="S332" s="564">
        <f t="shared" si="145"/>
        <v>17577</v>
      </c>
      <c r="T332" s="564">
        <f t="shared" si="145"/>
        <v>24848395</v>
      </c>
      <c r="U332" s="564">
        <f t="shared" si="145"/>
        <v>3995602</v>
      </c>
      <c r="V332" s="564">
        <f t="shared" si="145"/>
        <v>5503762</v>
      </c>
      <c r="W332" s="564">
        <f t="shared" si="145"/>
        <v>13876299</v>
      </c>
      <c r="X332" s="564">
        <f t="shared" si="145"/>
        <v>0</v>
      </c>
      <c r="Y332" s="564">
        <f t="shared" si="145"/>
        <v>3879206</v>
      </c>
      <c r="Z332" s="564">
        <f t="shared" si="145"/>
        <v>261106</v>
      </c>
      <c r="AA332" s="564">
        <f t="shared" si="145"/>
        <v>4253189</v>
      </c>
      <c r="AB332" s="564">
        <f t="shared" si="145"/>
        <v>354527</v>
      </c>
      <c r="AC332" s="564">
        <f t="shared" si="145"/>
        <v>135801</v>
      </c>
      <c r="AD332" s="564">
        <f t="shared" si="145"/>
        <v>107741</v>
      </c>
      <c r="AE332" s="564">
        <f t="shared" si="145"/>
        <v>250988</v>
      </c>
      <c r="AF332" s="564">
        <f t="shared" si="145"/>
        <v>6489831</v>
      </c>
      <c r="AG332" s="564">
        <f t="shared" si="145"/>
        <v>525008</v>
      </c>
      <c r="AH332" s="564">
        <f t="shared" si="145"/>
        <v>32041</v>
      </c>
      <c r="AI332" s="564">
        <f t="shared" si="145"/>
        <v>12682010</v>
      </c>
      <c r="AJ332" s="564">
        <f t="shared" ref="AJ332:BO332" si="146">AJ259</f>
        <v>10579</v>
      </c>
      <c r="AK332" s="564">
        <f t="shared" si="146"/>
        <v>0</v>
      </c>
      <c r="AL332" s="564">
        <f t="shared" si="146"/>
        <v>0</v>
      </c>
      <c r="AM332" s="564">
        <f t="shared" si="146"/>
        <v>4765916</v>
      </c>
      <c r="AN332" s="564">
        <f t="shared" si="146"/>
        <v>56761</v>
      </c>
      <c r="AO332" s="564">
        <f t="shared" si="146"/>
        <v>30964</v>
      </c>
      <c r="AP332" s="564">
        <f t="shared" si="146"/>
        <v>0</v>
      </c>
      <c r="AQ332" s="564">
        <f t="shared" si="146"/>
        <v>2376576</v>
      </c>
      <c r="AR332" s="564">
        <f t="shared" si="146"/>
        <v>231135</v>
      </c>
      <c r="AS332" s="564">
        <f t="shared" si="146"/>
        <v>0</v>
      </c>
      <c r="AT332" s="564">
        <f t="shared" si="146"/>
        <v>598773</v>
      </c>
      <c r="AU332" s="564">
        <f t="shared" si="146"/>
        <v>77212</v>
      </c>
      <c r="AV332" s="564">
        <f t="shared" si="146"/>
        <v>460713</v>
      </c>
      <c r="AW332" s="564">
        <f t="shared" si="146"/>
        <v>1168152</v>
      </c>
      <c r="AX332" s="564">
        <f t="shared" si="146"/>
        <v>67734</v>
      </c>
      <c r="AY332" s="564">
        <f t="shared" si="146"/>
        <v>1657971</v>
      </c>
      <c r="AZ332" s="564">
        <f t="shared" si="146"/>
        <v>25965</v>
      </c>
      <c r="BA332" s="564">
        <f t="shared" si="146"/>
        <v>44408</v>
      </c>
      <c r="BB332" s="564">
        <f t="shared" si="146"/>
        <v>0</v>
      </c>
      <c r="BC332" s="564">
        <f t="shared" si="146"/>
        <v>14059</v>
      </c>
      <c r="BD332" s="564">
        <f t="shared" si="146"/>
        <v>678173</v>
      </c>
      <c r="BE332" s="564">
        <f t="shared" si="146"/>
        <v>30798</v>
      </c>
      <c r="BF332" s="564">
        <f t="shared" si="146"/>
        <v>13125</v>
      </c>
      <c r="BG332" s="564">
        <f t="shared" si="146"/>
        <v>13182</v>
      </c>
      <c r="BH332" s="564">
        <f t="shared" si="146"/>
        <v>36116</v>
      </c>
      <c r="BI332" s="564">
        <f t="shared" si="146"/>
        <v>60771</v>
      </c>
      <c r="BJ332" s="564">
        <f t="shared" si="146"/>
        <v>51967</v>
      </c>
      <c r="BK332" s="564">
        <f t="shared" si="146"/>
        <v>1175221</v>
      </c>
      <c r="BL332" s="564">
        <f t="shared" si="146"/>
        <v>0</v>
      </c>
      <c r="BM332" s="564">
        <f t="shared" si="146"/>
        <v>135946</v>
      </c>
      <c r="BN332" s="564">
        <f t="shared" si="146"/>
        <v>508643</v>
      </c>
      <c r="BO332" s="564">
        <f t="shared" si="146"/>
        <v>46798</v>
      </c>
      <c r="BP332" s="564">
        <f t="shared" ref="BP332:CZ332" si="147">BP259</f>
        <v>31187</v>
      </c>
      <c r="BQ332" s="564">
        <f t="shared" si="147"/>
        <v>5163370</v>
      </c>
      <c r="BR332" s="564">
        <f t="shared" si="147"/>
        <v>62118</v>
      </c>
      <c r="BS332" s="564">
        <f t="shared" si="147"/>
        <v>4703116</v>
      </c>
      <c r="BT332" s="564">
        <f t="shared" si="147"/>
        <v>98390</v>
      </c>
      <c r="BU332" s="564">
        <f t="shared" si="147"/>
        <v>555102</v>
      </c>
      <c r="BV332" s="564">
        <f t="shared" si="147"/>
        <v>675171</v>
      </c>
      <c r="BW332" s="564">
        <f t="shared" si="147"/>
        <v>211258</v>
      </c>
      <c r="BX332" s="564">
        <f t="shared" si="147"/>
        <v>453163</v>
      </c>
      <c r="BY332" s="564">
        <f t="shared" si="147"/>
        <v>39698</v>
      </c>
      <c r="BZ332" s="564">
        <f t="shared" si="147"/>
        <v>1250334</v>
      </c>
      <c r="CA332" s="564">
        <f t="shared" si="147"/>
        <v>45902</v>
      </c>
      <c r="CB332" s="564">
        <f t="shared" si="147"/>
        <v>506306</v>
      </c>
      <c r="CC332" s="564">
        <f t="shared" si="147"/>
        <v>0</v>
      </c>
      <c r="CD332" s="564">
        <f t="shared" si="147"/>
        <v>1016</v>
      </c>
      <c r="CE332" s="564">
        <f t="shared" si="147"/>
        <v>0</v>
      </c>
      <c r="CF332" s="564">
        <f t="shared" si="147"/>
        <v>0</v>
      </c>
      <c r="CG332" s="564">
        <f t="shared" si="147"/>
        <v>0</v>
      </c>
      <c r="CH332" s="564">
        <f t="shared" si="147"/>
        <v>0</v>
      </c>
      <c r="CI332" s="564">
        <f t="shared" si="147"/>
        <v>0</v>
      </c>
      <c r="CJ332" s="564">
        <f t="shared" si="147"/>
        <v>0</v>
      </c>
      <c r="CK332" s="564">
        <f t="shared" si="147"/>
        <v>0</v>
      </c>
      <c r="CL332" s="564">
        <f t="shared" si="147"/>
        <v>0</v>
      </c>
      <c r="CM332" s="564">
        <f t="shared" si="147"/>
        <v>0</v>
      </c>
      <c r="CN332" s="564">
        <f t="shared" si="147"/>
        <v>0</v>
      </c>
      <c r="CO332" s="564">
        <f t="shared" si="147"/>
        <v>0</v>
      </c>
      <c r="CP332" s="564">
        <f t="shared" si="147"/>
        <v>0</v>
      </c>
      <c r="CQ332" s="564">
        <f t="shared" si="147"/>
        <v>0</v>
      </c>
      <c r="CR332" s="564">
        <f t="shared" si="147"/>
        <v>0</v>
      </c>
      <c r="CS332" s="564">
        <f t="shared" si="147"/>
        <v>0</v>
      </c>
      <c r="CT332" s="564">
        <f t="shared" si="147"/>
        <v>0</v>
      </c>
      <c r="CU332" s="564">
        <f t="shared" si="147"/>
        <v>0</v>
      </c>
      <c r="CV332" s="564">
        <f t="shared" si="147"/>
        <v>0</v>
      </c>
      <c r="CW332" s="564">
        <f t="shared" si="147"/>
        <v>0</v>
      </c>
      <c r="CX332" s="564">
        <f t="shared" si="147"/>
        <v>0</v>
      </c>
      <c r="CY332" s="564">
        <f t="shared" si="147"/>
        <v>0</v>
      </c>
      <c r="CZ332" s="564">
        <f t="shared" si="147"/>
        <v>0</v>
      </c>
    </row>
    <row r="333" spans="1:104" x14ac:dyDescent="0.3">
      <c r="A333" s="563">
        <v>3</v>
      </c>
      <c r="B333" s="180"/>
      <c r="C333" s="180"/>
      <c r="D333" s="564">
        <f t="shared" ref="D333:AI333" si="148">D260</f>
        <v>0</v>
      </c>
      <c r="E333" s="564">
        <f t="shared" si="148"/>
        <v>55364</v>
      </c>
      <c r="F333" s="564">
        <f t="shared" si="148"/>
        <v>427538</v>
      </c>
      <c r="G333" s="564">
        <f t="shared" si="148"/>
        <v>1029235</v>
      </c>
      <c r="H333" s="564">
        <f t="shared" si="148"/>
        <v>843731</v>
      </c>
      <c r="I333" s="564">
        <f t="shared" si="148"/>
        <v>724853</v>
      </c>
      <c r="J333" s="564">
        <f t="shared" si="148"/>
        <v>23801</v>
      </c>
      <c r="K333" s="564">
        <f t="shared" si="148"/>
        <v>175638</v>
      </c>
      <c r="L333" s="564">
        <f t="shared" si="148"/>
        <v>38980</v>
      </c>
      <c r="M333" s="564">
        <f t="shared" si="148"/>
        <v>17833660</v>
      </c>
      <c r="N333" s="564">
        <f t="shared" si="148"/>
        <v>302389</v>
      </c>
      <c r="O333" s="564">
        <f t="shared" si="148"/>
        <v>3995637</v>
      </c>
      <c r="P333" s="564">
        <f t="shared" si="148"/>
        <v>19920</v>
      </c>
      <c r="Q333" s="564">
        <f t="shared" si="148"/>
        <v>93512087</v>
      </c>
      <c r="R333" s="564">
        <f t="shared" si="148"/>
        <v>1477083</v>
      </c>
      <c r="S333" s="564">
        <f t="shared" si="148"/>
        <v>17577</v>
      </c>
      <c r="T333" s="564">
        <f t="shared" si="148"/>
        <v>178688896</v>
      </c>
      <c r="U333" s="564">
        <f t="shared" si="148"/>
        <v>27225830</v>
      </c>
      <c r="V333" s="564">
        <f t="shared" si="148"/>
        <v>36918997</v>
      </c>
      <c r="W333" s="564">
        <f t="shared" si="148"/>
        <v>73894523</v>
      </c>
      <c r="X333" s="564">
        <f t="shared" si="148"/>
        <v>0</v>
      </c>
      <c r="Y333" s="564">
        <f t="shared" si="148"/>
        <v>9826325</v>
      </c>
      <c r="Z333" s="564">
        <f t="shared" si="148"/>
        <v>656319</v>
      </c>
      <c r="AA333" s="564">
        <f t="shared" si="148"/>
        <v>21707965</v>
      </c>
      <c r="AB333" s="564">
        <f t="shared" si="148"/>
        <v>2901505</v>
      </c>
      <c r="AC333" s="564">
        <f t="shared" si="148"/>
        <v>812308</v>
      </c>
      <c r="AD333" s="564">
        <f t="shared" si="148"/>
        <v>838037</v>
      </c>
      <c r="AE333" s="564">
        <f t="shared" si="148"/>
        <v>2915154</v>
      </c>
      <c r="AF333" s="564">
        <f t="shared" si="148"/>
        <v>25023081</v>
      </c>
      <c r="AG333" s="564">
        <f t="shared" si="148"/>
        <v>3414585</v>
      </c>
      <c r="AH333" s="564">
        <f t="shared" si="148"/>
        <v>346984</v>
      </c>
      <c r="AI333" s="564">
        <f t="shared" si="148"/>
        <v>85409803</v>
      </c>
      <c r="AJ333" s="564">
        <f t="shared" ref="AJ333:BO333" si="149">AJ260</f>
        <v>41866</v>
      </c>
      <c r="AK333" s="564">
        <f t="shared" si="149"/>
        <v>0</v>
      </c>
      <c r="AL333" s="564">
        <f t="shared" si="149"/>
        <v>0</v>
      </c>
      <c r="AM333" s="564">
        <f t="shared" si="149"/>
        <v>18409617</v>
      </c>
      <c r="AN333" s="564">
        <f t="shared" si="149"/>
        <v>323771</v>
      </c>
      <c r="AO333" s="564">
        <f t="shared" si="149"/>
        <v>349793</v>
      </c>
      <c r="AP333" s="564">
        <f t="shared" si="149"/>
        <v>0</v>
      </c>
      <c r="AQ333" s="564">
        <f t="shared" si="149"/>
        <v>15484417</v>
      </c>
      <c r="AR333" s="564">
        <f t="shared" si="149"/>
        <v>49683079</v>
      </c>
      <c r="AS333" s="564">
        <f t="shared" si="149"/>
        <v>0</v>
      </c>
      <c r="AT333" s="564">
        <f t="shared" si="149"/>
        <v>1991622</v>
      </c>
      <c r="AU333" s="564">
        <f t="shared" si="149"/>
        <v>90330</v>
      </c>
      <c r="AV333" s="564">
        <f t="shared" si="149"/>
        <v>21143050</v>
      </c>
      <c r="AW333" s="564">
        <f t="shared" si="149"/>
        <v>2270775</v>
      </c>
      <c r="AX333" s="564">
        <f t="shared" si="149"/>
        <v>609439</v>
      </c>
      <c r="AY333" s="564">
        <f t="shared" si="149"/>
        <v>9931441</v>
      </c>
      <c r="AZ333" s="564">
        <f t="shared" si="149"/>
        <v>275522</v>
      </c>
      <c r="BA333" s="564">
        <f t="shared" si="149"/>
        <v>208842</v>
      </c>
      <c r="BB333" s="564">
        <f t="shared" si="149"/>
        <v>0</v>
      </c>
      <c r="BC333" s="564">
        <f t="shared" si="149"/>
        <v>92040</v>
      </c>
      <c r="BD333" s="564">
        <f t="shared" si="149"/>
        <v>16277635</v>
      </c>
      <c r="BE333" s="564">
        <f t="shared" si="149"/>
        <v>30798</v>
      </c>
      <c r="BF333" s="564">
        <f t="shared" si="149"/>
        <v>120109</v>
      </c>
      <c r="BG333" s="564">
        <f t="shared" si="149"/>
        <v>111207</v>
      </c>
      <c r="BH333" s="564">
        <f t="shared" si="149"/>
        <v>36116</v>
      </c>
      <c r="BI333" s="564">
        <f t="shared" si="149"/>
        <v>88959</v>
      </c>
      <c r="BJ333" s="564">
        <f t="shared" si="149"/>
        <v>51967</v>
      </c>
      <c r="BK333" s="564">
        <f t="shared" si="149"/>
        <v>5809003</v>
      </c>
      <c r="BL333" s="564">
        <f t="shared" si="149"/>
        <v>0</v>
      </c>
      <c r="BM333" s="564">
        <f t="shared" si="149"/>
        <v>887977</v>
      </c>
      <c r="BN333" s="564">
        <f t="shared" si="149"/>
        <v>3247380</v>
      </c>
      <c r="BO333" s="564">
        <f t="shared" si="149"/>
        <v>1561415</v>
      </c>
      <c r="BP333" s="564">
        <f t="shared" ref="BP333:CZ333" si="150">BP260</f>
        <v>1704289</v>
      </c>
      <c r="BQ333" s="564">
        <f t="shared" si="150"/>
        <v>11145906</v>
      </c>
      <c r="BR333" s="564">
        <f t="shared" si="150"/>
        <v>952270</v>
      </c>
      <c r="BS333" s="564">
        <f t="shared" si="150"/>
        <v>33269113</v>
      </c>
      <c r="BT333" s="564">
        <f t="shared" si="150"/>
        <v>417998</v>
      </c>
      <c r="BU333" s="564">
        <f t="shared" si="150"/>
        <v>3880059</v>
      </c>
      <c r="BV333" s="564">
        <f t="shared" si="150"/>
        <v>675171</v>
      </c>
      <c r="BW333" s="564">
        <f t="shared" si="150"/>
        <v>1547402</v>
      </c>
      <c r="BX333" s="564">
        <f t="shared" si="150"/>
        <v>1365313</v>
      </c>
      <c r="BY333" s="564">
        <f t="shared" si="150"/>
        <v>39698</v>
      </c>
      <c r="BZ333" s="564">
        <f t="shared" si="150"/>
        <v>1481922</v>
      </c>
      <c r="CA333" s="564">
        <f t="shared" si="150"/>
        <v>46162</v>
      </c>
      <c r="CB333" s="564">
        <f t="shared" si="150"/>
        <v>1218601</v>
      </c>
      <c r="CC333" s="564">
        <f t="shared" si="150"/>
        <v>0</v>
      </c>
      <c r="CD333" s="564">
        <f t="shared" si="150"/>
        <v>1016</v>
      </c>
      <c r="CE333" s="564">
        <f t="shared" si="150"/>
        <v>0</v>
      </c>
      <c r="CF333" s="564">
        <f t="shared" si="150"/>
        <v>0</v>
      </c>
      <c r="CG333" s="564">
        <f t="shared" si="150"/>
        <v>0</v>
      </c>
      <c r="CH333" s="564">
        <f t="shared" si="150"/>
        <v>0</v>
      </c>
      <c r="CI333" s="564">
        <f t="shared" si="150"/>
        <v>0</v>
      </c>
      <c r="CJ333" s="564">
        <f t="shared" si="150"/>
        <v>0</v>
      </c>
      <c r="CK333" s="564">
        <f t="shared" si="150"/>
        <v>0</v>
      </c>
      <c r="CL333" s="564">
        <f t="shared" si="150"/>
        <v>0</v>
      </c>
      <c r="CM333" s="564">
        <f t="shared" si="150"/>
        <v>0</v>
      </c>
      <c r="CN333" s="564">
        <f t="shared" si="150"/>
        <v>0</v>
      </c>
      <c r="CO333" s="564">
        <f t="shared" si="150"/>
        <v>0</v>
      </c>
      <c r="CP333" s="564">
        <f t="shared" si="150"/>
        <v>0</v>
      </c>
      <c r="CQ333" s="564">
        <f t="shared" si="150"/>
        <v>0</v>
      </c>
      <c r="CR333" s="564">
        <f t="shared" si="150"/>
        <v>0</v>
      </c>
      <c r="CS333" s="564">
        <f t="shared" si="150"/>
        <v>0</v>
      </c>
      <c r="CT333" s="564">
        <f t="shared" si="150"/>
        <v>0</v>
      </c>
      <c r="CU333" s="564">
        <f t="shared" si="150"/>
        <v>0</v>
      </c>
      <c r="CV333" s="564">
        <f t="shared" si="150"/>
        <v>0</v>
      </c>
      <c r="CW333" s="564">
        <f t="shared" si="150"/>
        <v>0</v>
      </c>
      <c r="CX333" s="564">
        <f t="shared" si="150"/>
        <v>0</v>
      </c>
      <c r="CY333" s="564">
        <f t="shared" si="150"/>
        <v>0</v>
      </c>
      <c r="CZ333" s="564">
        <f t="shared" si="150"/>
        <v>0</v>
      </c>
    </row>
    <row r="334" spans="1:104" x14ac:dyDescent="0.3">
      <c r="B334" s="180"/>
      <c r="C334" s="180"/>
      <c r="D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c r="AA334" s="180"/>
      <c r="AB334" s="180"/>
      <c r="AC334" s="180"/>
      <c r="AD334" s="180"/>
      <c r="AE334" s="180"/>
      <c r="AF334" s="180"/>
      <c r="AG334" s="180"/>
      <c r="AH334" s="180"/>
      <c r="AI334" s="180"/>
      <c r="AJ334" s="180"/>
      <c r="AK334" s="180"/>
      <c r="AL334" s="180"/>
      <c r="AM334" s="180"/>
      <c r="AN334" s="180"/>
      <c r="AO334" s="180"/>
      <c r="AP334" s="180"/>
      <c r="AQ334" s="180"/>
      <c r="AR334" s="180"/>
      <c r="AS334" s="180"/>
      <c r="AT334" s="180"/>
      <c r="AU334" s="180"/>
      <c r="AV334" s="180"/>
      <c r="AW334" s="180"/>
      <c r="AX334" s="180"/>
      <c r="AY334" s="180"/>
      <c r="AZ334" s="180"/>
      <c r="BA334" s="180"/>
      <c r="BB334" s="180"/>
      <c r="BC334" s="180"/>
      <c r="BD334" s="180"/>
      <c r="BE334" s="180"/>
      <c r="BF334" s="180"/>
      <c r="BG334" s="180"/>
      <c r="BH334" s="180"/>
      <c r="BI334" s="180"/>
      <c r="BJ334" s="180"/>
      <c r="BK334" s="180"/>
      <c r="BL334" s="180"/>
      <c r="BM334" s="180"/>
      <c r="BN334" s="180"/>
      <c r="BO334" s="180"/>
      <c r="BP334" s="180"/>
      <c r="BQ334" s="180"/>
      <c r="BR334" s="180"/>
      <c r="BS334" s="180"/>
      <c r="BT334" s="180"/>
      <c r="BU334" s="180"/>
      <c r="BV334" s="180"/>
      <c r="BW334" s="180"/>
      <c r="BX334" s="180"/>
      <c r="BY334" s="180"/>
      <c r="BZ334" s="180"/>
      <c r="CA334" s="180"/>
      <c r="CB334" s="180"/>
      <c r="CC334" s="180"/>
      <c r="CD334" s="180"/>
      <c r="CE334" s="180"/>
      <c r="CF334" s="180"/>
      <c r="CG334" s="180"/>
      <c r="CH334" s="180"/>
      <c r="CI334" s="180"/>
      <c r="CJ334" s="180"/>
      <c r="CK334" s="180"/>
      <c r="CL334" s="180"/>
      <c r="CM334" s="180"/>
      <c r="CN334" s="180"/>
      <c r="CO334" s="180"/>
      <c r="CP334" s="180"/>
      <c r="CQ334" s="180"/>
      <c r="CR334" s="180"/>
      <c r="CS334" s="180"/>
      <c r="CT334" s="180"/>
      <c r="CU334" s="180"/>
      <c r="CV334" s="180"/>
      <c r="CW334" s="180"/>
      <c r="CX334" s="180"/>
      <c r="CY334" s="180"/>
      <c r="CZ334" s="180"/>
    </row>
    <row r="335" spans="1:104" x14ac:dyDescent="0.3">
      <c r="B335" s="180"/>
      <c r="C335" s="180"/>
      <c r="D335" s="574">
        <f>D329+D331+D332+D333</f>
        <v>0</v>
      </c>
      <c r="E335" s="574">
        <f t="shared" ref="E335:BP335" si="151">E329+E331+E332+E333</f>
        <v>2736445.62</v>
      </c>
      <c r="F335" s="574">
        <f t="shared" si="151"/>
        <v>54852544.745700002</v>
      </c>
      <c r="G335" s="574">
        <f t="shared" si="151"/>
        <v>85145563.549999997</v>
      </c>
      <c r="H335" s="574">
        <f t="shared" si="151"/>
        <v>74772000.090000004</v>
      </c>
      <c r="I335" s="574">
        <f t="shared" si="151"/>
        <v>103800882.63</v>
      </c>
      <c r="J335" s="574">
        <f t="shared" si="151"/>
        <v>12334070.57</v>
      </c>
      <c r="K335" s="574">
        <f t="shared" si="151"/>
        <v>15182948.540999999</v>
      </c>
      <c r="L335" s="574">
        <f t="shared" si="151"/>
        <v>11063956.26</v>
      </c>
      <c r="M335" s="574">
        <f t="shared" si="151"/>
        <v>522641056.005</v>
      </c>
      <c r="N335" s="574">
        <f t="shared" si="151"/>
        <v>12162188.73</v>
      </c>
      <c r="O335" s="574">
        <f t="shared" si="151"/>
        <v>269450255.79000002</v>
      </c>
      <c r="P335" s="574">
        <f t="shared" si="151"/>
        <v>3399737.58</v>
      </c>
      <c r="Q335" s="574">
        <f t="shared" si="151"/>
        <v>3535998592.2325001</v>
      </c>
      <c r="R335" s="574">
        <f t="shared" si="151"/>
        <v>59559203.68</v>
      </c>
      <c r="S335" s="574">
        <f t="shared" si="151"/>
        <v>2165063</v>
      </c>
      <c r="T335" s="574">
        <f t="shared" si="151"/>
        <v>3391666118.2299995</v>
      </c>
      <c r="U335" s="574">
        <f t="shared" si="151"/>
        <v>814912647.93000007</v>
      </c>
      <c r="V335" s="574">
        <f t="shared" si="151"/>
        <v>1552928058.95</v>
      </c>
      <c r="W335" s="574">
        <f t="shared" si="151"/>
        <v>1299333355.8399999</v>
      </c>
      <c r="X335" s="574">
        <f t="shared" si="151"/>
        <v>0</v>
      </c>
      <c r="Y335" s="574">
        <f t="shared" si="151"/>
        <v>693034815.62</v>
      </c>
      <c r="Z335" s="574">
        <f t="shared" si="151"/>
        <v>106164704.25999999</v>
      </c>
      <c r="AA335" s="574">
        <f t="shared" si="151"/>
        <v>744698283.53499997</v>
      </c>
      <c r="AB335" s="574">
        <f t="shared" si="151"/>
        <v>248301753.75</v>
      </c>
      <c r="AC335" s="574">
        <f t="shared" si="151"/>
        <v>87375485.224999994</v>
      </c>
      <c r="AD335" s="574">
        <f t="shared" si="151"/>
        <v>89060052.569999993</v>
      </c>
      <c r="AE335" s="574">
        <f t="shared" si="151"/>
        <v>157082367.58999997</v>
      </c>
      <c r="AF335" s="574">
        <f t="shared" si="151"/>
        <v>702808915.28999996</v>
      </c>
      <c r="AG335" s="574">
        <f t="shared" si="151"/>
        <v>194191573.83000001</v>
      </c>
      <c r="AH335" s="574">
        <f t="shared" si="151"/>
        <v>30420932.690000001</v>
      </c>
      <c r="AI335" s="574">
        <f t="shared" si="151"/>
        <v>2251654880.6921997</v>
      </c>
      <c r="AJ335" s="574">
        <f t="shared" si="151"/>
        <v>59323472.5</v>
      </c>
      <c r="AK335" s="574">
        <f t="shared" si="151"/>
        <v>0</v>
      </c>
      <c r="AL335" s="574">
        <f t="shared" si="151"/>
        <v>0</v>
      </c>
      <c r="AM335" s="574">
        <f t="shared" si="151"/>
        <v>857767559.5999999</v>
      </c>
      <c r="AN335" s="574">
        <f t="shared" si="151"/>
        <v>22294730.579999998</v>
      </c>
      <c r="AO335" s="574">
        <f t="shared" si="151"/>
        <v>30065097.289999999</v>
      </c>
      <c r="AP335" s="574">
        <f t="shared" si="151"/>
        <v>1390406</v>
      </c>
      <c r="AQ335" s="574">
        <f t="shared" si="151"/>
        <v>258450504.61000001</v>
      </c>
      <c r="AR335" s="574">
        <f t="shared" si="151"/>
        <v>610780406.37</v>
      </c>
      <c r="AS335" s="574">
        <f t="shared" si="151"/>
        <v>0</v>
      </c>
      <c r="AT335" s="574">
        <f t="shared" si="151"/>
        <v>150680391.36000001</v>
      </c>
      <c r="AU335" s="574">
        <f t="shared" si="151"/>
        <v>11921615.15</v>
      </c>
      <c r="AV335" s="574">
        <f t="shared" si="151"/>
        <v>1223445074.25</v>
      </c>
      <c r="AW335" s="574">
        <f t="shared" si="151"/>
        <v>75120804.319999993</v>
      </c>
      <c r="AX335" s="574">
        <f t="shared" si="151"/>
        <v>129789202.30999999</v>
      </c>
      <c r="AY335" s="574">
        <f t="shared" si="151"/>
        <v>387234753.9364</v>
      </c>
      <c r="AZ335" s="574">
        <f t="shared" si="151"/>
        <v>71898068.620000005</v>
      </c>
      <c r="BA335" s="574">
        <f t="shared" si="151"/>
        <v>36418359.080000006</v>
      </c>
      <c r="BB335" s="574">
        <f t="shared" si="151"/>
        <v>1181134</v>
      </c>
      <c r="BC335" s="574">
        <f t="shared" si="151"/>
        <v>10981759.0625</v>
      </c>
      <c r="BD335" s="574">
        <f t="shared" si="151"/>
        <v>518707732.23000002</v>
      </c>
      <c r="BE335" s="574">
        <f t="shared" si="151"/>
        <v>6162657</v>
      </c>
      <c r="BF335" s="574">
        <f t="shared" si="151"/>
        <v>26052754.229999997</v>
      </c>
      <c r="BG335" s="574">
        <f t="shared" si="151"/>
        <v>26387436.799999997</v>
      </c>
      <c r="BH335" s="574">
        <f t="shared" si="151"/>
        <v>3423288.19</v>
      </c>
      <c r="BI335" s="574">
        <f t="shared" si="151"/>
        <v>22240881.439999998</v>
      </c>
      <c r="BJ335" s="574">
        <f t="shared" si="151"/>
        <v>5163652.6550000003</v>
      </c>
      <c r="BK335" s="574">
        <f t="shared" si="151"/>
        <v>181078876.98000002</v>
      </c>
      <c r="BL335" s="574">
        <f t="shared" si="151"/>
        <v>0</v>
      </c>
      <c r="BM335" s="574">
        <f t="shared" si="151"/>
        <v>113374651.89</v>
      </c>
      <c r="BN335" s="574">
        <f t="shared" si="151"/>
        <v>131318732.527</v>
      </c>
      <c r="BO335" s="574">
        <f t="shared" si="151"/>
        <v>65727378.898000002</v>
      </c>
      <c r="BP335" s="574">
        <f t="shared" si="151"/>
        <v>59227862.120000005</v>
      </c>
      <c r="BQ335" s="574">
        <f t="shared" ref="BQ335:CZ335" si="152">BQ329+BQ331+BQ332+BQ333</f>
        <v>411261954.16500002</v>
      </c>
      <c r="BR335" s="574">
        <f t="shared" si="152"/>
        <v>93012387.540000007</v>
      </c>
      <c r="BS335" s="574">
        <f t="shared" si="152"/>
        <v>680874003.77999997</v>
      </c>
      <c r="BT335" s="574">
        <f t="shared" si="152"/>
        <v>55236249.980000004</v>
      </c>
      <c r="BU335" s="574">
        <f t="shared" si="152"/>
        <v>258668216.19330001</v>
      </c>
      <c r="BV335" s="574">
        <f t="shared" si="152"/>
        <v>40442484.579999998</v>
      </c>
      <c r="BW335" s="574">
        <f t="shared" si="152"/>
        <v>125282676.13</v>
      </c>
      <c r="BX335" s="574">
        <f t="shared" si="152"/>
        <v>47289006.100000001</v>
      </c>
      <c r="BY335" s="574">
        <f t="shared" si="152"/>
        <v>6828721.5</v>
      </c>
      <c r="BZ335" s="574">
        <f t="shared" si="152"/>
        <v>46171414.620000005</v>
      </c>
      <c r="CA335" s="574">
        <f t="shared" si="152"/>
        <v>21701577.02</v>
      </c>
      <c r="CB335" s="574">
        <f t="shared" si="152"/>
        <v>63196071.18</v>
      </c>
      <c r="CC335" s="574">
        <f t="shared" si="152"/>
        <v>0</v>
      </c>
      <c r="CD335" s="574">
        <f t="shared" si="152"/>
        <v>7421876.96</v>
      </c>
      <c r="CE335" s="574">
        <f t="shared" si="152"/>
        <v>0</v>
      </c>
      <c r="CF335" s="574">
        <f t="shared" si="152"/>
        <v>0</v>
      </c>
      <c r="CG335" s="574">
        <f t="shared" si="152"/>
        <v>0</v>
      </c>
      <c r="CH335" s="574">
        <f t="shared" si="152"/>
        <v>0</v>
      </c>
      <c r="CI335" s="574">
        <f t="shared" si="152"/>
        <v>0</v>
      </c>
      <c r="CJ335" s="574">
        <f t="shared" si="152"/>
        <v>0</v>
      </c>
      <c r="CK335" s="574">
        <f t="shared" si="152"/>
        <v>0</v>
      </c>
      <c r="CL335" s="574">
        <f t="shared" si="152"/>
        <v>0</v>
      </c>
      <c r="CM335" s="574">
        <f t="shared" si="152"/>
        <v>0</v>
      </c>
      <c r="CN335" s="574">
        <f t="shared" si="152"/>
        <v>0</v>
      </c>
      <c r="CO335" s="574">
        <f t="shared" si="152"/>
        <v>0</v>
      </c>
      <c r="CP335" s="574">
        <f t="shared" si="152"/>
        <v>0</v>
      </c>
      <c r="CQ335" s="574">
        <f t="shared" si="152"/>
        <v>0</v>
      </c>
      <c r="CR335" s="574">
        <f t="shared" si="152"/>
        <v>0</v>
      </c>
      <c r="CS335" s="574">
        <f t="shared" si="152"/>
        <v>0</v>
      </c>
      <c r="CT335" s="574">
        <f t="shared" si="152"/>
        <v>0</v>
      </c>
      <c r="CU335" s="574">
        <f t="shared" si="152"/>
        <v>0</v>
      </c>
      <c r="CV335" s="574">
        <f t="shared" si="152"/>
        <v>0</v>
      </c>
      <c r="CW335" s="574">
        <f t="shared" si="152"/>
        <v>0</v>
      </c>
      <c r="CX335" s="574">
        <f t="shared" si="152"/>
        <v>0</v>
      </c>
      <c r="CY335" s="574">
        <f t="shared" si="152"/>
        <v>0</v>
      </c>
      <c r="CZ335" s="574">
        <f t="shared" si="152"/>
        <v>0</v>
      </c>
    </row>
    <row r="336" spans="1:104" x14ac:dyDescent="0.3">
      <c r="B336" s="180"/>
      <c r="C336" s="180"/>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4"/>
      <c r="AL336" s="574"/>
      <c r="AM336" s="574"/>
      <c r="AN336" s="574"/>
      <c r="AO336" s="574"/>
      <c r="AP336" s="574"/>
      <c r="AQ336" s="574"/>
      <c r="AR336" s="574"/>
      <c r="AS336" s="574"/>
      <c r="AT336" s="574"/>
      <c r="AU336" s="574"/>
      <c r="AV336" s="574"/>
      <c r="AW336" s="574"/>
      <c r="AX336" s="574"/>
      <c r="AY336" s="574"/>
      <c r="AZ336" s="574"/>
      <c r="BA336" s="574"/>
      <c r="BB336" s="574"/>
      <c r="BC336" s="574"/>
      <c r="BD336" s="574"/>
      <c r="BE336" s="574"/>
      <c r="BF336" s="574"/>
      <c r="BG336" s="574"/>
      <c r="BH336" s="574"/>
      <c r="BI336" s="574"/>
      <c r="BJ336" s="574"/>
      <c r="BK336" s="574"/>
      <c r="BL336" s="574"/>
      <c r="BM336" s="574"/>
      <c r="BN336" s="574"/>
      <c r="BO336" s="574"/>
      <c r="BP336" s="574"/>
      <c r="BQ336" s="574"/>
      <c r="BR336" s="574"/>
      <c r="BS336" s="574"/>
      <c r="BT336" s="574"/>
      <c r="BU336" s="574"/>
      <c r="BV336" s="574"/>
      <c r="BW336" s="574"/>
      <c r="BX336" s="574"/>
      <c r="BY336" s="574"/>
      <c r="BZ336" s="574"/>
      <c r="CA336" s="574"/>
      <c r="CB336" s="574"/>
      <c r="CC336" s="574"/>
      <c r="CD336" s="574"/>
      <c r="CE336" s="574"/>
      <c r="CF336" s="574"/>
      <c r="CG336" s="574"/>
      <c r="CH336" s="574"/>
      <c r="CI336" s="574"/>
      <c r="CJ336" s="574"/>
      <c r="CK336" s="574"/>
      <c r="CL336" s="574"/>
      <c r="CM336" s="574"/>
      <c r="CN336" s="574"/>
      <c r="CO336" s="574"/>
      <c r="CP336" s="574"/>
      <c r="CQ336" s="574"/>
      <c r="CR336" s="574"/>
      <c r="CS336" s="574"/>
      <c r="CT336" s="574"/>
      <c r="CU336" s="574"/>
      <c r="CV336" s="574"/>
      <c r="CW336" s="574"/>
      <c r="CX336" s="574"/>
      <c r="CY336" s="574"/>
      <c r="CZ336" s="574"/>
    </row>
    <row r="337" spans="2:104" x14ac:dyDescent="0.3">
      <c r="B337" s="180"/>
      <c r="C337" s="180"/>
      <c r="D337" s="574" t="e">
        <f>'Unit Data from Audit Worksheet'!$E$299</f>
        <v>#N/A</v>
      </c>
      <c r="E337" s="574" t="e">
        <f>'Unit Data from Audit Worksheet'!$E$299</f>
        <v>#N/A</v>
      </c>
      <c r="F337" s="574" t="e">
        <f>'Unit Data from Audit Worksheet'!$E$299</f>
        <v>#N/A</v>
      </c>
      <c r="G337" s="574" t="e">
        <f>'Unit Data from Audit Worksheet'!$E$299</f>
        <v>#N/A</v>
      </c>
      <c r="H337" s="574" t="e">
        <f>'Unit Data from Audit Worksheet'!$E$299</f>
        <v>#N/A</v>
      </c>
      <c r="I337" s="574" t="e">
        <f>'Unit Data from Audit Worksheet'!$E$299</f>
        <v>#N/A</v>
      </c>
      <c r="J337" s="574" t="e">
        <f>'Unit Data from Audit Worksheet'!$E$299</f>
        <v>#N/A</v>
      </c>
      <c r="K337" s="574" t="e">
        <f>'Unit Data from Audit Worksheet'!$E$299</f>
        <v>#N/A</v>
      </c>
      <c r="L337" s="574" t="e">
        <f>'Unit Data from Audit Worksheet'!$E$299</f>
        <v>#N/A</v>
      </c>
      <c r="M337" s="574" t="e">
        <f>'Unit Data from Audit Worksheet'!$E$299</f>
        <v>#N/A</v>
      </c>
      <c r="N337" s="574" t="e">
        <f>'Unit Data from Audit Worksheet'!$E$299</f>
        <v>#N/A</v>
      </c>
      <c r="O337" s="574" t="e">
        <f>'Unit Data from Audit Worksheet'!$E$299</f>
        <v>#N/A</v>
      </c>
      <c r="P337" s="574" t="e">
        <f>'Unit Data from Audit Worksheet'!$E$299</f>
        <v>#N/A</v>
      </c>
      <c r="Q337" s="574" t="e">
        <f>'Unit Data from Audit Worksheet'!$E$299</f>
        <v>#N/A</v>
      </c>
      <c r="R337" s="574" t="e">
        <f>'Unit Data from Audit Worksheet'!$E$299</f>
        <v>#N/A</v>
      </c>
      <c r="S337" s="574" t="e">
        <f>'Unit Data from Audit Worksheet'!$E$299</f>
        <v>#N/A</v>
      </c>
      <c r="T337" s="574" t="e">
        <f>'Unit Data from Audit Worksheet'!$E$299</f>
        <v>#N/A</v>
      </c>
      <c r="U337" s="574" t="e">
        <f>'Unit Data from Audit Worksheet'!$E$299</f>
        <v>#N/A</v>
      </c>
      <c r="V337" s="574" t="e">
        <f>'Unit Data from Audit Worksheet'!$E$299</f>
        <v>#N/A</v>
      </c>
      <c r="W337" s="574" t="e">
        <f>'Unit Data from Audit Worksheet'!$E$299</f>
        <v>#N/A</v>
      </c>
      <c r="X337" s="574" t="e">
        <f>'Unit Data from Audit Worksheet'!$E$299</f>
        <v>#N/A</v>
      </c>
      <c r="Y337" s="574" t="e">
        <f>'Unit Data from Audit Worksheet'!$E$299</f>
        <v>#N/A</v>
      </c>
      <c r="Z337" s="574" t="e">
        <f>'Unit Data from Audit Worksheet'!$E$299</f>
        <v>#N/A</v>
      </c>
      <c r="AA337" s="574" t="e">
        <f>'Unit Data from Audit Worksheet'!$E$299</f>
        <v>#N/A</v>
      </c>
      <c r="AB337" s="574" t="e">
        <f>'Unit Data from Audit Worksheet'!$E$299</f>
        <v>#N/A</v>
      </c>
      <c r="AC337" s="574" t="e">
        <f>'Unit Data from Audit Worksheet'!$E$299</f>
        <v>#N/A</v>
      </c>
      <c r="AD337" s="574" t="e">
        <f>'Unit Data from Audit Worksheet'!$E$299</f>
        <v>#N/A</v>
      </c>
      <c r="AE337" s="574" t="e">
        <f>'Unit Data from Audit Worksheet'!$E$299</f>
        <v>#N/A</v>
      </c>
      <c r="AF337" s="574" t="e">
        <f>'Unit Data from Audit Worksheet'!$E$299</f>
        <v>#N/A</v>
      </c>
      <c r="AG337" s="574" t="e">
        <f>'Unit Data from Audit Worksheet'!$E$299</f>
        <v>#N/A</v>
      </c>
      <c r="AH337" s="574" t="e">
        <f>'Unit Data from Audit Worksheet'!$E$299</f>
        <v>#N/A</v>
      </c>
      <c r="AI337" s="574" t="e">
        <f>'Unit Data from Audit Worksheet'!$E$299</f>
        <v>#N/A</v>
      </c>
      <c r="AJ337" s="574" t="e">
        <f>'Unit Data from Audit Worksheet'!$E$299</f>
        <v>#N/A</v>
      </c>
      <c r="AK337" s="574" t="e">
        <f>'Unit Data from Audit Worksheet'!$E$299</f>
        <v>#N/A</v>
      </c>
      <c r="AL337" s="574" t="e">
        <f>'Unit Data from Audit Worksheet'!$E$299</f>
        <v>#N/A</v>
      </c>
      <c r="AM337" s="574" t="e">
        <f>'Unit Data from Audit Worksheet'!$E$299</f>
        <v>#N/A</v>
      </c>
      <c r="AN337" s="574" t="e">
        <f>'Unit Data from Audit Worksheet'!$E$299</f>
        <v>#N/A</v>
      </c>
      <c r="AO337" s="574" t="e">
        <f>'Unit Data from Audit Worksheet'!$E$299</f>
        <v>#N/A</v>
      </c>
      <c r="AP337" s="574" t="e">
        <f>'Unit Data from Audit Worksheet'!$E$299</f>
        <v>#N/A</v>
      </c>
      <c r="AQ337" s="574" t="e">
        <f>'Unit Data from Audit Worksheet'!$E$299</f>
        <v>#N/A</v>
      </c>
      <c r="AR337" s="574" t="e">
        <f>'Unit Data from Audit Worksheet'!$E$299</f>
        <v>#N/A</v>
      </c>
      <c r="AS337" s="574" t="e">
        <f>'Unit Data from Audit Worksheet'!$E$299</f>
        <v>#N/A</v>
      </c>
      <c r="AT337" s="574" t="e">
        <f>'Unit Data from Audit Worksheet'!$E$299</f>
        <v>#N/A</v>
      </c>
      <c r="AU337" s="574" t="e">
        <f>'Unit Data from Audit Worksheet'!$E$299</f>
        <v>#N/A</v>
      </c>
      <c r="AV337" s="574" t="e">
        <f>'Unit Data from Audit Worksheet'!$E$299</f>
        <v>#N/A</v>
      </c>
      <c r="AW337" s="574" t="e">
        <f>'Unit Data from Audit Worksheet'!$E$299</f>
        <v>#N/A</v>
      </c>
      <c r="AX337" s="574" t="e">
        <f>'Unit Data from Audit Worksheet'!$E$299</f>
        <v>#N/A</v>
      </c>
      <c r="AY337" s="574" t="e">
        <f>'Unit Data from Audit Worksheet'!$E$299</f>
        <v>#N/A</v>
      </c>
      <c r="AZ337" s="574" t="e">
        <f>'Unit Data from Audit Worksheet'!$E$299</f>
        <v>#N/A</v>
      </c>
      <c r="BA337" s="574" t="e">
        <f>'Unit Data from Audit Worksheet'!$E$299</f>
        <v>#N/A</v>
      </c>
      <c r="BB337" s="574" t="e">
        <f>'Unit Data from Audit Worksheet'!$E$299</f>
        <v>#N/A</v>
      </c>
      <c r="BC337" s="574" t="e">
        <f>'Unit Data from Audit Worksheet'!$E$299</f>
        <v>#N/A</v>
      </c>
      <c r="BD337" s="574" t="e">
        <f>'Unit Data from Audit Worksheet'!$E$299</f>
        <v>#N/A</v>
      </c>
      <c r="BE337" s="574" t="e">
        <f>'Unit Data from Audit Worksheet'!$E$299</f>
        <v>#N/A</v>
      </c>
      <c r="BF337" s="574" t="e">
        <f>'Unit Data from Audit Worksheet'!$E$299</f>
        <v>#N/A</v>
      </c>
      <c r="BG337" s="574" t="e">
        <f>'Unit Data from Audit Worksheet'!$E$299</f>
        <v>#N/A</v>
      </c>
      <c r="BH337" s="574" t="e">
        <f>'Unit Data from Audit Worksheet'!$E$299</f>
        <v>#N/A</v>
      </c>
      <c r="BI337" s="574" t="e">
        <f>'Unit Data from Audit Worksheet'!$E$299</f>
        <v>#N/A</v>
      </c>
      <c r="BJ337" s="574" t="e">
        <f>'Unit Data from Audit Worksheet'!$E$299</f>
        <v>#N/A</v>
      </c>
      <c r="BK337" s="574" t="e">
        <f>'Unit Data from Audit Worksheet'!$E$299</f>
        <v>#N/A</v>
      </c>
      <c r="BL337" s="574" t="e">
        <f>'Unit Data from Audit Worksheet'!$E$299</f>
        <v>#N/A</v>
      </c>
      <c r="BM337" s="574" t="e">
        <f>'Unit Data from Audit Worksheet'!$E$299</f>
        <v>#N/A</v>
      </c>
      <c r="BN337" s="574" t="e">
        <f>'Unit Data from Audit Worksheet'!$E$299</f>
        <v>#N/A</v>
      </c>
      <c r="BO337" s="574" t="e">
        <f>'Unit Data from Audit Worksheet'!$E$299</f>
        <v>#N/A</v>
      </c>
      <c r="BP337" s="574" t="e">
        <f>'Unit Data from Audit Worksheet'!$E$299</f>
        <v>#N/A</v>
      </c>
      <c r="BQ337" s="574" t="e">
        <f>'Unit Data from Audit Worksheet'!$E$299</f>
        <v>#N/A</v>
      </c>
      <c r="BR337" s="574" t="e">
        <f>'Unit Data from Audit Worksheet'!$E$299</f>
        <v>#N/A</v>
      </c>
      <c r="BS337" s="574" t="e">
        <f>'Unit Data from Audit Worksheet'!$E$299</f>
        <v>#N/A</v>
      </c>
      <c r="BT337" s="574" t="e">
        <f>'Unit Data from Audit Worksheet'!$E$299</f>
        <v>#N/A</v>
      </c>
      <c r="BU337" s="574" t="e">
        <f>'Unit Data from Audit Worksheet'!$E$299</f>
        <v>#N/A</v>
      </c>
      <c r="BV337" s="574" t="e">
        <f>'Unit Data from Audit Worksheet'!$E$299</f>
        <v>#N/A</v>
      </c>
      <c r="BW337" s="574" t="e">
        <f>'Unit Data from Audit Worksheet'!$E$299</f>
        <v>#N/A</v>
      </c>
      <c r="BX337" s="574" t="e">
        <f>'Unit Data from Audit Worksheet'!$E$299</f>
        <v>#N/A</v>
      </c>
      <c r="BY337" s="574" t="e">
        <f>'Unit Data from Audit Worksheet'!$E$299</f>
        <v>#N/A</v>
      </c>
      <c r="BZ337" s="574" t="e">
        <f>'Unit Data from Audit Worksheet'!$E$299</f>
        <v>#N/A</v>
      </c>
      <c r="CA337" s="574" t="e">
        <f>'Unit Data from Audit Worksheet'!$E$299</f>
        <v>#N/A</v>
      </c>
      <c r="CB337" s="574" t="e">
        <f>'Unit Data from Audit Worksheet'!$E$299</f>
        <v>#N/A</v>
      </c>
      <c r="CC337" s="574" t="e">
        <f>'Unit Data from Audit Worksheet'!$E$299</f>
        <v>#N/A</v>
      </c>
      <c r="CD337" s="574" t="e">
        <f>'Unit Data from Audit Worksheet'!$E$299</f>
        <v>#N/A</v>
      </c>
      <c r="CE337" s="574" t="e">
        <f>'Unit Data from Audit Worksheet'!$E$299</f>
        <v>#N/A</v>
      </c>
      <c r="CF337" s="574" t="e">
        <f>'Unit Data from Audit Worksheet'!$E$299</f>
        <v>#N/A</v>
      </c>
      <c r="CG337" s="574" t="e">
        <f>'Unit Data from Audit Worksheet'!$E$299</f>
        <v>#N/A</v>
      </c>
      <c r="CH337" s="574" t="e">
        <f>'Unit Data from Audit Worksheet'!$E$299</f>
        <v>#N/A</v>
      </c>
      <c r="CI337" s="574" t="e">
        <f>'Unit Data from Audit Worksheet'!$E$299</f>
        <v>#N/A</v>
      </c>
      <c r="CJ337" s="574" t="e">
        <f>'Unit Data from Audit Worksheet'!$E$299</f>
        <v>#N/A</v>
      </c>
      <c r="CK337" s="574" t="e">
        <f>'Unit Data from Audit Worksheet'!$E$299</f>
        <v>#N/A</v>
      </c>
      <c r="CL337" s="574" t="e">
        <f>'Unit Data from Audit Worksheet'!$E$299</f>
        <v>#N/A</v>
      </c>
      <c r="CM337" s="574" t="e">
        <f>'Unit Data from Audit Worksheet'!$E$299</f>
        <v>#N/A</v>
      </c>
      <c r="CN337" s="574" t="e">
        <f>'Unit Data from Audit Worksheet'!$E$299</f>
        <v>#N/A</v>
      </c>
      <c r="CO337" s="574" t="e">
        <f>'Unit Data from Audit Worksheet'!$E$299</f>
        <v>#N/A</v>
      </c>
      <c r="CP337" s="574" t="e">
        <f>'Unit Data from Audit Worksheet'!$E$299</f>
        <v>#N/A</v>
      </c>
      <c r="CQ337" s="574" t="e">
        <f>'Unit Data from Audit Worksheet'!$E$299</f>
        <v>#N/A</v>
      </c>
      <c r="CR337" s="574" t="e">
        <f>'Unit Data from Audit Worksheet'!$E$299</f>
        <v>#N/A</v>
      </c>
      <c r="CS337" s="574" t="e">
        <f>'Unit Data from Audit Worksheet'!$E$299</f>
        <v>#N/A</v>
      </c>
      <c r="CT337" s="574" t="e">
        <f>'Unit Data from Audit Worksheet'!$E$299</f>
        <v>#N/A</v>
      </c>
      <c r="CU337" s="574" t="e">
        <f>'Unit Data from Audit Worksheet'!$E$299</f>
        <v>#N/A</v>
      </c>
      <c r="CV337" s="574" t="e">
        <f>'Unit Data from Audit Worksheet'!$E$299</f>
        <v>#N/A</v>
      </c>
      <c r="CW337" s="574" t="e">
        <f>'Unit Data from Audit Worksheet'!$E$299</f>
        <v>#N/A</v>
      </c>
      <c r="CX337" s="574" t="e">
        <f>'Unit Data from Audit Worksheet'!$E$299</f>
        <v>#N/A</v>
      </c>
      <c r="CY337" s="574" t="e">
        <f>'Unit Data from Audit Worksheet'!$E$299</f>
        <v>#N/A</v>
      </c>
      <c r="CZ337" s="574" t="e">
        <f>'Unit Data from Audit Worksheet'!$E$299</f>
        <v>#N/A</v>
      </c>
    </row>
    <row r="338" spans="2:104" x14ac:dyDescent="0.3">
      <c r="B338" s="180"/>
      <c r="C338" s="180"/>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4"/>
      <c r="AL338" s="574"/>
      <c r="AM338" s="574"/>
      <c r="AN338" s="574"/>
      <c r="AO338" s="574"/>
      <c r="AP338" s="574"/>
      <c r="AQ338" s="574"/>
      <c r="AR338" s="574"/>
      <c r="AS338" s="574"/>
      <c r="AT338" s="574"/>
      <c r="AU338" s="574"/>
      <c r="AV338" s="574"/>
      <c r="AW338" s="574"/>
      <c r="AX338" s="574"/>
      <c r="AY338" s="574"/>
      <c r="AZ338" s="574"/>
      <c r="BA338" s="574"/>
      <c r="BB338" s="574"/>
      <c r="BC338" s="574"/>
      <c r="BD338" s="574"/>
      <c r="BE338" s="574"/>
      <c r="BF338" s="574"/>
      <c r="BG338" s="574"/>
      <c r="BH338" s="574"/>
      <c r="BI338" s="574"/>
      <c r="BJ338" s="574"/>
      <c r="BK338" s="574"/>
      <c r="BL338" s="574"/>
      <c r="BM338" s="574"/>
      <c r="BN338" s="574"/>
      <c r="BO338" s="574"/>
      <c r="BP338" s="574"/>
      <c r="BQ338" s="574"/>
      <c r="BR338" s="574"/>
      <c r="BS338" s="574"/>
      <c r="BT338" s="574"/>
      <c r="BU338" s="574"/>
      <c r="BV338" s="574"/>
      <c r="BW338" s="574"/>
      <c r="BX338" s="574"/>
      <c r="BY338" s="574"/>
      <c r="BZ338" s="574"/>
      <c r="CA338" s="574"/>
      <c r="CB338" s="574"/>
      <c r="CC338" s="574"/>
      <c r="CD338" s="574"/>
      <c r="CE338" s="574"/>
      <c r="CF338" s="574"/>
      <c r="CG338" s="574"/>
      <c r="CH338" s="574"/>
      <c r="CI338" s="574"/>
      <c r="CJ338" s="574"/>
      <c r="CK338" s="574"/>
      <c r="CL338" s="574"/>
      <c r="CM338" s="574"/>
      <c r="CN338" s="574"/>
      <c r="CO338" s="574"/>
      <c r="CP338" s="574"/>
      <c r="CQ338" s="574"/>
      <c r="CR338" s="574"/>
      <c r="CS338" s="574"/>
      <c r="CT338" s="574"/>
      <c r="CU338" s="574"/>
      <c r="CV338" s="574"/>
      <c r="CW338" s="574"/>
      <c r="CX338" s="574"/>
      <c r="CY338" s="574"/>
      <c r="CZ338" s="574"/>
    </row>
    <row r="339" spans="2:104" x14ac:dyDescent="0.3">
      <c r="B339" s="180"/>
      <c r="C339" s="180"/>
      <c r="D339" s="574" t="e">
        <f>D335-D337</f>
        <v>#N/A</v>
      </c>
      <c r="E339" s="574" t="e">
        <f t="shared" ref="E339:BP339" si="153">E335-E337</f>
        <v>#N/A</v>
      </c>
      <c r="F339" s="574" t="e">
        <f t="shared" si="153"/>
        <v>#N/A</v>
      </c>
      <c r="G339" s="574" t="e">
        <f t="shared" si="153"/>
        <v>#N/A</v>
      </c>
      <c r="H339" s="574" t="e">
        <f t="shared" si="153"/>
        <v>#N/A</v>
      </c>
      <c r="I339" s="574" t="e">
        <f t="shared" si="153"/>
        <v>#N/A</v>
      </c>
      <c r="J339" s="574" t="e">
        <f t="shared" si="153"/>
        <v>#N/A</v>
      </c>
      <c r="K339" s="574" t="e">
        <f t="shared" si="153"/>
        <v>#N/A</v>
      </c>
      <c r="L339" s="574" t="e">
        <f t="shared" si="153"/>
        <v>#N/A</v>
      </c>
      <c r="M339" s="574" t="e">
        <f t="shared" si="153"/>
        <v>#N/A</v>
      </c>
      <c r="N339" s="574" t="e">
        <f t="shared" si="153"/>
        <v>#N/A</v>
      </c>
      <c r="O339" s="574" t="e">
        <f t="shared" si="153"/>
        <v>#N/A</v>
      </c>
      <c r="P339" s="574" t="e">
        <f t="shared" si="153"/>
        <v>#N/A</v>
      </c>
      <c r="Q339" s="574" t="e">
        <f t="shared" si="153"/>
        <v>#N/A</v>
      </c>
      <c r="R339" s="574" t="e">
        <f t="shared" si="153"/>
        <v>#N/A</v>
      </c>
      <c r="S339" s="574" t="e">
        <f t="shared" si="153"/>
        <v>#N/A</v>
      </c>
      <c r="T339" s="574" t="e">
        <f t="shared" si="153"/>
        <v>#N/A</v>
      </c>
      <c r="U339" s="574" t="e">
        <f t="shared" si="153"/>
        <v>#N/A</v>
      </c>
      <c r="V339" s="574" t="e">
        <f t="shared" si="153"/>
        <v>#N/A</v>
      </c>
      <c r="W339" s="574" t="e">
        <f t="shared" si="153"/>
        <v>#N/A</v>
      </c>
      <c r="X339" s="574" t="e">
        <f t="shared" si="153"/>
        <v>#N/A</v>
      </c>
      <c r="Y339" s="574" t="e">
        <f t="shared" si="153"/>
        <v>#N/A</v>
      </c>
      <c r="Z339" s="574" t="e">
        <f t="shared" si="153"/>
        <v>#N/A</v>
      </c>
      <c r="AA339" s="574" t="e">
        <f t="shared" si="153"/>
        <v>#N/A</v>
      </c>
      <c r="AB339" s="574" t="e">
        <f t="shared" si="153"/>
        <v>#N/A</v>
      </c>
      <c r="AC339" s="574" t="e">
        <f t="shared" si="153"/>
        <v>#N/A</v>
      </c>
      <c r="AD339" s="574" t="e">
        <f t="shared" si="153"/>
        <v>#N/A</v>
      </c>
      <c r="AE339" s="574" t="e">
        <f t="shared" si="153"/>
        <v>#N/A</v>
      </c>
      <c r="AF339" s="574" t="e">
        <f t="shared" si="153"/>
        <v>#N/A</v>
      </c>
      <c r="AG339" s="574" t="e">
        <f t="shared" si="153"/>
        <v>#N/A</v>
      </c>
      <c r="AH339" s="574" t="e">
        <f t="shared" si="153"/>
        <v>#N/A</v>
      </c>
      <c r="AI339" s="574" t="e">
        <f t="shared" si="153"/>
        <v>#N/A</v>
      </c>
      <c r="AJ339" s="574" t="e">
        <f t="shared" si="153"/>
        <v>#N/A</v>
      </c>
      <c r="AK339" s="574" t="e">
        <f t="shared" si="153"/>
        <v>#N/A</v>
      </c>
      <c r="AL339" s="574" t="e">
        <f t="shared" si="153"/>
        <v>#N/A</v>
      </c>
      <c r="AM339" s="574" t="e">
        <f t="shared" si="153"/>
        <v>#N/A</v>
      </c>
      <c r="AN339" s="574" t="e">
        <f t="shared" si="153"/>
        <v>#N/A</v>
      </c>
      <c r="AO339" s="574" t="e">
        <f t="shared" si="153"/>
        <v>#N/A</v>
      </c>
      <c r="AP339" s="574" t="e">
        <f t="shared" si="153"/>
        <v>#N/A</v>
      </c>
      <c r="AQ339" s="574" t="e">
        <f t="shared" si="153"/>
        <v>#N/A</v>
      </c>
      <c r="AR339" s="574" t="e">
        <f t="shared" si="153"/>
        <v>#N/A</v>
      </c>
      <c r="AS339" s="574" t="e">
        <f t="shared" si="153"/>
        <v>#N/A</v>
      </c>
      <c r="AT339" s="574" t="e">
        <f t="shared" si="153"/>
        <v>#N/A</v>
      </c>
      <c r="AU339" s="574" t="e">
        <f t="shared" si="153"/>
        <v>#N/A</v>
      </c>
      <c r="AV339" s="574" t="e">
        <f t="shared" si="153"/>
        <v>#N/A</v>
      </c>
      <c r="AW339" s="574" t="e">
        <f t="shared" si="153"/>
        <v>#N/A</v>
      </c>
      <c r="AX339" s="574" t="e">
        <f t="shared" si="153"/>
        <v>#N/A</v>
      </c>
      <c r="AY339" s="574" t="e">
        <f t="shared" si="153"/>
        <v>#N/A</v>
      </c>
      <c r="AZ339" s="574" t="e">
        <f t="shared" si="153"/>
        <v>#N/A</v>
      </c>
      <c r="BA339" s="574" t="e">
        <f t="shared" si="153"/>
        <v>#N/A</v>
      </c>
      <c r="BB339" s="574" t="e">
        <f t="shared" si="153"/>
        <v>#N/A</v>
      </c>
      <c r="BC339" s="574" t="e">
        <f t="shared" si="153"/>
        <v>#N/A</v>
      </c>
      <c r="BD339" s="574" t="e">
        <f t="shared" si="153"/>
        <v>#N/A</v>
      </c>
      <c r="BE339" s="574" t="e">
        <f t="shared" si="153"/>
        <v>#N/A</v>
      </c>
      <c r="BF339" s="574" t="e">
        <f t="shared" si="153"/>
        <v>#N/A</v>
      </c>
      <c r="BG339" s="574" t="e">
        <f t="shared" si="153"/>
        <v>#N/A</v>
      </c>
      <c r="BH339" s="574" t="e">
        <f t="shared" si="153"/>
        <v>#N/A</v>
      </c>
      <c r="BI339" s="574" t="e">
        <f t="shared" si="153"/>
        <v>#N/A</v>
      </c>
      <c r="BJ339" s="574" t="e">
        <f t="shared" si="153"/>
        <v>#N/A</v>
      </c>
      <c r="BK339" s="574" t="e">
        <f t="shared" si="153"/>
        <v>#N/A</v>
      </c>
      <c r="BL339" s="574" t="e">
        <f t="shared" si="153"/>
        <v>#N/A</v>
      </c>
      <c r="BM339" s="574" t="e">
        <f t="shared" si="153"/>
        <v>#N/A</v>
      </c>
      <c r="BN339" s="574" t="e">
        <f t="shared" si="153"/>
        <v>#N/A</v>
      </c>
      <c r="BO339" s="574" t="e">
        <f t="shared" si="153"/>
        <v>#N/A</v>
      </c>
      <c r="BP339" s="574" t="e">
        <f t="shared" si="153"/>
        <v>#N/A</v>
      </c>
      <c r="BQ339" s="574" t="e">
        <f t="shared" ref="BQ339:CZ339" si="154">BQ335-BQ337</f>
        <v>#N/A</v>
      </c>
      <c r="BR339" s="574" t="e">
        <f t="shared" si="154"/>
        <v>#N/A</v>
      </c>
      <c r="BS339" s="574" t="e">
        <f t="shared" si="154"/>
        <v>#N/A</v>
      </c>
      <c r="BT339" s="574" t="e">
        <f t="shared" si="154"/>
        <v>#N/A</v>
      </c>
      <c r="BU339" s="574" t="e">
        <f t="shared" si="154"/>
        <v>#N/A</v>
      </c>
      <c r="BV339" s="574" t="e">
        <f t="shared" si="154"/>
        <v>#N/A</v>
      </c>
      <c r="BW339" s="574" t="e">
        <f t="shared" si="154"/>
        <v>#N/A</v>
      </c>
      <c r="BX339" s="574" t="e">
        <f t="shared" si="154"/>
        <v>#N/A</v>
      </c>
      <c r="BY339" s="574" t="e">
        <f t="shared" si="154"/>
        <v>#N/A</v>
      </c>
      <c r="BZ339" s="574" t="e">
        <f t="shared" si="154"/>
        <v>#N/A</v>
      </c>
      <c r="CA339" s="574" t="e">
        <f t="shared" si="154"/>
        <v>#N/A</v>
      </c>
      <c r="CB339" s="574" t="e">
        <f t="shared" si="154"/>
        <v>#N/A</v>
      </c>
      <c r="CC339" s="574" t="e">
        <f t="shared" si="154"/>
        <v>#N/A</v>
      </c>
      <c r="CD339" s="574" t="e">
        <f t="shared" si="154"/>
        <v>#N/A</v>
      </c>
      <c r="CE339" s="574" t="e">
        <f t="shared" si="154"/>
        <v>#N/A</v>
      </c>
      <c r="CF339" s="574" t="e">
        <f t="shared" si="154"/>
        <v>#N/A</v>
      </c>
      <c r="CG339" s="574" t="e">
        <f t="shared" si="154"/>
        <v>#N/A</v>
      </c>
      <c r="CH339" s="574" t="e">
        <f t="shared" si="154"/>
        <v>#N/A</v>
      </c>
      <c r="CI339" s="574" t="e">
        <f t="shared" si="154"/>
        <v>#N/A</v>
      </c>
      <c r="CJ339" s="574" t="e">
        <f t="shared" si="154"/>
        <v>#N/A</v>
      </c>
      <c r="CK339" s="574" t="e">
        <f t="shared" si="154"/>
        <v>#N/A</v>
      </c>
      <c r="CL339" s="574" t="e">
        <f t="shared" si="154"/>
        <v>#N/A</v>
      </c>
      <c r="CM339" s="574" t="e">
        <f t="shared" si="154"/>
        <v>#N/A</v>
      </c>
      <c r="CN339" s="574" t="e">
        <f t="shared" si="154"/>
        <v>#N/A</v>
      </c>
      <c r="CO339" s="574" t="e">
        <f t="shared" si="154"/>
        <v>#N/A</v>
      </c>
      <c r="CP339" s="574" t="e">
        <f t="shared" si="154"/>
        <v>#N/A</v>
      </c>
      <c r="CQ339" s="574" t="e">
        <f t="shared" si="154"/>
        <v>#N/A</v>
      </c>
      <c r="CR339" s="574" t="e">
        <f t="shared" si="154"/>
        <v>#N/A</v>
      </c>
      <c r="CS339" s="574" t="e">
        <f t="shared" si="154"/>
        <v>#N/A</v>
      </c>
      <c r="CT339" s="574" t="e">
        <f t="shared" si="154"/>
        <v>#N/A</v>
      </c>
      <c r="CU339" s="574" t="e">
        <f t="shared" si="154"/>
        <v>#N/A</v>
      </c>
      <c r="CV339" s="574" t="e">
        <f t="shared" si="154"/>
        <v>#N/A</v>
      </c>
      <c r="CW339" s="574" t="e">
        <f t="shared" si="154"/>
        <v>#N/A</v>
      </c>
      <c r="CX339" s="574" t="e">
        <f t="shared" si="154"/>
        <v>#N/A</v>
      </c>
      <c r="CY339" s="574" t="e">
        <f t="shared" si="154"/>
        <v>#N/A</v>
      </c>
      <c r="CZ339" s="574" t="e">
        <f t="shared" si="154"/>
        <v>#N/A</v>
      </c>
    </row>
    <row r="341" spans="2:104" x14ac:dyDescent="0.3">
      <c r="D341" t="str">
        <f>D1</f>
        <v>Micro</v>
      </c>
      <c r="E341" s="180" t="str">
        <f t="shared" ref="E341:BP341" si="155">E1</f>
        <v>Middleburg</v>
      </c>
      <c r="F341" s="180" t="str">
        <f t="shared" si="155"/>
        <v>Middlesex</v>
      </c>
      <c r="G341" s="180" t="str">
        <f t="shared" si="155"/>
        <v>Midland</v>
      </c>
      <c r="H341" s="180" t="str">
        <f t="shared" si="155"/>
        <v>Midway</v>
      </c>
      <c r="I341" s="180" t="str">
        <f t="shared" si="155"/>
        <v>Mills River</v>
      </c>
      <c r="J341" s="180" t="str">
        <f t="shared" si="155"/>
        <v>Milton</v>
      </c>
      <c r="K341" s="180" t="str">
        <f t="shared" si="155"/>
        <v>Mineral Springs</v>
      </c>
      <c r="L341" s="180" t="str">
        <f t="shared" si="155"/>
        <v>Minnesott Beach</v>
      </c>
      <c r="M341" s="180" t="str">
        <f t="shared" si="155"/>
        <v>Mint Hill</v>
      </c>
      <c r="N341" s="180" t="str">
        <f t="shared" si="155"/>
        <v>Misenheimer</v>
      </c>
      <c r="O341" s="180" t="str">
        <f t="shared" si="155"/>
        <v>Mocksville</v>
      </c>
      <c r="P341" s="180" t="str">
        <f t="shared" si="155"/>
        <v>Momeyer</v>
      </c>
      <c r="Q341" s="180" t="str">
        <f t="shared" si="155"/>
        <v>Monroe</v>
      </c>
      <c r="R341" s="180" t="str">
        <f t="shared" si="155"/>
        <v>Montreat</v>
      </c>
      <c r="S341" s="180" t="str">
        <f t="shared" si="155"/>
        <v>Mooresboro</v>
      </c>
      <c r="T341" s="180" t="str">
        <f t="shared" si="155"/>
        <v>Mooresville</v>
      </c>
      <c r="U341" s="180" t="str">
        <f t="shared" si="155"/>
        <v>Morehead City</v>
      </c>
      <c r="V341" s="180" t="str">
        <f t="shared" si="155"/>
        <v>Morganton</v>
      </c>
      <c r="W341" s="180" t="str">
        <f t="shared" si="155"/>
        <v>Morrisville</v>
      </c>
      <c r="X341" s="180" t="str">
        <f t="shared" si="155"/>
        <v>Morven</v>
      </c>
      <c r="Y341" s="180" t="str">
        <f t="shared" si="155"/>
        <v>Mount Airy</v>
      </c>
      <c r="Z341" s="180" t="str">
        <f t="shared" si="155"/>
        <v>Mount Gilead</v>
      </c>
      <c r="AA341" s="180" t="str">
        <f t="shared" si="155"/>
        <v>Mount Holly</v>
      </c>
      <c r="AB341" s="180" t="str">
        <f t="shared" si="155"/>
        <v>Mount Olive</v>
      </c>
      <c r="AC341" s="180" t="str">
        <f t="shared" si="155"/>
        <v>Mount Pleasant</v>
      </c>
      <c r="AD341" s="180" t="str">
        <f t="shared" si="155"/>
        <v>Murfreesboro</v>
      </c>
      <c r="AE341" s="180" t="str">
        <f t="shared" si="155"/>
        <v>Murphy</v>
      </c>
      <c r="AF341" s="180" t="str">
        <f t="shared" si="155"/>
        <v>Nags Head</v>
      </c>
      <c r="AG341" s="180" t="str">
        <f t="shared" si="155"/>
        <v>Nashville</v>
      </c>
      <c r="AH341" s="180" t="str">
        <f t="shared" si="155"/>
        <v>Navassa</v>
      </c>
      <c r="AI341" s="180" t="str">
        <f t="shared" si="155"/>
        <v>New Bern</v>
      </c>
      <c r="AJ341" s="180" t="str">
        <f t="shared" si="155"/>
        <v>New London</v>
      </c>
      <c r="AK341" s="180" t="str">
        <f t="shared" si="155"/>
        <v>Newland</v>
      </c>
      <c r="AL341" s="180" t="str">
        <f t="shared" si="155"/>
        <v>Newport</v>
      </c>
      <c r="AM341" s="180" t="str">
        <f t="shared" si="155"/>
        <v>Newton</v>
      </c>
      <c r="AN341" s="180" t="str">
        <f t="shared" si="155"/>
        <v>Newton Grove</v>
      </c>
      <c r="AO341" s="180" t="str">
        <f t="shared" si="155"/>
        <v>Norlina</v>
      </c>
      <c r="AP341" s="180" t="str">
        <f t="shared" si="155"/>
        <v>Norman</v>
      </c>
      <c r="AQ341" s="180" t="str">
        <f t="shared" si="155"/>
        <v>North Topsail Beach</v>
      </c>
      <c r="AR341" s="180" t="str">
        <f t="shared" si="155"/>
        <v>North Wilkesboro</v>
      </c>
      <c r="AS341" s="180" t="str">
        <f t="shared" si="155"/>
        <v>Northwest</v>
      </c>
      <c r="AT341" s="180" t="str">
        <f t="shared" si="155"/>
        <v>Norwood</v>
      </c>
      <c r="AU341" s="180" t="str">
        <f t="shared" si="155"/>
        <v>Oak City</v>
      </c>
      <c r="AV341" s="180" t="str">
        <f t="shared" si="155"/>
        <v>Oak Island</v>
      </c>
      <c r="AW341" s="180" t="str">
        <f t="shared" si="155"/>
        <v>Oak Ridge</v>
      </c>
      <c r="AX341" s="180" t="str">
        <f t="shared" si="155"/>
        <v>Oakboro</v>
      </c>
      <c r="AY341" s="180" t="str">
        <f t="shared" si="155"/>
        <v>Ocean Isle Beach</v>
      </c>
      <c r="AZ341" s="180" t="str">
        <f t="shared" si="155"/>
        <v>Old Fort</v>
      </c>
      <c r="BA341" s="180" t="str">
        <f t="shared" si="155"/>
        <v>Oriental</v>
      </c>
      <c r="BB341" s="180" t="str">
        <f t="shared" si="155"/>
        <v>Orrum</v>
      </c>
      <c r="BC341" s="180" t="str">
        <f t="shared" si="155"/>
        <v>Ossipee</v>
      </c>
      <c r="BD341" s="180" t="str">
        <f t="shared" si="155"/>
        <v>Oxford</v>
      </c>
      <c r="BE341" s="180" t="str">
        <f t="shared" si="155"/>
        <v>Pantego</v>
      </c>
      <c r="BF341" s="180" t="str">
        <f t="shared" si="155"/>
        <v>Parkton</v>
      </c>
      <c r="BG341" s="180" t="str">
        <f t="shared" si="155"/>
        <v>Parmele</v>
      </c>
      <c r="BH341" s="180" t="str">
        <f t="shared" si="155"/>
        <v>Patterson Springs</v>
      </c>
      <c r="BI341" s="180" t="str">
        <f t="shared" si="155"/>
        <v>Peachland</v>
      </c>
      <c r="BJ341" s="180" t="str">
        <f t="shared" si="155"/>
        <v>Peletier</v>
      </c>
      <c r="BK341" s="180" t="str">
        <f t="shared" si="155"/>
        <v>Pembroke</v>
      </c>
      <c r="BL341" s="180" t="str">
        <f t="shared" si="155"/>
        <v>Pikeville</v>
      </c>
      <c r="BM341" s="180" t="str">
        <f t="shared" si="155"/>
        <v>Pilot Mountain</v>
      </c>
      <c r="BN341" s="180" t="str">
        <f t="shared" si="155"/>
        <v>Pine Knoll Shores</v>
      </c>
      <c r="BO341" s="180" t="str">
        <f t="shared" si="155"/>
        <v>Pine Level</v>
      </c>
      <c r="BP341" s="180" t="str">
        <f t="shared" si="155"/>
        <v>Pinebluff</v>
      </c>
      <c r="BQ341" s="180" t="str">
        <f t="shared" ref="BQ341:CZ341" si="156">BQ1</f>
        <v>Pinehurst</v>
      </c>
      <c r="BR341" s="180" t="str">
        <f t="shared" si="156"/>
        <v>Pinetops</v>
      </c>
      <c r="BS341" s="180" t="str">
        <f t="shared" si="156"/>
        <v>Pineville</v>
      </c>
      <c r="BT341" s="180" t="str">
        <f t="shared" si="156"/>
        <v>Pink Hill</v>
      </c>
      <c r="BU341" s="180" t="str">
        <f t="shared" si="156"/>
        <v>Pittsboro</v>
      </c>
      <c r="BV341" s="180" t="str">
        <f t="shared" si="156"/>
        <v>Pleasant Garden</v>
      </c>
      <c r="BW341" s="180" t="str">
        <f t="shared" si="156"/>
        <v>Plymouth</v>
      </c>
      <c r="BX341" s="180" t="str">
        <f t="shared" si="156"/>
        <v>Polkton</v>
      </c>
      <c r="BY341" s="180" t="str">
        <f t="shared" si="156"/>
        <v>Polkville</v>
      </c>
      <c r="BZ341" s="180" t="str">
        <f t="shared" si="156"/>
        <v>Pollocksville</v>
      </c>
      <c r="CA341" s="180" t="str">
        <f t="shared" si="156"/>
        <v>Powellsville</v>
      </c>
      <c r="CB341" s="180" t="str">
        <f t="shared" si="156"/>
        <v>Princeton</v>
      </c>
      <c r="CC341" s="180" t="str">
        <f t="shared" si="156"/>
        <v>Princeville</v>
      </c>
      <c r="CD341" s="180" t="str">
        <f t="shared" si="156"/>
        <v>Proctorville</v>
      </c>
      <c r="CE341" s="180">
        <f t="shared" si="156"/>
        <v>0</v>
      </c>
      <c r="CF341" s="180">
        <f t="shared" si="156"/>
        <v>0</v>
      </c>
      <c r="CG341" s="180">
        <f t="shared" si="156"/>
        <v>0</v>
      </c>
      <c r="CH341" s="180">
        <f t="shared" si="156"/>
        <v>0</v>
      </c>
      <c r="CI341" s="180">
        <f t="shared" si="156"/>
        <v>0</v>
      </c>
      <c r="CJ341" s="180">
        <f t="shared" si="156"/>
        <v>0</v>
      </c>
      <c r="CK341" s="180">
        <f t="shared" si="156"/>
        <v>0</v>
      </c>
      <c r="CL341" s="180">
        <f t="shared" si="156"/>
        <v>0</v>
      </c>
      <c r="CM341" s="180">
        <f t="shared" si="156"/>
        <v>0</v>
      </c>
      <c r="CN341" s="180">
        <f t="shared" si="156"/>
        <v>0</v>
      </c>
      <c r="CO341" s="180">
        <f t="shared" si="156"/>
        <v>0</v>
      </c>
      <c r="CP341" s="180">
        <f t="shared" si="156"/>
        <v>0</v>
      </c>
      <c r="CQ341" s="180">
        <f t="shared" si="156"/>
        <v>0</v>
      </c>
      <c r="CR341" s="180">
        <f t="shared" si="156"/>
        <v>0</v>
      </c>
      <c r="CS341" s="180">
        <f t="shared" si="156"/>
        <v>0</v>
      </c>
      <c r="CT341" s="180">
        <f t="shared" si="156"/>
        <v>0</v>
      </c>
      <c r="CU341" s="180">
        <f t="shared" si="156"/>
        <v>0</v>
      </c>
      <c r="CV341" s="180">
        <f t="shared" si="156"/>
        <v>0</v>
      </c>
      <c r="CW341" s="180">
        <f t="shared" si="156"/>
        <v>0</v>
      </c>
      <c r="CX341" s="180">
        <f t="shared" si="156"/>
        <v>0</v>
      </c>
      <c r="CY341" s="180">
        <f t="shared" si="156"/>
        <v>0</v>
      </c>
      <c r="CZ341" s="180">
        <f t="shared" si="156"/>
        <v>0</v>
      </c>
    </row>
  </sheetData>
  <sheetProtection algorithmName="SHA-512" hashValue="YBBy57KRaf2MNTVnHKnNzCssQrFjB8RKYdtgKliz57RkatxLCaqfQSaQGUkbQvezi+UqRM8DuoI1QAaw8fl9Sg==" saltValue="wrGOG79CerA+jVpqTC6NCA==" spinCount="100000"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6CD5-EC5E-464A-94B3-C0CA93EDE12D}">
  <sheetPr codeName="Sheet18"/>
  <dimension ref="A1:CK314"/>
  <sheetViews>
    <sheetView workbookViewId="0">
      <pane xSplit="3" ySplit="2" topLeftCell="U3" activePane="bottomRight" state="frozen"/>
      <selection pane="topRight" activeCell="D1" sqref="D1"/>
      <selection pane="bottomLeft" activeCell="A3" sqref="A3"/>
      <selection pane="bottomRight" activeCell="X309" sqref="X309"/>
    </sheetView>
  </sheetViews>
  <sheetFormatPr defaultRowHeight="14.4" x14ac:dyDescent="0.3"/>
  <cols>
    <col min="1" max="1" width="12.5546875" style="155" customWidth="1"/>
    <col min="2" max="2" width="66.5546875" customWidth="1"/>
    <col min="3" max="3" width="37.6640625" customWidth="1"/>
    <col min="4" max="97" width="20.6640625" customWidth="1"/>
  </cols>
  <sheetData>
    <row r="1" spans="1:82" x14ac:dyDescent="0.3">
      <c r="A1" s="183" t="s">
        <v>1735</v>
      </c>
      <c r="B1" t="s">
        <v>1732</v>
      </c>
      <c r="C1" t="s">
        <v>351</v>
      </c>
      <c r="D1" t="s">
        <v>836</v>
      </c>
      <c r="E1" t="s">
        <v>837</v>
      </c>
      <c r="F1" t="s">
        <v>1387</v>
      </c>
      <c r="G1" t="s">
        <v>1388</v>
      </c>
      <c r="H1" t="s">
        <v>1389</v>
      </c>
      <c r="I1" t="s">
        <v>1390</v>
      </c>
      <c r="J1" t="s">
        <v>524</v>
      </c>
      <c r="K1" t="s">
        <v>1391</v>
      </c>
      <c r="L1" t="s">
        <v>1392</v>
      </c>
      <c r="M1" t="s">
        <v>838</v>
      </c>
      <c r="N1" t="s">
        <v>1393</v>
      </c>
      <c r="O1" t="s">
        <v>1394</v>
      </c>
      <c r="P1" t="s">
        <v>1395</v>
      </c>
      <c r="Q1" t="s">
        <v>1396</v>
      </c>
      <c r="R1" t="s">
        <v>525</v>
      </c>
      <c r="S1" t="s">
        <v>1397</v>
      </c>
      <c r="T1" t="s">
        <v>1398</v>
      </c>
      <c r="U1" t="s">
        <v>1399</v>
      </c>
      <c r="V1" t="s">
        <v>1400</v>
      </c>
      <c r="W1" t="s">
        <v>1401</v>
      </c>
      <c r="X1" t="s">
        <v>1402</v>
      </c>
      <c r="Y1" t="s">
        <v>1403</v>
      </c>
      <c r="Z1" t="s">
        <v>1404</v>
      </c>
      <c r="AA1" t="s">
        <v>839</v>
      </c>
      <c r="AB1" t="s">
        <v>526</v>
      </c>
      <c r="AC1" t="s">
        <v>1405</v>
      </c>
      <c r="AD1" t="s">
        <v>1406</v>
      </c>
      <c r="AE1" t="s">
        <v>1407</v>
      </c>
      <c r="AF1" t="s">
        <v>1408</v>
      </c>
      <c r="AG1" t="s">
        <v>1409</v>
      </c>
      <c r="AH1" t="s">
        <v>527</v>
      </c>
      <c r="AI1" t="s">
        <v>1410</v>
      </c>
      <c r="AJ1" t="s">
        <v>1411</v>
      </c>
      <c r="AK1" t="s">
        <v>1412</v>
      </c>
      <c r="AL1" t="s">
        <v>528</v>
      </c>
      <c r="AM1" t="s">
        <v>1413</v>
      </c>
      <c r="AN1" t="s">
        <v>529</v>
      </c>
      <c r="AO1" t="s">
        <v>530</v>
      </c>
      <c r="AP1" t="s">
        <v>531</v>
      </c>
      <c r="AQ1" t="s">
        <v>1414</v>
      </c>
      <c r="AR1" t="s">
        <v>1415</v>
      </c>
      <c r="AS1" t="s">
        <v>1416</v>
      </c>
      <c r="AT1" t="s">
        <v>533</v>
      </c>
      <c r="AU1" t="s">
        <v>534</v>
      </c>
      <c r="AV1" t="s">
        <v>1417</v>
      </c>
      <c r="AW1" t="s">
        <v>1418</v>
      </c>
      <c r="AX1" t="s">
        <v>1419</v>
      </c>
      <c r="AY1" t="s">
        <v>1420</v>
      </c>
      <c r="AZ1" t="s">
        <v>1421</v>
      </c>
      <c r="BA1" t="s">
        <v>1422</v>
      </c>
      <c r="BB1" t="s">
        <v>1423</v>
      </c>
      <c r="BC1" t="s">
        <v>1424</v>
      </c>
      <c r="BD1" t="s">
        <v>1425</v>
      </c>
      <c r="BE1" t="s">
        <v>1426</v>
      </c>
      <c r="BF1" t="s">
        <v>1427</v>
      </c>
      <c r="BG1" t="s">
        <v>1428</v>
      </c>
      <c r="BH1" t="s">
        <v>1429</v>
      </c>
      <c r="BI1" t="s">
        <v>1430</v>
      </c>
      <c r="BJ1" t="s">
        <v>1431</v>
      </c>
      <c r="BK1" t="s">
        <v>1432</v>
      </c>
      <c r="BL1" t="s">
        <v>536</v>
      </c>
      <c r="BM1" t="s">
        <v>537</v>
      </c>
      <c r="BN1" t="s">
        <v>1433</v>
      </c>
      <c r="BO1" t="s">
        <v>1434</v>
      </c>
      <c r="BP1" t="s">
        <v>1435</v>
      </c>
      <c r="BQ1" t="s">
        <v>1436</v>
      </c>
      <c r="BR1" t="s">
        <v>1437</v>
      </c>
      <c r="BS1" t="s">
        <v>1438</v>
      </c>
      <c r="BT1" t="s">
        <v>1439</v>
      </c>
      <c r="BU1" t="s">
        <v>1440</v>
      </c>
      <c r="BV1" t="s">
        <v>1441</v>
      </c>
      <c r="BW1" t="s">
        <v>840</v>
      </c>
      <c r="BX1" t="s">
        <v>1442</v>
      </c>
      <c r="BY1" t="s">
        <v>538</v>
      </c>
      <c r="BZ1" t="s">
        <v>539</v>
      </c>
      <c r="CA1" t="s">
        <v>1443</v>
      </c>
      <c r="CB1" t="s">
        <v>1444</v>
      </c>
      <c r="CC1" t="s">
        <v>540</v>
      </c>
      <c r="CD1" t="s">
        <v>541</v>
      </c>
    </row>
    <row r="2" spans="1:82" x14ac:dyDescent="0.3">
      <c r="A2" s="155" t="s">
        <v>895</v>
      </c>
      <c r="B2" t="s">
        <v>41</v>
      </c>
      <c r="C2" t="s">
        <v>13</v>
      </c>
      <c r="D2" s="809">
        <v>50254</v>
      </c>
      <c r="E2" s="809">
        <v>50255</v>
      </c>
      <c r="F2" s="809">
        <v>50256</v>
      </c>
      <c r="G2" s="809">
        <v>50558</v>
      </c>
      <c r="H2" s="809">
        <v>50566</v>
      </c>
      <c r="I2" s="809">
        <v>50562</v>
      </c>
      <c r="J2" s="809">
        <v>50257</v>
      </c>
      <c r="K2" s="809">
        <v>50555</v>
      </c>
      <c r="L2" s="809">
        <v>50445</v>
      </c>
      <c r="M2" s="809">
        <v>50452</v>
      </c>
      <c r="N2" s="809">
        <v>50563</v>
      </c>
      <c r="O2" s="809">
        <v>50258</v>
      </c>
      <c r="P2" s="809">
        <v>50523</v>
      </c>
      <c r="Q2" s="809">
        <v>50259</v>
      </c>
      <c r="R2" s="809">
        <v>50260</v>
      </c>
      <c r="S2" s="809">
        <v>50487</v>
      </c>
      <c r="T2" s="809">
        <v>50261</v>
      </c>
      <c r="U2" s="809">
        <v>50262</v>
      </c>
      <c r="V2" s="809">
        <v>50263</v>
      </c>
      <c r="W2" s="809">
        <v>50264</v>
      </c>
      <c r="X2" s="809">
        <v>50265</v>
      </c>
      <c r="Y2" s="809">
        <v>50266</v>
      </c>
      <c r="Z2" s="809">
        <v>50267</v>
      </c>
      <c r="AA2" s="809">
        <v>50268</v>
      </c>
      <c r="AB2" s="809">
        <v>50269</v>
      </c>
      <c r="AC2" s="809">
        <v>50270</v>
      </c>
      <c r="AD2" s="809">
        <v>50271</v>
      </c>
      <c r="AE2" s="809">
        <v>50272</v>
      </c>
      <c r="AF2" s="809">
        <v>50273</v>
      </c>
      <c r="AG2" s="809">
        <v>50274</v>
      </c>
      <c r="AH2" s="809">
        <v>50480</v>
      </c>
      <c r="AI2" s="809">
        <v>50275</v>
      </c>
      <c r="AJ2" s="809">
        <v>50277</v>
      </c>
      <c r="AK2" s="809">
        <v>50276</v>
      </c>
      <c r="AL2" s="809">
        <v>50278</v>
      </c>
      <c r="AM2" s="809">
        <v>50279</v>
      </c>
      <c r="AN2" s="809">
        <v>50280</v>
      </c>
      <c r="AO2" s="809">
        <v>50281</v>
      </c>
      <c r="AP2" s="809">
        <v>50478</v>
      </c>
      <c r="AQ2" s="809">
        <v>50524</v>
      </c>
      <c r="AR2" s="809">
        <v>50282</v>
      </c>
      <c r="AS2" s="809">
        <v>50525</v>
      </c>
      <c r="AT2" s="809">
        <v>50283</v>
      </c>
      <c r="AU2" s="809">
        <v>50285</v>
      </c>
      <c r="AV2" s="809">
        <v>50553</v>
      </c>
      <c r="AW2" s="809">
        <v>50548</v>
      </c>
      <c r="AX2" s="809">
        <v>50284</v>
      </c>
      <c r="AY2" s="809">
        <v>50286</v>
      </c>
      <c r="AZ2" s="809">
        <v>50287</v>
      </c>
      <c r="BA2" s="809">
        <v>50288</v>
      </c>
      <c r="BB2" s="809">
        <v>50290</v>
      </c>
      <c r="BC2" s="809">
        <v>50564</v>
      </c>
      <c r="BD2" s="809">
        <v>50289</v>
      </c>
      <c r="BE2" s="809">
        <v>50291</v>
      </c>
      <c r="BF2" s="809">
        <v>50292</v>
      </c>
      <c r="BG2" s="809">
        <v>50293</v>
      </c>
      <c r="BH2" s="809">
        <v>50463</v>
      </c>
      <c r="BI2" s="809">
        <v>50294</v>
      </c>
      <c r="BJ2" s="809">
        <v>50538</v>
      </c>
      <c r="BK2" s="809">
        <v>50295</v>
      </c>
      <c r="BL2" s="809">
        <v>50296</v>
      </c>
      <c r="BM2" s="809">
        <v>50297</v>
      </c>
      <c r="BN2" s="809">
        <v>50449</v>
      </c>
      <c r="BO2" s="809">
        <v>50300</v>
      </c>
      <c r="BP2" s="809">
        <v>50298</v>
      </c>
      <c r="BQ2" s="809">
        <v>50299</v>
      </c>
      <c r="BR2" s="809">
        <v>50301</v>
      </c>
      <c r="BS2">
        <v>50302</v>
      </c>
      <c r="BT2">
        <v>50303</v>
      </c>
      <c r="BU2">
        <v>50304</v>
      </c>
      <c r="BV2">
        <v>50540</v>
      </c>
      <c r="BW2">
        <v>50305</v>
      </c>
      <c r="BX2">
        <v>50306</v>
      </c>
      <c r="BY2">
        <v>50479</v>
      </c>
      <c r="BZ2">
        <v>50307</v>
      </c>
      <c r="CA2">
        <v>50308</v>
      </c>
      <c r="CB2">
        <v>50309</v>
      </c>
      <c r="CC2">
        <v>50310</v>
      </c>
      <c r="CD2">
        <v>50311</v>
      </c>
    </row>
    <row r="3" spans="1:82" x14ac:dyDescent="0.3">
      <c r="A3" s="155">
        <v>4</v>
      </c>
      <c r="B3" t="s">
        <v>111</v>
      </c>
      <c r="D3">
        <v>70110</v>
      </c>
      <c r="E3">
        <v>4884</v>
      </c>
      <c r="F3">
        <v>13090</v>
      </c>
      <c r="G3">
        <v>65640</v>
      </c>
      <c r="H3">
        <v>62428</v>
      </c>
      <c r="I3">
        <v>15406</v>
      </c>
      <c r="J3">
        <v>322</v>
      </c>
      <c r="K3">
        <v>1996</v>
      </c>
      <c r="L3">
        <v>6482</v>
      </c>
      <c r="M3">
        <v>411893</v>
      </c>
      <c r="N3">
        <v>5320</v>
      </c>
      <c r="O3">
        <v>126322</v>
      </c>
      <c r="P3">
        <v>1238</v>
      </c>
      <c r="Q3">
        <v>2286673</v>
      </c>
      <c r="R3">
        <v>55140</v>
      </c>
      <c r="S3">
        <v>4092</v>
      </c>
      <c r="T3">
        <v>6891927</v>
      </c>
      <c r="U3">
        <v>1077263</v>
      </c>
      <c r="V3">
        <v>1014929</v>
      </c>
      <c r="W3">
        <v>2258931</v>
      </c>
      <c r="X3">
        <v>18228</v>
      </c>
      <c r="Y3">
        <v>1415500</v>
      </c>
      <c r="Z3">
        <v>25961</v>
      </c>
      <c r="AA3">
        <v>319138</v>
      </c>
      <c r="AB3">
        <v>195657</v>
      </c>
      <c r="AC3">
        <v>58279</v>
      </c>
      <c r="AD3">
        <v>42516</v>
      </c>
      <c r="AE3">
        <v>24854</v>
      </c>
      <c r="AF3">
        <v>686439</v>
      </c>
      <c r="AG3">
        <v>350438</v>
      </c>
      <c r="AH3">
        <v>9008</v>
      </c>
      <c r="AI3">
        <v>2963461</v>
      </c>
      <c r="AJ3">
        <v>14310</v>
      </c>
      <c r="AK3">
        <v>9169</v>
      </c>
      <c r="AM3">
        <v>503407</v>
      </c>
      <c r="AN3">
        <v>30258</v>
      </c>
      <c r="AO3">
        <v>4633</v>
      </c>
      <c r="AP3">
        <v>0</v>
      </c>
      <c r="AQ3">
        <v>178581</v>
      </c>
      <c r="AR3">
        <v>140267</v>
      </c>
      <c r="AS3">
        <v>20677</v>
      </c>
      <c r="AT3">
        <v>97184</v>
      </c>
      <c r="AU3">
        <v>16678</v>
      </c>
      <c r="AV3">
        <v>269341</v>
      </c>
      <c r="AW3">
        <v>66600</v>
      </c>
      <c r="AX3">
        <v>68410</v>
      </c>
      <c r="AY3">
        <v>1720513</v>
      </c>
      <c r="AZ3">
        <v>119536</v>
      </c>
      <c r="BA3">
        <v>78484</v>
      </c>
      <c r="BB3">
        <v>0</v>
      </c>
      <c r="BC3">
        <v>48002</v>
      </c>
      <c r="BD3">
        <v>562411</v>
      </c>
      <c r="BE3">
        <v>2846</v>
      </c>
      <c r="BF3">
        <v>2804</v>
      </c>
      <c r="BG3">
        <v>2078</v>
      </c>
      <c r="BH3">
        <v>1121</v>
      </c>
      <c r="BI3">
        <v>2862</v>
      </c>
      <c r="BJ3">
        <v>64520</v>
      </c>
      <c r="BK3">
        <v>213873</v>
      </c>
      <c r="BL3">
        <v>23815</v>
      </c>
      <c r="BM3">
        <v>77359</v>
      </c>
      <c r="BN3">
        <v>257428</v>
      </c>
      <c r="BO3">
        <v>88737</v>
      </c>
      <c r="BP3">
        <v>0</v>
      </c>
      <c r="BQ3">
        <v>1314991</v>
      </c>
      <c r="BR3">
        <v>46529</v>
      </c>
      <c r="BS3">
        <v>1890401</v>
      </c>
      <c r="BT3">
        <v>12858</v>
      </c>
      <c r="BU3">
        <v>1118043</v>
      </c>
      <c r="BV3">
        <v>237721</v>
      </c>
      <c r="BW3">
        <v>109098</v>
      </c>
      <c r="BX3">
        <v>43929</v>
      </c>
      <c r="BY3">
        <v>2229</v>
      </c>
      <c r="BZ3">
        <v>11667</v>
      </c>
      <c r="CA3">
        <v>8136</v>
      </c>
      <c r="CB3">
        <v>25630</v>
      </c>
      <c r="CD3">
        <v>20738</v>
      </c>
    </row>
    <row r="4" spans="1:82" x14ac:dyDescent="0.3">
      <c r="A4" s="155">
        <v>5</v>
      </c>
      <c r="B4" t="s">
        <v>112</v>
      </c>
      <c r="D4">
        <v>0</v>
      </c>
      <c r="E4">
        <v>0</v>
      </c>
      <c r="F4">
        <v>0</v>
      </c>
      <c r="G4">
        <v>8121</v>
      </c>
      <c r="H4">
        <v>0</v>
      </c>
      <c r="I4">
        <v>10118</v>
      </c>
      <c r="J4">
        <v>0</v>
      </c>
      <c r="K4">
        <v>71</v>
      </c>
      <c r="L4">
        <v>0</v>
      </c>
      <c r="M4">
        <v>0</v>
      </c>
      <c r="N4">
        <v>0</v>
      </c>
      <c r="O4">
        <v>0</v>
      </c>
      <c r="P4">
        <v>0</v>
      </c>
      <c r="Q4">
        <v>20684</v>
      </c>
      <c r="R4">
        <v>0</v>
      </c>
      <c r="S4">
        <v>0</v>
      </c>
      <c r="T4">
        <v>1056727</v>
      </c>
      <c r="U4">
        <v>799745</v>
      </c>
      <c r="V4">
        <v>349</v>
      </c>
      <c r="W4">
        <v>10233</v>
      </c>
      <c r="X4">
        <v>0</v>
      </c>
      <c r="Y4">
        <v>18946</v>
      </c>
      <c r="Z4">
        <v>0</v>
      </c>
      <c r="AA4">
        <v>0</v>
      </c>
      <c r="AB4">
        <v>0</v>
      </c>
      <c r="AC4">
        <v>0</v>
      </c>
      <c r="AD4">
        <v>0</v>
      </c>
      <c r="AE4">
        <v>23319</v>
      </c>
      <c r="AF4">
        <v>4222</v>
      </c>
      <c r="AG4">
        <v>0</v>
      </c>
      <c r="AH4">
        <v>166640</v>
      </c>
      <c r="AI4">
        <v>297778</v>
      </c>
      <c r="AJ4">
        <v>0</v>
      </c>
      <c r="AK4">
        <v>0</v>
      </c>
      <c r="AM4">
        <v>785</v>
      </c>
      <c r="AN4">
        <v>1221</v>
      </c>
      <c r="AO4">
        <v>0</v>
      </c>
      <c r="AP4">
        <v>0</v>
      </c>
      <c r="AQ4">
        <v>0</v>
      </c>
      <c r="AR4">
        <v>13000000</v>
      </c>
      <c r="AS4">
        <v>300000</v>
      </c>
      <c r="AT4">
        <v>289</v>
      </c>
      <c r="AU4">
        <v>0</v>
      </c>
      <c r="AV4">
        <v>32023</v>
      </c>
      <c r="AW4">
        <v>0</v>
      </c>
      <c r="AX4">
        <v>0</v>
      </c>
      <c r="AY4">
        <v>0</v>
      </c>
      <c r="AZ4">
        <v>0</v>
      </c>
      <c r="BA4">
        <v>0</v>
      </c>
      <c r="BB4">
        <v>0</v>
      </c>
      <c r="BC4">
        <v>0</v>
      </c>
      <c r="BD4">
        <v>0</v>
      </c>
      <c r="BE4">
        <v>0</v>
      </c>
      <c r="BF4">
        <v>0</v>
      </c>
      <c r="BG4">
        <v>0</v>
      </c>
      <c r="BH4">
        <v>0</v>
      </c>
      <c r="BI4">
        <v>0</v>
      </c>
      <c r="BJ4">
        <v>0</v>
      </c>
      <c r="BK4">
        <v>0</v>
      </c>
      <c r="BL4">
        <v>10384</v>
      </c>
      <c r="BM4">
        <v>0</v>
      </c>
      <c r="BN4">
        <v>26081</v>
      </c>
      <c r="BO4">
        <v>0</v>
      </c>
      <c r="BP4">
        <v>0</v>
      </c>
      <c r="BQ4">
        <v>0</v>
      </c>
      <c r="BR4">
        <v>0</v>
      </c>
      <c r="BS4">
        <v>0</v>
      </c>
      <c r="BT4">
        <v>2510</v>
      </c>
      <c r="BU4">
        <v>470855</v>
      </c>
      <c r="BV4">
        <v>0</v>
      </c>
      <c r="BW4">
        <v>7469</v>
      </c>
      <c r="BX4">
        <v>0</v>
      </c>
      <c r="BY4">
        <v>7028</v>
      </c>
      <c r="BZ4">
        <v>327756</v>
      </c>
      <c r="CA4">
        <v>344</v>
      </c>
      <c r="CB4">
        <v>0</v>
      </c>
      <c r="CD4">
        <v>0</v>
      </c>
    </row>
    <row r="5" spans="1:82" x14ac:dyDescent="0.3">
      <c r="A5" s="155">
        <v>6</v>
      </c>
      <c r="B5" t="s">
        <v>251</v>
      </c>
      <c r="D5">
        <v>0</v>
      </c>
      <c r="E5">
        <v>0</v>
      </c>
      <c r="F5">
        <v>0</v>
      </c>
      <c r="G5">
        <v>0</v>
      </c>
      <c r="H5">
        <v>0</v>
      </c>
      <c r="I5">
        <v>0</v>
      </c>
      <c r="J5">
        <v>0</v>
      </c>
      <c r="K5">
        <v>0</v>
      </c>
      <c r="L5">
        <v>0</v>
      </c>
      <c r="M5">
        <v>21750</v>
      </c>
      <c r="N5">
        <v>0</v>
      </c>
      <c r="O5">
        <v>0</v>
      </c>
      <c r="P5">
        <v>0</v>
      </c>
      <c r="Q5">
        <v>857510</v>
      </c>
      <c r="R5">
        <v>0</v>
      </c>
      <c r="S5">
        <v>0</v>
      </c>
      <c r="T5">
        <v>1042755</v>
      </c>
      <c r="U5">
        <v>0</v>
      </c>
      <c r="V5">
        <v>439627</v>
      </c>
      <c r="W5">
        <v>2525652</v>
      </c>
      <c r="X5">
        <v>0</v>
      </c>
      <c r="Y5">
        <v>642408</v>
      </c>
      <c r="Z5">
        <v>0</v>
      </c>
      <c r="AA5">
        <v>0</v>
      </c>
      <c r="AB5">
        <v>0</v>
      </c>
      <c r="AC5">
        <v>0</v>
      </c>
      <c r="AD5">
        <v>0</v>
      </c>
      <c r="AE5">
        <v>0</v>
      </c>
      <c r="AF5">
        <v>2319838</v>
      </c>
      <c r="AG5">
        <v>0</v>
      </c>
      <c r="AH5">
        <v>0</v>
      </c>
      <c r="AI5">
        <v>645022</v>
      </c>
      <c r="AJ5">
        <v>8150</v>
      </c>
      <c r="AK5">
        <v>0</v>
      </c>
      <c r="AM5">
        <v>921934</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685397</v>
      </c>
      <c r="BR5">
        <v>0</v>
      </c>
      <c r="BS5">
        <v>0</v>
      </c>
      <c r="BT5">
        <v>0</v>
      </c>
      <c r="BU5">
        <v>0</v>
      </c>
      <c r="BV5">
        <v>0</v>
      </c>
      <c r="BW5">
        <v>0</v>
      </c>
      <c r="BX5">
        <v>0</v>
      </c>
      <c r="BY5">
        <v>0</v>
      </c>
      <c r="BZ5">
        <v>0</v>
      </c>
      <c r="CA5">
        <v>0</v>
      </c>
      <c r="CB5">
        <v>0</v>
      </c>
      <c r="CD5">
        <v>0</v>
      </c>
    </row>
    <row r="6" spans="1:82" x14ac:dyDescent="0.3">
      <c r="A6" s="155">
        <v>7</v>
      </c>
      <c r="B6" t="s">
        <v>193</v>
      </c>
      <c r="D6">
        <v>0</v>
      </c>
      <c r="E6">
        <v>0</v>
      </c>
      <c r="F6">
        <v>0</v>
      </c>
      <c r="G6">
        <v>0</v>
      </c>
      <c r="H6">
        <v>0</v>
      </c>
      <c r="I6">
        <v>8069</v>
      </c>
      <c r="J6">
        <v>0</v>
      </c>
      <c r="K6">
        <v>0</v>
      </c>
      <c r="L6">
        <v>0</v>
      </c>
      <c r="M6">
        <v>0</v>
      </c>
      <c r="N6">
        <v>0</v>
      </c>
      <c r="O6">
        <v>0</v>
      </c>
      <c r="P6">
        <v>0</v>
      </c>
      <c r="Q6">
        <v>448815</v>
      </c>
      <c r="R6">
        <v>0</v>
      </c>
      <c r="S6">
        <v>8723</v>
      </c>
      <c r="T6">
        <v>287219</v>
      </c>
      <c r="U6">
        <v>32540</v>
      </c>
      <c r="V6">
        <v>177568</v>
      </c>
      <c r="W6">
        <v>0</v>
      </c>
      <c r="X6">
        <v>0</v>
      </c>
      <c r="Y6">
        <v>5355</v>
      </c>
      <c r="Z6">
        <v>3733</v>
      </c>
      <c r="AA6">
        <v>154119</v>
      </c>
      <c r="AB6">
        <v>15000</v>
      </c>
      <c r="AC6">
        <v>0</v>
      </c>
      <c r="AD6">
        <v>56679</v>
      </c>
      <c r="AE6">
        <v>0</v>
      </c>
      <c r="AF6">
        <v>73819</v>
      </c>
      <c r="AG6">
        <v>2742</v>
      </c>
      <c r="AH6">
        <v>0</v>
      </c>
      <c r="AI6">
        <v>294458</v>
      </c>
      <c r="AJ6">
        <v>0</v>
      </c>
      <c r="AK6">
        <v>4851</v>
      </c>
      <c r="AM6">
        <v>49505</v>
      </c>
      <c r="AN6">
        <v>0</v>
      </c>
      <c r="AO6">
        <v>0</v>
      </c>
      <c r="AP6">
        <v>0</v>
      </c>
      <c r="AQ6">
        <v>0</v>
      </c>
      <c r="AR6">
        <v>0</v>
      </c>
      <c r="AS6">
        <v>0</v>
      </c>
      <c r="AT6">
        <v>0</v>
      </c>
      <c r="AU6">
        <v>0</v>
      </c>
      <c r="AV6">
        <v>146420</v>
      </c>
      <c r="AW6">
        <v>0</v>
      </c>
      <c r="AX6">
        <v>0</v>
      </c>
      <c r="AY6">
        <v>0</v>
      </c>
      <c r="AZ6">
        <v>0</v>
      </c>
      <c r="BA6">
        <v>0</v>
      </c>
      <c r="BB6">
        <v>0</v>
      </c>
      <c r="BC6">
        <v>2972</v>
      </c>
      <c r="BD6">
        <v>3404</v>
      </c>
      <c r="BE6">
        <v>0</v>
      </c>
      <c r="BF6">
        <v>0</v>
      </c>
      <c r="BG6">
        <v>0</v>
      </c>
      <c r="BH6">
        <v>0</v>
      </c>
      <c r="BI6">
        <v>0</v>
      </c>
      <c r="BJ6">
        <v>1474</v>
      </c>
      <c r="BK6">
        <v>0</v>
      </c>
      <c r="BL6">
        <v>6008</v>
      </c>
      <c r="BM6">
        <v>0</v>
      </c>
      <c r="BN6">
        <v>53574</v>
      </c>
      <c r="BO6">
        <v>0</v>
      </c>
      <c r="BP6">
        <v>0</v>
      </c>
      <c r="BQ6">
        <v>99188</v>
      </c>
      <c r="BR6">
        <v>0</v>
      </c>
      <c r="BS6">
        <v>6653</v>
      </c>
      <c r="BT6">
        <v>0</v>
      </c>
      <c r="BU6">
        <v>0</v>
      </c>
      <c r="BV6">
        <v>350</v>
      </c>
      <c r="BW6">
        <v>0</v>
      </c>
      <c r="BX6">
        <v>0</v>
      </c>
      <c r="BY6">
        <v>0</v>
      </c>
      <c r="BZ6">
        <v>0</v>
      </c>
      <c r="CA6">
        <v>0</v>
      </c>
      <c r="CB6">
        <v>27854</v>
      </c>
      <c r="CD6">
        <v>0</v>
      </c>
    </row>
    <row r="7" spans="1:82" x14ac:dyDescent="0.3">
      <c r="A7" s="155">
        <v>9</v>
      </c>
      <c r="B7" t="s">
        <v>195</v>
      </c>
      <c r="D7">
        <v>110441</v>
      </c>
      <c r="E7">
        <v>190991</v>
      </c>
      <c r="F7">
        <v>995026</v>
      </c>
      <c r="G7">
        <v>5110197</v>
      </c>
      <c r="H7">
        <v>6211047</v>
      </c>
      <c r="I7">
        <v>5199355</v>
      </c>
      <c r="J7">
        <v>127525</v>
      </c>
      <c r="K7">
        <v>1062640</v>
      </c>
      <c r="L7">
        <v>1101791</v>
      </c>
      <c r="M7">
        <v>10790076</v>
      </c>
      <c r="N7">
        <v>778132</v>
      </c>
      <c r="O7">
        <v>7791807</v>
      </c>
      <c r="P7">
        <v>319265</v>
      </c>
      <c r="Q7">
        <v>38644926</v>
      </c>
      <c r="R7">
        <v>725236</v>
      </c>
      <c r="S7">
        <v>187590</v>
      </c>
      <c r="T7">
        <v>77838970</v>
      </c>
      <c r="U7">
        <v>10656489</v>
      </c>
      <c r="V7">
        <v>26070798</v>
      </c>
      <c r="W7">
        <v>32554766</v>
      </c>
      <c r="X7">
        <v>304136</v>
      </c>
      <c r="Y7">
        <v>14938438</v>
      </c>
      <c r="Z7">
        <v>1682872</v>
      </c>
      <c r="AA7">
        <v>17396516</v>
      </c>
      <c r="AB7">
        <v>1691970</v>
      </c>
      <c r="AC7">
        <v>2464750</v>
      </c>
      <c r="AD7">
        <v>1758714</v>
      </c>
      <c r="AE7">
        <v>3840985</v>
      </c>
      <c r="AF7">
        <v>19815156</v>
      </c>
      <c r="AG7">
        <v>6010335</v>
      </c>
      <c r="AH7">
        <v>1407921</v>
      </c>
      <c r="AI7">
        <v>25687191</v>
      </c>
      <c r="AJ7">
        <v>3767938</v>
      </c>
      <c r="AK7">
        <v>1001442</v>
      </c>
      <c r="AM7">
        <v>13267650</v>
      </c>
      <c r="AN7">
        <v>724672</v>
      </c>
      <c r="AO7">
        <v>734591</v>
      </c>
      <c r="AP7">
        <v>101725</v>
      </c>
      <c r="AQ7">
        <v>4327524</v>
      </c>
      <c r="AR7">
        <v>7171616</v>
      </c>
      <c r="AS7">
        <v>824295</v>
      </c>
      <c r="AT7">
        <v>2186161</v>
      </c>
      <c r="AU7">
        <v>299599</v>
      </c>
      <c r="AV7">
        <v>17332321</v>
      </c>
      <c r="AW7">
        <v>3997395</v>
      </c>
      <c r="AX7">
        <v>1063949</v>
      </c>
      <c r="AY7">
        <v>21015138</v>
      </c>
      <c r="AZ7">
        <v>2281353</v>
      </c>
      <c r="BA7">
        <v>1338747</v>
      </c>
      <c r="BB7">
        <v>120922</v>
      </c>
      <c r="BC7">
        <v>584049</v>
      </c>
      <c r="BD7">
        <v>7646950</v>
      </c>
      <c r="BE7">
        <v>665066</v>
      </c>
      <c r="BF7">
        <v>893008</v>
      </c>
      <c r="BG7">
        <v>245949</v>
      </c>
      <c r="BH7">
        <v>334875</v>
      </c>
      <c r="BI7">
        <v>518152</v>
      </c>
      <c r="BJ7">
        <v>274735</v>
      </c>
      <c r="BK7">
        <v>2465848</v>
      </c>
      <c r="BL7">
        <v>661774</v>
      </c>
      <c r="BM7">
        <v>697032</v>
      </c>
      <c r="BN7">
        <v>3112778</v>
      </c>
      <c r="BO7">
        <v>1380033</v>
      </c>
      <c r="BP7">
        <v>2623545</v>
      </c>
      <c r="BQ7">
        <v>13288868</v>
      </c>
      <c r="BR7">
        <v>688059</v>
      </c>
      <c r="BS7">
        <v>20044688</v>
      </c>
      <c r="BT7">
        <v>867294</v>
      </c>
      <c r="BU7">
        <v>5528139</v>
      </c>
      <c r="BV7">
        <v>908128</v>
      </c>
      <c r="BW7">
        <v>1478536</v>
      </c>
      <c r="BX7">
        <v>2084101</v>
      </c>
      <c r="BY7">
        <v>340489</v>
      </c>
      <c r="BZ7">
        <v>569620</v>
      </c>
      <c r="CA7">
        <v>180487</v>
      </c>
      <c r="CB7">
        <v>654852</v>
      </c>
      <c r="CD7">
        <v>387372</v>
      </c>
    </row>
    <row r="8" spans="1:82" x14ac:dyDescent="0.3">
      <c r="A8" s="155">
        <v>11</v>
      </c>
      <c r="B8" t="s">
        <v>194</v>
      </c>
      <c r="D8">
        <v>67450</v>
      </c>
      <c r="E8">
        <v>37312</v>
      </c>
      <c r="F8">
        <v>148893</v>
      </c>
      <c r="G8">
        <v>342316</v>
      </c>
      <c r="H8">
        <v>0</v>
      </c>
      <c r="I8">
        <v>0</v>
      </c>
      <c r="J8">
        <v>0</v>
      </c>
      <c r="K8">
        <v>0</v>
      </c>
      <c r="L8">
        <v>17464</v>
      </c>
      <c r="M8">
        <v>695500</v>
      </c>
      <c r="N8">
        <v>107543</v>
      </c>
      <c r="O8">
        <v>14</v>
      </c>
      <c r="P8">
        <v>0</v>
      </c>
      <c r="Q8">
        <v>1147750</v>
      </c>
      <c r="R8">
        <v>47844</v>
      </c>
      <c r="S8">
        <v>0</v>
      </c>
      <c r="T8">
        <v>944917</v>
      </c>
      <c r="U8">
        <v>0</v>
      </c>
      <c r="V8">
        <v>725145</v>
      </c>
      <c r="W8">
        <v>4529378</v>
      </c>
      <c r="X8">
        <v>118742</v>
      </c>
      <c r="Y8">
        <v>510468</v>
      </c>
      <c r="Z8">
        <v>85839</v>
      </c>
      <c r="AA8">
        <v>1906801</v>
      </c>
      <c r="AB8">
        <v>299367</v>
      </c>
      <c r="AC8">
        <v>41253</v>
      </c>
      <c r="AD8">
        <v>68874</v>
      </c>
      <c r="AE8">
        <v>93279</v>
      </c>
      <c r="AF8">
        <v>144188</v>
      </c>
      <c r="AG8">
        <v>0</v>
      </c>
      <c r="AH8">
        <v>82408</v>
      </c>
      <c r="AI8">
        <v>376471</v>
      </c>
      <c r="AJ8">
        <v>171759</v>
      </c>
      <c r="AK8">
        <v>926</v>
      </c>
      <c r="AM8">
        <v>342525</v>
      </c>
      <c r="AN8">
        <v>103554</v>
      </c>
      <c r="AO8">
        <v>28530</v>
      </c>
      <c r="AP8">
        <v>0</v>
      </c>
      <c r="AQ8">
        <v>14576</v>
      </c>
      <c r="AR8">
        <v>0</v>
      </c>
      <c r="AS8">
        <v>49204</v>
      </c>
      <c r="AT8">
        <v>212417</v>
      </c>
      <c r="AU8">
        <v>37571</v>
      </c>
      <c r="AV8">
        <v>756319</v>
      </c>
      <c r="AW8">
        <v>0</v>
      </c>
      <c r="AX8">
        <v>94683</v>
      </c>
      <c r="AY8">
        <v>111809</v>
      </c>
      <c r="AZ8">
        <v>53755</v>
      </c>
      <c r="BA8">
        <v>225217</v>
      </c>
      <c r="BB8">
        <v>0</v>
      </c>
      <c r="BC8">
        <v>0</v>
      </c>
      <c r="BD8">
        <v>222089</v>
      </c>
      <c r="BE8">
        <v>36412</v>
      </c>
      <c r="BF8">
        <v>28823</v>
      </c>
      <c r="BG8">
        <v>29555</v>
      </c>
      <c r="BH8">
        <v>0</v>
      </c>
      <c r="BI8">
        <v>38662</v>
      </c>
      <c r="BJ8">
        <v>16089</v>
      </c>
      <c r="BK8">
        <v>76929</v>
      </c>
      <c r="BL8">
        <v>160773</v>
      </c>
      <c r="BM8">
        <v>87448</v>
      </c>
      <c r="BN8">
        <v>48483</v>
      </c>
      <c r="BO8">
        <v>142129</v>
      </c>
      <c r="BP8">
        <v>163038</v>
      </c>
      <c r="BQ8">
        <v>0</v>
      </c>
      <c r="BR8">
        <v>207879</v>
      </c>
      <c r="BS8">
        <v>384690</v>
      </c>
      <c r="BT8">
        <v>72205</v>
      </c>
      <c r="BU8">
        <v>123587</v>
      </c>
      <c r="BV8">
        <v>0</v>
      </c>
      <c r="BW8">
        <v>21984</v>
      </c>
      <c r="BX8">
        <v>209942</v>
      </c>
      <c r="BY8">
        <v>117881</v>
      </c>
      <c r="BZ8">
        <v>34759</v>
      </c>
      <c r="CA8">
        <v>8457</v>
      </c>
      <c r="CB8">
        <v>59332</v>
      </c>
      <c r="CD8">
        <v>18636</v>
      </c>
    </row>
    <row r="9" spans="1:82" x14ac:dyDescent="0.3">
      <c r="A9" s="155">
        <v>13</v>
      </c>
      <c r="B9" t="s">
        <v>896</v>
      </c>
      <c r="D9">
        <v>0</v>
      </c>
      <c r="E9">
        <v>0</v>
      </c>
      <c r="F9">
        <v>0</v>
      </c>
      <c r="G9">
        <v>0</v>
      </c>
      <c r="H9">
        <v>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M9">
        <v>0</v>
      </c>
      <c r="AN9">
        <v>0</v>
      </c>
      <c r="AO9">
        <v>0</v>
      </c>
      <c r="AP9">
        <v>0</v>
      </c>
      <c r="AQ9">
        <v>0</v>
      </c>
      <c r="AR9">
        <v>0</v>
      </c>
      <c r="AS9">
        <v>0</v>
      </c>
      <c r="AT9">
        <v>0</v>
      </c>
      <c r="AU9">
        <v>0</v>
      </c>
      <c r="AV9">
        <v>0</v>
      </c>
      <c r="AW9">
        <v>0</v>
      </c>
      <c r="AX9">
        <v>0</v>
      </c>
      <c r="AY9">
        <v>0</v>
      </c>
      <c r="AZ9">
        <v>0</v>
      </c>
      <c r="BA9">
        <v>0</v>
      </c>
      <c r="BB9">
        <v>0</v>
      </c>
      <c r="BC9">
        <v>0</v>
      </c>
      <c r="BD9">
        <v>0</v>
      </c>
      <c r="BE9">
        <v>0</v>
      </c>
      <c r="BF9">
        <v>0</v>
      </c>
      <c r="BG9">
        <v>0</v>
      </c>
      <c r="BH9">
        <v>0</v>
      </c>
      <c r="BI9">
        <v>0</v>
      </c>
      <c r="BJ9">
        <v>0</v>
      </c>
      <c r="BK9">
        <v>0</v>
      </c>
      <c r="BL9">
        <v>0</v>
      </c>
      <c r="BM9">
        <v>0</v>
      </c>
      <c r="BN9">
        <v>0</v>
      </c>
      <c r="BO9">
        <v>0</v>
      </c>
      <c r="BP9">
        <v>0</v>
      </c>
      <c r="BQ9">
        <v>0</v>
      </c>
      <c r="BR9">
        <v>0</v>
      </c>
      <c r="BS9">
        <v>0</v>
      </c>
      <c r="BT9">
        <v>0</v>
      </c>
      <c r="BU9">
        <v>0</v>
      </c>
      <c r="BV9">
        <v>0</v>
      </c>
      <c r="BW9">
        <v>0</v>
      </c>
      <c r="BX9">
        <v>0</v>
      </c>
      <c r="BY9">
        <v>0</v>
      </c>
      <c r="BZ9">
        <v>0</v>
      </c>
      <c r="CA9">
        <v>0</v>
      </c>
      <c r="CB9">
        <v>0</v>
      </c>
      <c r="CD9">
        <v>0</v>
      </c>
    </row>
    <row r="10" spans="1:82" x14ac:dyDescent="0.3">
      <c r="A10" s="155">
        <v>14</v>
      </c>
      <c r="B10" t="s">
        <v>897</v>
      </c>
      <c r="D10">
        <v>0</v>
      </c>
      <c r="E10">
        <v>0</v>
      </c>
      <c r="F10">
        <v>0</v>
      </c>
      <c r="G10">
        <v>0</v>
      </c>
      <c r="H10">
        <v>0</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c r="BV10">
        <v>0</v>
      </c>
      <c r="BW10">
        <v>0</v>
      </c>
      <c r="BX10">
        <v>0</v>
      </c>
      <c r="BY10">
        <v>0</v>
      </c>
      <c r="BZ10">
        <v>0</v>
      </c>
      <c r="CA10">
        <v>0</v>
      </c>
      <c r="CB10">
        <v>0</v>
      </c>
      <c r="CD10">
        <v>0</v>
      </c>
    </row>
    <row r="11" spans="1:82" x14ac:dyDescent="0.3">
      <c r="A11" s="155">
        <v>16</v>
      </c>
      <c r="B11" t="s">
        <v>197</v>
      </c>
      <c r="D11">
        <v>301787</v>
      </c>
      <c r="E11">
        <v>71169</v>
      </c>
      <c r="F11">
        <v>1127665</v>
      </c>
      <c r="G11">
        <v>2277561</v>
      </c>
      <c r="H11">
        <v>1873693</v>
      </c>
      <c r="I11">
        <v>4530050</v>
      </c>
      <c r="J11">
        <v>87106</v>
      </c>
      <c r="K11">
        <v>362476</v>
      </c>
      <c r="L11">
        <v>251423</v>
      </c>
      <c r="M11">
        <v>16426232</v>
      </c>
      <c r="N11">
        <v>577052</v>
      </c>
      <c r="O11">
        <v>5817245</v>
      </c>
      <c r="P11">
        <v>114303</v>
      </c>
      <c r="Q11">
        <v>44293311</v>
      </c>
      <c r="R11">
        <v>1956468</v>
      </c>
      <c r="S11">
        <v>32041</v>
      </c>
      <c r="T11">
        <v>78875033</v>
      </c>
      <c r="U11">
        <v>18391698</v>
      </c>
      <c r="V11">
        <v>22932108</v>
      </c>
      <c r="W11">
        <v>37635662</v>
      </c>
      <c r="X11">
        <v>311945</v>
      </c>
      <c r="Y11">
        <v>14098725</v>
      </c>
      <c r="Z11">
        <v>1269585</v>
      </c>
      <c r="AA11">
        <v>15661385</v>
      </c>
      <c r="AB11">
        <v>4378548</v>
      </c>
      <c r="AC11">
        <v>2230113</v>
      </c>
      <c r="AD11">
        <v>2165851</v>
      </c>
      <c r="AE11">
        <v>2566907</v>
      </c>
      <c r="AF11">
        <v>21947049</v>
      </c>
      <c r="AG11">
        <v>6324612</v>
      </c>
      <c r="AH11">
        <v>1553680</v>
      </c>
      <c r="AI11">
        <v>33145208</v>
      </c>
      <c r="AJ11">
        <v>986316</v>
      </c>
      <c r="AK11">
        <v>1022116</v>
      </c>
      <c r="AM11">
        <v>15737412</v>
      </c>
      <c r="AN11">
        <v>686550</v>
      </c>
      <c r="AO11">
        <v>866244</v>
      </c>
      <c r="AP11">
        <v>45289</v>
      </c>
      <c r="AQ11">
        <v>5923630</v>
      </c>
      <c r="AR11">
        <v>7634606</v>
      </c>
      <c r="AS11">
        <v>685449</v>
      </c>
      <c r="AT11">
        <v>2762962</v>
      </c>
      <c r="AU11">
        <v>148821</v>
      </c>
      <c r="AV11">
        <v>16162623</v>
      </c>
      <c r="AW11">
        <v>1843704</v>
      </c>
      <c r="AX11">
        <v>1881990</v>
      </c>
      <c r="AY11">
        <v>9539789</v>
      </c>
      <c r="AZ11">
        <v>1232700</v>
      </c>
      <c r="BA11">
        <v>1162150</v>
      </c>
      <c r="BB11">
        <v>33689</v>
      </c>
      <c r="BC11">
        <v>289603</v>
      </c>
      <c r="BD11">
        <v>9741214</v>
      </c>
      <c r="BE11">
        <v>144862</v>
      </c>
      <c r="BF11">
        <v>440964</v>
      </c>
      <c r="BG11">
        <v>302586</v>
      </c>
      <c r="BH11">
        <v>87110</v>
      </c>
      <c r="BI11">
        <v>248720</v>
      </c>
      <c r="BJ11">
        <v>147358</v>
      </c>
      <c r="BK11">
        <v>3860725</v>
      </c>
      <c r="BL11">
        <v>810755</v>
      </c>
      <c r="BM11">
        <v>2041211</v>
      </c>
      <c r="BN11">
        <v>5422491</v>
      </c>
      <c r="BO11">
        <v>1369098</v>
      </c>
      <c r="BP11">
        <v>1827900</v>
      </c>
      <c r="BQ11">
        <v>21063961</v>
      </c>
      <c r="BR11">
        <v>950715</v>
      </c>
      <c r="BS11">
        <v>15404827</v>
      </c>
      <c r="BT11">
        <v>787135</v>
      </c>
      <c r="BU11">
        <v>5908400</v>
      </c>
      <c r="BV11">
        <v>759740</v>
      </c>
      <c r="BW11">
        <v>2149539</v>
      </c>
      <c r="BX11">
        <v>855152</v>
      </c>
      <c r="BY11">
        <v>78210</v>
      </c>
      <c r="BZ11">
        <v>210438</v>
      </c>
      <c r="CA11">
        <v>135193</v>
      </c>
      <c r="CB11">
        <v>1250871</v>
      </c>
      <c r="CD11">
        <v>62038</v>
      </c>
    </row>
    <row r="12" spans="1:82" x14ac:dyDescent="0.3">
      <c r="A12" s="155">
        <v>17</v>
      </c>
      <c r="B12" t="s">
        <v>200</v>
      </c>
      <c r="D12">
        <v>0</v>
      </c>
      <c r="E12">
        <v>0</v>
      </c>
      <c r="F12">
        <v>0</v>
      </c>
      <c r="G12">
        <v>0</v>
      </c>
      <c r="H12">
        <v>0</v>
      </c>
      <c r="I12">
        <v>10179</v>
      </c>
      <c r="J12">
        <v>0</v>
      </c>
      <c r="K12">
        <v>0</v>
      </c>
      <c r="L12">
        <v>0</v>
      </c>
      <c r="M12">
        <v>0</v>
      </c>
      <c r="N12">
        <v>0</v>
      </c>
      <c r="O12">
        <v>0</v>
      </c>
      <c r="P12">
        <v>0</v>
      </c>
      <c r="Q12">
        <v>1676222</v>
      </c>
      <c r="R12">
        <v>0</v>
      </c>
      <c r="S12">
        <v>0</v>
      </c>
      <c r="T12">
        <v>0</v>
      </c>
      <c r="U12">
        <v>0</v>
      </c>
      <c r="V12">
        <v>764199</v>
      </c>
      <c r="W12">
        <v>4565333</v>
      </c>
      <c r="X12">
        <v>0</v>
      </c>
      <c r="Y12">
        <v>10000</v>
      </c>
      <c r="Z12">
        <v>0</v>
      </c>
      <c r="AA12">
        <v>0</v>
      </c>
      <c r="AB12">
        <v>0</v>
      </c>
      <c r="AC12">
        <v>0</v>
      </c>
      <c r="AD12">
        <v>0</v>
      </c>
      <c r="AE12">
        <v>99598</v>
      </c>
      <c r="AF12">
        <v>0</v>
      </c>
      <c r="AG12">
        <v>290815</v>
      </c>
      <c r="AH12">
        <v>0</v>
      </c>
      <c r="AI12">
        <v>2637550</v>
      </c>
      <c r="AJ12">
        <v>527500</v>
      </c>
      <c r="AK12">
        <v>0</v>
      </c>
      <c r="AM12">
        <v>536000</v>
      </c>
      <c r="AN12">
        <v>0</v>
      </c>
      <c r="AO12">
        <v>0</v>
      </c>
      <c r="AP12">
        <v>0</v>
      </c>
      <c r="AQ12">
        <v>0</v>
      </c>
      <c r="AR12">
        <v>0</v>
      </c>
      <c r="AS12">
        <v>0</v>
      </c>
      <c r="AT12">
        <v>84732</v>
      </c>
      <c r="AU12">
        <v>0</v>
      </c>
      <c r="AV12">
        <v>462000</v>
      </c>
      <c r="AW12">
        <v>0</v>
      </c>
      <c r="AX12">
        <v>0</v>
      </c>
      <c r="AY12">
        <v>0</v>
      </c>
      <c r="AZ12">
        <v>0</v>
      </c>
      <c r="BA12">
        <v>0</v>
      </c>
      <c r="BB12">
        <v>0</v>
      </c>
      <c r="BC12">
        <v>0</v>
      </c>
      <c r="BD12">
        <v>225975</v>
      </c>
      <c r="BE12">
        <v>0</v>
      </c>
      <c r="BF12">
        <v>0</v>
      </c>
      <c r="BG12">
        <v>0</v>
      </c>
      <c r="BH12">
        <v>0</v>
      </c>
      <c r="BI12">
        <v>0</v>
      </c>
      <c r="BJ12">
        <v>0</v>
      </c>
      <c r="BK12">
        <v>0</v>
      </c>
      <c r="BL12">
        <v>0</v>
      </c>
      <c r="BM12">
        <v>0</v>
      </c>
      <c r="BN12">
        <v>0</v>
      </c>
      <c r="BO12">
        <v>0</v>
      </c>
      <c r="BP12">
        <v>0</v>
      </c>
      <c r="BQ12">
        <v>244999</v>
      </c>
      <c r="BR12">
        <v>375000</v>
      </c>
      <c r="BS12">
        <v>41277</v>
      </c>
      <c r="BT12">
        <v>0</v>
      </c>
      <c r="BU12">
        <v>0</v>
      </c>
      <c r="BV12">
        <v>0</v>
      </c>
      <c r="BW12">
        <v>0</v>
      </c>
      <c r="BX12">
        <v>0</v>
      </c>
      <c r="BY12">
        <v>0</v>
      </c>
      <c r="BZ12">
        <v>0</v>
      </c>
      <c r="CA12">
        <v>0</v>
      </c>
      <c r="CB12">
        <v>0</v>
      </c>
      <c r="CD12">
        <v>0</v>
      </c>
    </row>
    <row r="13" spans="1:82" x14ac:dyDescent="0.3">
      <c r="A13" s="155">
        <v>20</v>
      </c>
      <c r="B13" t="s">
        <v>201</v>
      </c>
      <c r="D13">
        <v>0</v>
      </c>
      <c r="E13">
        <v>0</v>
      </c>
      <c r="F13">
        <v>0</v>
      </c>
      <c r="G13">
        <v>21960</v>
      </c>
      <c r="H13">
        <v>0</v>
      </c>
      <c r="I13">
        <v>0</v>
      </c>
      <c r="J13">
        <v>0</v>
      </c>
      <c r="K13">
        <v>0</v>
      </c>
      <c r="L13">
        <v>0</v>
      </c>
      <c r="M13">
        <v>0</v>
      </c>
      <c r="N13">
        <v>0</v>
      </c>
      <c r="O13">
        <v>0</v>
      </c>
      <c r="P13">
        <v>0</v>
      </c>
      <c r="Q13">
        <v>5724308</v>
      </c>
      <c r="R13">
        <v>451516</v>
      </c>
      <c r="S13">
        <v>0</v>
      </c>
      <c r="T13">
        <v>1831187</v>
      </c>
      <c r="U13">
        <v>1048946</v>
      </c>
      <c r="V13">
        <v>2456447</v>
      </c>
      <c r="W13">
        <v>7619617</v>
      </c>
      <c r="X13">
        <v>0</v>
      </c>
      <c r="Y13">
        <v>838430</v>
      </c>
      <c r="Z13">
        <v>0</v>
      </c>
      <c r="AA13">
        <v>0</v>
      </c>
      <c r="AB13">
        <v>94000</v>
      </c>
      <c r="AC13">
        <v>66470</v>
      </c>
      <c r="AD13">
        <v>0</v>
      </c>
      <c r="AE13">
        <v>0</v>
      </c>
      <c r="AF13">
        <v>0</v>
      </c>
      <c r="AG13">
        <v>0</v>
      </c>
      <c r="AH13">
        <v>0</v>
      </c>
      <c r="AI13">
        <v>776060</v>
      </c>
      <c r="AJ13">
        <v>252776</v>
      </c>
      <c r="AK13">
        <v>0</v>
      </c>
      <c r="AM13">
        <v>350350</v>
      </c>
      <c r="AN13">
        <v>0</v>
      </c>
      <c r="AO13">
        <v>0</v>
      </c>
      <c r="AP13">
        <v>0</v>
      </c>
      <c r="AQ13">
        <v>0</v>
      </c>
      <c r="AR13">
        <v>400069</v>
      </c>
      <c r="AS13">
        <v>0</v>
      </c>
      <c r="AT13">
        <v>23527</v>
      </c>
      <c r="AU13">
        <v>0</v>
      </c>
      <c r="AV13">
        <v>217000</v>
      </c>
      <c r="AW13">
        <v>0</v>
      </c>
      <c r="AX13">
        <v>699123</v>
      </c>
      <c r="AY13">
        <v>1260650</v>
      </c>
      <c r="AZ13">
        <v>0</v>
      </c>
      <c r="BA13">
        <v>0</v>
      </c>
      <c r="BB13">
        <v>0</v>
      </c>
      <c r="BC13">
        <v>20000</v>
      </c>
      <c r="BD13">
        <v>16207</v>
      </c>
      <c r="BE13">
        <v>0</v>
      </c>
      <c r="BF13">
        <v>11275</v>
      </c>
      <c r="BG13">
        <v>0</v>
      </c>
      <c r="BH13">
        <v>0</v>
      </c>
      <c r="BI13">
        <v>0</v>
      </c>
      <c r="BJ13">
        <v>0</v>
      </c>
      <c r="BK13">
        <v>0</v>
      </c>
      <c r="BL13">
        <v>0</v>
      </c>
      <c r="BM13">
        <v>0</v>
      </c>
      <c r="BN13">
        <v>62000</v>
      </c>
      <c r="BO13">
        <v>0</v>
      </c>
      <c r="BP13">
        <v>0</v>
      </c>
      <c r="BQ13">
        <v>0</v>
      </c>
      <c r="BR13">
        <v>0</v>
      </c>
      <c r="BS13">
        <v>3539017</v>
      </c>
      <c r="BT13">
        <v>0</v>
      </c>
      <c r="BU13">
        <v>153900</v>
      </c>
      <c r="BV13">
        <v>255202</v>
      </c>
      <c r="BW13">
        <v>3125</v>
      </c>
      <c r="BX13">
        <v>0</v>
      </c>
      <c r="BY13">
        <v>0</v>
      </c>
      <c r="BZ13">
        <v>449817</v>
      </c>
      <c r="CA13">
        <v>0</v>
      </c>
      <c r="CB13">
        <v>0</v>
      </c>
      <c r="CD13">
        <v>0</v>
      </c>
    </row>
    <row r="14" spans="1:82" x14ac:dyDescent="0.3">
      <c r="A14" s="155">
        <v>22</v>
      </c>
      <c r="B14" t="s">
        <v>203</v>
      </c>
      <c r="D14">
        <v>0</v>
      </c>
      <c r="E14">
        <v>0</v>
      </c>
      <c r="F14">
        <v>5040</v>
      </c>
      <c r="G14">
        <v>0</v>
      </c>
      <c r="H14">
        <v>0</v>
      </c>
      <c r="I14">
        <v>0</v>
      </c>
      <c r="J14">
        <v>0</v>
      </c>
      <c r="K14">
        <v>0</v>
      </c>
      <c r="L14">
        <v>0</v>
      </c>
      <c r="M14">
        <v>0</v>
      </c>
      <c r="N14">
        <v>0</v>
      </c>
      <c r="O14">
        <v>-466659</v>
      </c>
      <c r="P14">
        <v>0</v>
      </c>
      <c r="Q14">
        <v>0</v>
      </c>
      <c r="R14">
        <v>2111</v>
      </c>
      <c r="S14">
        <v>0</v>
      </c>
      <c r="T14">
        <v>116211</v>
      </c>
      <c r="U14">
        <v>26452</v>
      </c>
      <c r="V14">
        <v>0</v>
      </c>
      <c r="W14">
        <v>0</v>
      </c>
      <c r="X14">
        <v>0</v>
      </c>
      <c r="Y14">
        <v>47513</v>
      </c>
      <c r="Z14">
        <v>20755</v>
      </c>
      <c r="AA14">
        <v>0</v>
      </c>
      <c r="AB14">
        <v>0</v>
      </c>
      <c r="AC14">
        <v>11455</v>
      </c>
      <c r="AD14">
        <v>0</v>
      </c>
      <c r="AE14">
        <v>6738</v>
      </c>
      <c r="AF14">
        <v>-3021732</v>
      </c>
      <c r="AG14">
        <v>0</v>
      </c>
      <c r="AH14">
        <v>0</v>
      </c>
      <c r="AI14">
        <v>600592</v>
      </c>
      <c r="AJ14">
        <v>0</v>
      </c>
      <c r="AK14">
        <v>0</v>
      </c>
      <c r="AM14">
        <v>0</v>
      </c>
      <c r="AN14">
        <v>0</v>
      </c>
      <c r="AO14">
        <v>86640</v>
      </c>
      <c r="AP14">
        <v>0</v>
      </c>
      <c r="AQ14">
        <v>0</v>
      </c>
      <c r="AR14">
        <v>-57614</v>
      </c>
      <c r="AS14">
        <v>0</v>
      </c>
      <c r="AT14">
        <v>56597</v>
      </c>
      <c r="AU14">
        <v>0</v>
      </c>
      <c r="AV14">
        <v>0</v>
      </c>
      <c r="AW14">
        <v>3500</v>
      </c>
      <c r="AX14">
        <v>0</v>
      </c>
      <c r="AY14">
        <v>712271</v>
      </c>
      <c r="AZ14">
        <v>17000</v>
      </c>
      <c r="BA14">
        <v>0</v>
      </c>
      <c r="BB14">
        <v>0</v>
      </c>
      <c r="BC14">
        <v>0</v>
      </c>
      <c r="BD14">
        <v>18146</v>
      </c>
      <c r="BE14">
        <v>0</v>
      </c>
      <c r="BF14">
        <v>0</v>
      </c>
      <c r="BG14">
        <v>0</v>
      </c>
      <c r="BH14">
        <v>0</v>
      </c>
      <c r="BI14">
        <v>0</v>
      </c>
      <c r="BJ14">
        <v>0</v>
      </c>
      <c r="BK14">
        <v>0</v>
      </c>
      <c r="BL14">
        <v>22114</v>
      </c>
      <c r="BM14">
        <v>26999</v>
      </c>
      <c r="BN14">
        <v>0</v>
      </c>
      <c r="BO14">
        <v>0</v>
      </c>
      <c r="BP14">
        <v>0</v>
      </c>
      <c r="BQ14">
        <v>27134</v>
      </c>
      <c r="BR14">
        <v>13200</v>
      </c>
      <c r="BS14">
        <v>0</v>
      </c>
      <c r="BT14">
        <v>0</v>
      </c>
      <c r="BU14">
        <v>0</v>
      </c>
      <c r="BV14">
        <v>0</v>
      </c>
      <c r="BW14">
        <v>0</v>
      </c>
      <c r="BX14">
        <v>2000</v>
      </c>
      <c r="BY14">
        <v>0</v>
      </c>
      <c r="BZ14">
        <v>0</v>
      </c>
      <c r="CA14">
        <v>0</v>
      </c>
      <c r="CB14">
        <v>0</v>
      </c>
      <c r="CD14">
        <v>0</v>
      </c>
    </row>
    <row r="15" spans="1:82" x14ac:dyDescent="0.3">
      <c r="A15" s="155">
        <v>23</v>
      </c>
      <c r="B15" t="s">
        <v>206</v>
      </c>
      <c r="D15">
        <v>-9434</v>
      </c>
      <c r="E15">
        <v>23643</v>
      </c>
      <c r="F15">
        <v>26353</v>
      </c>
      <c r="G15">
        <v>554948</v>
      </c>
      <c r="H15">
        <v>772191</v>
      </c>
      <c r="I15">
        <v>731397</v>
      </c>
      <c r="J15">
        <v>12287</v>
      </c>
      <c r="K15">
        <v>91535</v>
      </c>
      <c r="L15">
        <v>80867</v>
      </c>
      <c r="M15">
        <v>220880</v>
      </c>
      <c r="N15">
        <v>63764</v>
      </c>
      <c r="O15">
        <v>430062</v>
      </c>
      <c r="P15">
        <v>14131</v>
      </c>
      <c r="Q15">
        <v>2630438</v>
      </c>
      <c r="R15">
        <v>30056</v>
      </c>
      <c r="S15">
        <v>-19919</v>
      </c>
      <c r="T15">
        <v>13715464</v>
      </c>
      <c r="U15">
        <v>2531624</v>
      </c>
      <c r="V15">
        <v>4023469</v>
      </c>
      <c r="W15">
        <v>1747590</v>
      </c>
      <c r="X15">
        <v>4426</v>
      </c>
      <c r="Y15">
        <v>1616453</v>
      </c>
      <c r="Z15">
        <v>91836</v>
      </c>
      <c r="AA15">
        <v>2867341</v>
      </c>
      <c r="AB15">
        <v>107146</v>
      </c>
      <c r="AC15">
        <v>514195</v>
      </c>
      <c r="AD15">
        <v>193126</v>
      </c>
      <c r="AE15">
        <v>358403</v>
      </c>
      <c r="AF15">
        <v>-153232</v>
      </c>
      <c r="AG15">
        <v>751728</v>
      </c>
      <c r="AH15">
        <v>531192</v>
      </c>
      <c r="AI15">
        <v>4005936</v>
      </c>
      <c r="AJ15">
        <v>950524</v>
      </c>
      <c r="AK15">
        <v>196971</v>
      </c>
      <c r="AM15">
        <v>2514823</v>
      </c>
      <c r="AN15">
        <v>-16061</v>
      </c>
      <c r="AO15">
        <v>368042</v>
      </c>
      <c r="AP15">
        <v>12083</v>
      </c>
      <c r="AQ15">
        <v>518990</v>
      </c>
      <c r="AR15">
        <v>1312154</v>
      </c>
      <c r="AS15">
        <v>187858</v>
      </c>
      <c r="AT15">
        <v>464225</v>
      </c>
      <c r="AU15">
        <v>-32821</v>
      </c>
      <c r="AV15">
        <v>583073</v>
      </c>
      <c r="AW15">
        <v>237157</v>
      </c>
      <c r="AX15">
        <v>-696467</v>
      </c>
      <c r="AY15">
        <v>995085</v>
      </c>
      <c r="AZ15">
        <v>99627</v>
      </c>
      <c r="BA15">
        <v>-92586</v>
      </c>
      <c r="BB15">
        <v>12005</v>
      </c>
      <c r="BC15">
        <v>46769</v>
      </c>
      <c r="BD15">
        <v>1185528</v>
      </c>
      <c r="BE15">
        <v>60898</v>
      </c>
      <c r="BF15">
        <v>100573</v>
      </c>
      <c r="BG15">
        <v>-9358</v>
      </c>
      <c r="BH15">
        <v>20537</v>
      </c>
      <c r="BI15">
        <v>4996</v>
      </c>
      <c r="BJ15">
        <v>-70243</v>
      </c>
      <c r="BK15">
        <v>306046</v>
      </c>
      <c r="BL15">
        <v>157093</v>
      </c>
      <c r="BM15">
        <v>159094</v>
      </c>
      <c r="BN15">
        <v>426461</v>
      </c>
      <c r="BO15">
        <v>286354</v>
      </c>
      <c r="BP15">
        <v>403077</v>
      </c>
      <c r="BQ15">
        <v>2059598</v>
      </c>
      <c r="BR15">
        <v>123190</v>
      </c>
      <c r="BS15">
        <v>-1046215</v>
      </c>
      <c r="BT15">
        <v>75</v>
      </c>
      <c r="BU15">
        <v>1262387</v>
      </c>
      <c r="BV15">
        <v>-100286</v>
      </c>
      <c r="BW15">
        <v>-121022</v>
      </c>
      <c r="BX15">
        <v>-7369</v>
      </c>
      <c r="BY15">
        <v>6388</v>
      </c>
      <c r="BZ15">
        <v>58681</v>
      </c>
      <c r="CA15">
        <v>-18015</v>
      </c>
      <c r="CB15">
        <v>193015</v>
      </c>
      <c r="CD15">
        <v>11360</v>
      </c>
    </row>
    <row r="16" spans="1:82" x14ac:dyDescent="0.3">
      <c r="A16" s="155">
        <v>31</v>
      </c>
      <c r="B16" t="s">
        <v>898</v>
      </c>
      <c r="D16">
        <v>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0</v>
      </c>
      <c r="BS16">
        <v>0</v>
      </c>
      <c r="BT16">
        <v>0</v>
      </c>
      <c r="BU16">
        <v>0</v>
      </c>
      <c r="BV16">
        <v>0</v>
      </c>
      <c r="BW16">
        <v>0</v>
      </c>
      <c r="BX16">
        <v>0</v>
      </c>
      <c r="BY16">
        <v>0</v>
      </c>
      <c r="BZ16">
        <v>0</v>
      </c>
      <c r="CA16">
        <v>0</v>
      </c>
      <c r="CB16">
        <v>0</v>
      </c>
      <c r="CD16">
        <v>0</v>
      </c>
    </row>
    <row r="17" spans="1:82" x14ac:dyDescent="0.3">
      <c r="A17" s="155">
        <v>32</v>
      </c>
      <c r="B17" t="s">
        <v>899</v>
      </c>
      <c r="D17">
        <v>0</v>
      </c>
      <c r="E17">
        <v>0</v>
      </c>
      <c r="F17">
        <v>0</v>
      </c>
      <c r="G17">
        <v>0</v>
      </c>
      <c r="H17">
        <v>0</v>
      </c>
      <c r="I17">
        <v>0</v>
      </c>
      <c r="J17">
        <v>0</v>
      </c>
      <c r="K17">
        <v>0</v>
      </c>
      <c r="L17">
        <v>0</v>
      </c>
      <c r="M17">
        <v>0</v>
      </c>
      <c r="N17">
        <v>0</v>
      </c>
      <c r="O17">
        <v>0</v>
      </c>
      <c r="P17">
        <v>0</v>
      </c>
      <c r="Q17">
        <v>0</v>
      </c>
      <c r="R17">
        <v>0</v>
      </c>
      <c r="S17">
        <v>0</v>
      </c>
      <c r="T17">
        <v>0</v>
      </c>
      <c r="U17">
        <v>0</v>
      </c>
      <c r="V17">
        <v>0</v>
      </c>
      <c r="W17">
        <v>0</v>
      </c>
      <c r="X17">
        <v>0</v>
      </c>
      <c r="Y17">
        <v>0</v>
      </c>
      <c r="Z17">
        <v>0</v>
      </c>
      <c r="AA17">
        <v>0</v>
      </c>
      <c r="AB17">
        <v>0</v>
      </c>
      <c r="AC17">
        <v>0</v>
      </c>
      <c r="AD17">
        <v>0</v>
      </c>
      <c r="AE17">
        <v>0</v>
      </c>
      <c r="AF17">
        <v>0</v>
      </c>
      <c r="AG17">
        <v>0</v>
      </c>
      <c r="AH17">
        <v>0</v>
      </c>
      <c r="AI17">
        <v>0</v>
      </c>
      <c r="AJ17">
        <v>0</v>
      </c>
      <c r="AK17">
        <v>0</v>
      </c>
      <c r="AM17">
        <v>0</v>
      </c>
      <c r="AN17">
        <v>0</v>
      </c>
      <c r="AO17">
        <v>0</v>
      </c>
      <c r="AP17">
        <v>0</v>
      </c>
      <c r="AQ17">
        <v>0</v>
      </c>
      <c r="AR17">
        <v>0</v>
      </c>
      <c r="AS17">
        <v>0</v>
      </c>
      <c r="AT17">
        <v>0</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v>0</v>
      </c>
      <c r="BY17">
        <v>0</v>
      </c>
      <c r="BZ17">
        <v>0</v>
      </c>
      <c r="CA17">
        <v>0</v>
      </c>
      <c r="CB17">
        <v>0</v>
      </c>
      <c r="CD17">
        <v>0</v>
      </c>
    </row>
    <row r="18" spans="1:82" x14ac:dyDescent="0.3">
      <c r="A18" s="155">
        <v>33</v>
      </c>
      <c r="B18" t="s">
        <v>282</v>
      </c>
      <c r="D18">
        <v>0</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0</v>
      </c>
      <c r="AM18">
        <v>0</v>
      </c>
      <c r="AN18">
        <v>0</v>
      </c>
      <c r="AO18">
        <v>0</v>
      </c>
      <c r="AP18">
        <v>0</v>
      </c>
      <c r="AQ18">
        <v>0</v>
      </c>
      <c r="AR18">
        <v>0</v>
      </c>
      <c r="AS18">
        <v>0</v>
      </c>
      <c r="AT18">
        <v>0</v>
      </c>
      <c r="AU18">
        <v>0</v>
      </c>
      <c r="AV18">
        <v>0</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0</v>
      </c>
      <c r="BW18">
        <v>0</v>
      </c>
      <c r="BX18">
        <v>0</v>
      </c>
      <c r="BY18">
        <v>0</v>
      </c>
      <c r="BZ18">
        <v>0</v>
      </c>
      <c r="CA18">
        <v>0</v>
      </c>
      <c r="CB18">
        <v>0</v>
      </c>
      <c r="CD18">
        <v>0</v>
      </c>
    </row>
    <row r="19" spans="1:82" x14ac:dyDescent="0.3">
      <c r="A19" s="155">
        <v>34</v>
      </c>
      <c r="B19" t="s">
        <v>900</v>
      </c>
      <c r="D19">
        <v>0</v>
      </c>
      <c r="E19">
        <v>0</v>
      </c>
      <c r="F19">
        <v>0</v>
      </c>
      <c r="G19">
        <v>0</v>
      </c>
      <c r="H19">
        <v>0</v>
      </c>
      <c r="I19">
        <v>0</v>
      </c>
      <c r="J19">
        <v>0</v>
      </c>
      <c r="K19">
        <v>0</v>
      </c>
      <c r="L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c r="AM19">
        <v>0</v>
      </c>
      <c r="AN19">
        <v>0</v>
      </c>
      <c r="AO19">
        <v>0</v>
      </c>
      <c r="AP19">
        <v>0</v>
      </c>
      <c r="AQ19">
        <v>0</v>
      </c>
      <c r="AR19">
        <v>0</v>
      </c>
      <c r="AS19">
        <v>0</v>
      </c>
      <c r="AT19">
        <v>0</v>
      </c>
      <c r="AU19">
        <v>0</v>
      </c>
      <c r="AV19">
        <v>0</v>
      </c>
      <c r="AW19">
        <v>0</v>
      </c>
      <c r="AX19">
        <v>0</v>
      </c>
      <c r="AY19">
        <v>0</v>
      </c>
      <c r="AZ19">
        <v>0</v>
      </c>
      <c r="BA19">
        <v>0</v>
      </c>
      <c r="BB19">
        <v>0</v>
      </c>
      <c r="BC19">
        <v>0</v>
      </c>
      <c r="BD19">
        <v>0</v>
      </c>
      <c r="BE19">
        <v>0</v>
      </c>
      <c r="BF19">
        <v>0</v>
      </c>
      <c r="BG19">
        <v>0</v>
      </c>
      <c r="BH19">
        <v>0</v>
      </c>
      <c r="BI19">
        <v>0</v>
      </c>
      <c r="BJ19">
        <v>0</v>
      </c>
      <c r="BK19">
        <v>0</v>
      </c>
      <c r="BL19">
        <v>0</v>
      </c>
      <c r="BM19">
        <v>0</v>
      </c>
      <c r="BN19">
        <v>0</v>
      </c>
      <c r="BO19">
        <v>0</v>
      </c>
      <c r="BP19">
        <v>0</v>
      </c>
      <c r="BQ19">
        <v>0</v>
      </c>
      <c r="BR19">
        <v>0</v>
      </c>
      <c r="BS19">
        <v>0</v>
      </c>
      <c r="BT19">
        <v>0</v>
      </c>
      <c r="BU19">
        <v>0</v>
      </c>
      <c r="BV19">
        <v>0</v>
      </c>
      <c r="BW19">
        <v>0</v>
      </c>
      <c r="BX19">
        <v>0</v>
      </c>
      <c r="BY19">
        <v>0</v>
      </c>
      <c r="BZ19">
        <v>0</v>
      </c>
      <c r="CA19">
        <v>0</v>
      </c>
      <c r="CB19">
        <v>0</v>
      </c>
      <c r="CD19">
        <v>0</v>
      </c>
    </row>
    <row r="20" spans="1:82" x14ac:dyDescent="0.3">
      <c r="A20" s="155">
        <v>35</v>
      </c>
      <c r="B20" t="s">
        <v>901</v>
      </c>
      <c r="D20">
        <v>0</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0</v>
      </c>
      <c r="AM20">
        <v>0</v>
      </c>
      <c r="AN20">
        <v>0</v>
      </c>
      <c r="AO20">
        <v>0</v>
      </c>
      <c r="AP20">
        <v>0</v>
      </c>
      <c r="AQ20">
        <v>0</v>
      </c>
      <c r="AR20">
        <v>0</v>
      </c>
      <c r="AS20">
        <v>0</v>
      </c>
      <c r="AT20">
        <v>0</v>
      </c>
      <c r="AU20">
        <v>0</v>
      </c>
      <c r="AV20">
        <v>0</v>
      </c>
      <c r="AW20">
        <v>0</v>
      </c>
      <c r="AX20">
        <v>0</v>
      </c>
      <c r="AY20">
        <v>0</v>
      </c>
      <c r="AZ20">
        <v>0</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c r="BV20">
        <v>0</v>
      </c>
      <c r="BW20">
        <v>0</v>
      </c>
      <c r="BX20">
        <v>0</v>
      </c>
      <c r="BY20">
        <v>0</v>
      </c>
      <c r="BZ20">
        <v>0</v>
      </c>
      <c r="CA20">
        <v>0</v>
      </c>
      <c r="CB20">
        <v>0</v>
      </c>
      <c r="CD20">
        <v>0</v>
      </c>
    </row>
    <row r="21" spans="1:82" x14ac:dyDescent="0.3">
      <c r="A21" s="155">
        <v>36</v>
      </c>
      <c r="B21" t="s">
        <v>902</v>
      </c>
      <c r="D21">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M21">
        <v>0</v>
      </c>
      <c r="AN21">
        <v>0</v>
      </c>
      <c r="AO21">
        <v>0</v>
      </c>
      <c r="AP21">
        <v>0</v>
      </c>
      <c r="AQ21">
        <v>0</v>
      </c>
      <c r="AR21">
        <v>0</v>
      </c>
      <c r="AS21">
        <v>0</v>
      </c>
      <c r="AT21">
        <v>0</v>
      </c>
      <c r="AU21">
        <v>0</v>
      </c>
      <c r="AV21">
        <v>0</v>
      </c>
      <c r="AW21">
        <v>0</v>
      </c>
      <c r="AX21">
        <v>0</v>
      </c>
      <c r="AY21">
        <v>0</v>
      </c>
      <c r="AZ21">
        <v>0</v>
      </c>
      <c r="BA21">
        <v>0</v>
      </c>
      <c r="BB21">
        <v>0</v>
      </c>
      <c r="BC21">
        <v>0</v>
      </c>
      <c r="BD21">
        <v>0</v>
      </c>
      <c r="BE21">
        <v>0</v>
      </c>
      <c r="BF21">
        <v>0</v>
      </c>
      <c r="BG21">
        <v>0</v>
      </c>
      <c r="BH21">
        <v>0</v>
      </c>
      <c r="BI21">
        <v>0</v>
      </c>
      <c r="BJ21">
        <v>0</v>
      </c>
      <c r="BK21">
        <v>0</v>
      </c>
      <c r="BL21">
        <v>0</v>
      </c>
      <c r="BM21">
        <v>0</v>
      </c>
      <c r="BN21">
        <v>0</v>
      </c>
      <c r="BO21">
        <v>0</v>
      </c>
      <c r="BP21">
        <v>0</v>
      </c>
      <c r="BQ21">
        <v>0</v>
      </c>
      <c r="BR21">
        <v>0</v>
      </c>
      <c r="BS21">
        <v>0</v>
      </c>
      <c r="BT21">
        <v>0</v>
      </c>
      <c r="BU21">
        <v>0</v>
      </c>
      <c r="BV21">
        <v>0</v>
      </c>
      <c r="BW21">
        <v>0</v>
      </c>
      <c r="BX21">
        <v>0</v>
      </c>
      <c r="BY21">
        <v>0</v>
      </c>
      <c r="BZ21">
        <v>0</v>
      </c>
      <c r="CA21">
        <v>0</v>
      </c>
      <c r="CB21">
        <v>0</v>
      </c>
      <c r="CD21">
        <v>0</v>
      </c>
    </row>
    <row r="22" spans="1:82" x14ac:dyDescent="0.3">
      <c r="A22" s="155">
        <v>37</v>
      </c>
      <c r="B22" t="s">
        <v>903</v>
      </c>
      <c r="D22">
        <v>0</v>
      </c>
      <c r="E22">
        <v>0</v>
      </c>
      <c r="F22">
        <v>0</v>
      </c>
      <c r="G22">
        <v>0</v>
      </c>
      <c r="H22">
        <v>0</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M22">
        <v>0</v>
      </c>
      <c r="AN22">
        <v>0</v>
      </c>
      <c r="AO22">
        <v>0</v>
      </c>
      <c r="AP22">
        <v>0</v>
      </c>
      <c r="AQ22">
        <v>0</v>
      </c>
      <c r="AR22">
        <v>0</v>
      </c>
      <c r="AS22">
        <v>0</v>
      </c>
      <c r="AT22">
        <v>0</v>
      </c>
      <c r="AU22">
        <v>0</v>
      </c>
      <c r="AV22">
        <v>0</v>
      </c>
      <c r="AW22">
        <v>0</v>
      </c>
      <c r="AX22">
        <v>0</v>
      </c>
      <c r="AY22">
        <v>0</v>
      </c>
      <c r="AZ22">
        <v>0</v>
      </c>
      <c r="BA22">
        <v>0</v>
      </c>
      <c r="BB22">
        <v>0</v>
      </c>
      <c r="BC22">
        <v>0</v>
      </c>
      <c r="BD22">
        <v>0</v>
      </c>
      <c r="BE22">
        <v>0</v>
      </c>
      <c r="BF22">
        <v>0</v>
      </c>
      <c r="BG22">
        <v>0</v>
      </c>
      <c r="BH22">
        <v>0</v>
      </c>
      <c r="BI22">
        <v>0</v>
      </c>
      <c r="BJ22">
        <v>0</v>
      </c>
      <c r="BK22">
        <v>0</v>
      </c>
      <c r="BL22">
        <v>0</v>
      </c>
      <c r="BM22">
        <v>0</v>
      </c>
      <c r="BN22">
        <v>0</v>
      </c>
      <c r="BO22">
        <v>0</v>
      </c>
      <c r="BP22">
        <v>0</v>
      </c>
      <c r="BQ22">
        <v>0</v>
      </c>
      <c r="BR22">
        <v>0</v>
      </c>
      <c r="BS22">
        <v>0</v>
      </c>
      <c r="BT22">
        <v>0</v>
      </c>
      <c r="BU22">
        <v>0</v>
      </c>
      <c r="BV22">
        <v>0</v>
      </c>
      <c r="BW22">
        <v>0</v>
      </c>
      <c r="BX22">
        <v>0</v>
      </c>
      <c r="BY22">
        <v>0</v>
      </c>
      <c r="BZ22">
        <v>0</v>
      </c>
      <c r="CA22">
        <v>0</v>
      </c>
      <c r="CB22">
        <v>0</v>
      </c>
      <c r="CD22">
        <v>0</v>
      </c>
    </row>
    <row r="23" spans="1:82" x14ac:dyDescent="0.3">
      <c r="A23" s="155">
        <v>38</v>
      </c>
      <c r="B23" t="s">
        <v>904</v>
      </c>
      <c r="D23">
        <v>0</v>
      </c>
      <c r="E23">
        <v>0</v>
      </c>
      <c r="F23">
        <v>0</v>
      </c>
      <c r="G23">
        <v>0</v>
      </c>
      <c r="H23">
        <v>0</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c r="AM23">
        <v>0</v>
      </c>
      <c r="AN23">
        <v>0</v>
      </c>
      <c r="AO23">
        <v>0</v>
      </c>
      <c r="AP23">
        <v>0</v>
      </c>
      <c r="AQ23">
        <v>0</v>
      </c>
      <c r="AR23">
        <v>0</v>
      </c>
      <c r="AS23">
        <v>0</v>
      </c>
      <c r="AT23">
        <v>0</v>
      </c>
      <c r="AU23">
        <v>0</v>
      </c>
      <c r="AV23">
        <v>0</v>
      </c>
      <c r="AW23">
        <v>0</v>
      </c>
      <c r="AX23">
        <v>0</v>
      </c>
      <c r="AY23">
        <v>0</v>
      </c>
      <c r="AZ23">
        <v>0</v>
      </c>
      <c r="BA23">
        <v>0</v>
      </c>
      <c r="BB23">
        <v>0</v>
      </c>
      <c r="BC23">
        <v>0</v>
      </c>
      <c r="BD23">
        <v>0</v>
      </c>
      <c r="BE23">
        <v>0</v>
      </c>
      <c r="BF23">
        <v>0</v>
      </c>
      <c r="BG23">
        <v>0</v>
      </c>
      <c r="BH23">
        <v>0</v>
      </c>
      <c r="BI23">
        <v>0</v>
      </c>
      <c r="BJ23">
        <v>0</v>
      </c>
      <c r="BK23">
        <v>0</v>
      </c>
      <c r="BL23">
        <v>0</v>
      </c>
      <c r="BM23">
        <v>0</v>
      </c>
      <c r="BN23">
        <v>0</v>
      </c>
      <c r="BO23">
        <v>0</v>
      </c>
      <c r="BP23">
        <v>0</v>
      </c>
      <c r="BQ23">
        <v>0</v>
      </c>
      <c r="BR23">
        <v>0</v>
      </c>
      <c r="BS23">
        <v>0</v>
      </c>
      <c r="BT23">
        <v>0</v>
      </c>
      <c r="BU23">
        <v>0</v>
      </c>
      <c r="BV23">
        <v>0</v>
      </c>
      <c r="BW23">
        <v>0</v>
      </c>
      <c r="BX23">
        <v>0</v>
      </c>
      <c r="BY23">
        <v>0</v>
      </c>
      <c r="BZ23">
        <v>0</v>
      </c>
      <c r="CA23">
        <v>0</v>
      </c>
      <c r="CB23">
        <v>0</v>
      </c>
      <c r="CD23">
        <v>0</v>
      </c>
    </row>
    <row r="24" spans="1:82" x14ac:dyDescent="0.3">
      <c r="A24" s="155">
        <v>39</v>
      </c>
      <c r="B24" t="s">
        <v>905</v>
      </c>
      <c r="D24">
        <v>0</v>
      </c>
      <c r="E24">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c r="AM24">
        <v>0</v>
      </c>
      <c r="AN24">
        <v>0</v>
      </c>
      <c r="AO24">
        <v>0</v>
      </c>
      <c r="AP24">
        <v>0</v>
      </c>
      <c r="AQ24">
        <v>0</v>
      </c>
      <c r="AR24">
        <v>0</v>
      </c>
      <c r="AS24">
        <v>0</v>
      </c>
      <c r="AT24">
        <v>0</v>
      </c>
      <c r="AU24">
        <v>0</v>
      </c>
      <c r="AV24">
        <v>0</v>
      </c>
      <c r="AW24">
        <v>0</v>
      </c>
      <c r="AX24">
        <v>0</v>
      </c>
      <c r="AY24">
        <v>0</v>
      </c>
      <c r="AZ24">
        <v>0</v>
      </c>
      <c r="BA24">
        <v>0</v>
      </c>
      <c r="BB24">
        <v>0</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v>0</v>
      </c>
      <c r="BY24">
        <v>0</v>
      </c>
      <c r="BZ24">
        <v>0</v>
      </c>
      <c r="CA24">
        <v>0</v>
      </c>
      <c r="CB24">
        <v>0</v>
      </c>
      <c r="CD24">
        <v>0</v>
      </c>
    </row>
    <row r="25" spans="1:82" x14ac:dyDescent="0.3">
      <c r="A25" s="155">
        <v>40</v>
      </c>
      <c r="B25" t="s">
        <v>906</v>
      </c>
      <c r="D25">
        <v>0</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D25">
        <v>0</v>
      </c>
    </row>
    <row r="26" spans="1:82" x14ac:dyDescent="0.3">
      <c r="A26" s="155">
        <v>41</v>
      </c>
      <c r="B26" t="s">
        <v>907</v>
      </c>
      <c r="D26">
        <v>0</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D26">
        <v>0</v>
      </c>
    </row>
    <row r="27" spans="1:82" x14ac:dyDescent="0.3">
      <c r="A27" s="155">
        <v>44</v>
      </c>
      <c r="B27" t="s">
        <v>908</v>
      </c>
      <c r="D27">
        <v>227057</v>
      </c>
      <c r="E27">
        <v>0</v>
      </c>
      <c r="F27">
        <v>1093689</v>
      </c>
      <c r="G27">
        <v>0</v>
      </c>
      <c r="H27">
        <v>0</v>
      </c>
      <c r="I27">
        <v>0</v>
      </c>
      <c r="J27">
        <v>57549</v>
      </c>
      <c r="K27">
        <v>0</v>
      </c>
      <c r="L27">
        <v>0</v>
      </c>
      <c r="M27">
        <v>0</v>
      </c>
      <c r="N27">
        <v>0</v>
      </c>
      <c r="O27">
        <v>1408781</v>
      </c>
      <c r="P27">
        <v>0</v>
      </c>
      <c r="Q27">
        <v>48219550</v>
      </c>
      <c r="R27">
        <v>879514</v>
      </c>
      <c r="S27">
        <v>0</v>
      </c>
      <c r="T27">
        <v>51410202</v>
      </c>
      <c r="U27">
        <v>8844840</v>
      </c>
      <c r="V27">
        <v>18639366</v>
      </c>
      <c r="W27">
        <v>0</v>
      </c>
      <c r="X27">
        <v>256050</v>
      </c>
      <c r="Y27">
        <v>5968486</v>
      </c>
      <c r="Z27">
        <v>1645028</v>
      </c>
      <c r="AA27">
        <v>14715624</v>
      </c>
      <c r="AB27">
        <v>1092400</v>
      </c>
      <c r="AC27">
        <v>1048924</v>
      </c>
      <c r="AD27">
        <v>1071476</v>
      </c>
      <c r="AE27">
        <v>2279131</v>
      </c>
      <c r="AF27">
        <v>4923568</v>
      </c>
      <c r="AG27">
        <v>717978</v>
      </c>
      <c r="AH27">
        <v>0</v>
      </c>
      <c r="AI27">
        <v>22994466</v>
      </c>
      <c r="AJ27">
        <v>376059</v>
      </c>
      <c r="AK27">
        <v>531966</v>
      </c>
      <c r="AM27">
        <v>4050435</v>
      </c>
      <c r="AN27">
        <v>102632</v>
      </c>
      <c r="AO27">
        <v>175726</v>
      </c>
      <c r="AP27">
        <v>0</v>
      </c>
      <c r="AQ27">
        <v>0</v>
      </c>
      <c r="AR27">
        <v>5280338</v>
      </c>
      <c r="AS27">
        <v>0</v>
      </c>
      <c r="AT27">
        <v>723326</v>
      </c>
      <c r="AU27">
        <v>0</v>
      </c>
      <c r="AV27">
        <v>35706822</v>
      </c>
      <c r="AW27">
        <v>0</v>
      </c>
      <c r="AX27">
        <v>2049618</v>
      </c>
      <c r="AY27">
        <v>6304483</v>
      </c>
      <c r="AZ27">
        <v>1056337</v>
      </c>
      <c r="BA27">
        <v>272166</v>
      </c>
      <c r="BB27">
        <v>0</v>
      </c>
      <c r="BC27">
        <v>71427</v>
      </c>
      <c r="BD27">
        <v>12055179</v>
      </c>
      <c r="BE27">
        <v>0</v>
      </c>
      <c r="BF27">
        <v>373505</v>
      </c>
      <c r="BG27">
        <v>116825</v>
      </c>
      <c r="BH27">
        <v>0</v>
      </c>
      <c r="BI27">
        <v>311788</v>
      </c>
      <c r="BJ27">
        <v>0</v>
      </c>
      <c r="BK27">
        <v>2464561</v>
      </c>
      <c r="BL27">
        <v>520857</v>
      </c>
      <c r="BM27">
        <v>530996</v>
      </c>
      <c r="BN27">
        <v>1010431</v>
      </c>
      <c r="BO27">
        <v>2004821</v>
      </c>
      <c r="BP27">
        <v>1064173</v>
      </c>
      <c r="BQ27">
        <v>0</v>
      </c>
      <c r="BR27">
        <v>523997</v>
      </c>
      <c r="BS27">
        <v>0</v>
      </c>
      <c r="BT27">
        <v>622444</v>
      </c>
      <c r="BU27">
        <v>5306012</v>
      </c>
      <c r="BV27">
        <v>0</v>
      </c>
      <c r="BW27">
        <v>941999</v>
      </c>
      <c r="BX27">
        <v>1283926</v>
      </c>
      <c r="BY27">
        <v>16371</v>
      </c>
      <c r="BZ27">
        <v>345103</v>
      </c>
      <c r="CA27">
        <v>43435</v>
      </c>
      <c r="CB27">
        <v>480509</v>
      </c>
      <c r="CD27">
        <v>27349</v>
      </c>
    </row>
    <row r="28" spans="1:82" x14ac:dyDescent="0.3">
      <c r="A28" s="155">
        <v>45</v>
      </c>
      <c r="B28" t="s">
        <v>909</v>
      </c>
      <c r="D28">
        <v>51508</v>
      </c>
      <c r="E28">
        <v>0</v>
      </c>
      <c r="F28">
        <v>427468</v>
      </c>
      <c r="G28">
        <v>0</v>
      </c>
      <c r="H28">
        <v>0</v>
      </c>
      <c r="I28">
        <v>0</v>
      </c>
      <c r="J28">
        <v>9258</v>
      </c>
      <c r="K28">
        <v>0</v>
      </c>
      <c r="L28">
        <v>0</v>
      </c>
      <c r="M28">
        <v>0</v>
      </c>
      <c r="N28">
        <v>0</v>
      </c>
      <c r="O28">
        <v>376575</v>
      </c>
      <c r="P28">
        <v>0</v>
      </c>
      <c r="Q28">
        <v>1956834</v>
      </c>
      <c r="R28">
        <v>48720</v>
      </c>
      <c r="S28">
        <v>0</v>
      </c>
      <c r="T28">
        <v>15674329</v>
      </c>
      <c r="U28">
        <v>2256250</v>
      </c>
      <c r="V28">
        <v>2266586</v>
      </c>
      <c r="W28">
        <v>0</v>
      </c>
      <c r="X28">
        <v>15142</v>
      </c>
      <c r="Y28">
        <v>1352346</v>
      </c>
      <c r="Z28">
        <v>276087</v>
      </c>
      <c r="AA28">
        <v>428517</v>
      </c>
      <c r="AB28">
        <v>579282</v>
      </c>
      <c r="AC28">
        <v>207130</v>
      </c>
      <c r="AD28">
        <v>302581</v>
      </c>
      <c r="AE28">
        <v>124622</v>
      </c>
      <c r="AF28">
        <v>253629</v>
      </c>
      <c r="AG28">
        <v>99015</v>
      </c>
      <c r="AH28">
        <v>0</v>
      </c>
      <c r="AI28">
        <v>5224475</v>
      </c>
      <c r="AJ28">
        <v>32360</v>
      </c>
      <c r="AK28">
        <v>43571</v>
      </c>
      <c r="AM28">
        <v>1437688</v>
      </c>
      <c r="AN28">
        <v>37925</v>
      </c>
      <c r="AO28">
        <v>188702</v>
      </c>
      <c r="AP28">
        <v>0</v>
      </c>
      <c r="AQ28">
        <v>0</v>
      </c>
      <c r="AR28">
        <v>894392</v>
      </c>
      <c r="AS28">
        <v>0</v>
      </c>
      <c r="AT28">
        <v>424884</v>
      </c>
      <c r="AU28">
        <v>0</v>
      </c>
      <c r="AV28">
        <v>1503484</v>
      </c>
      <c r="AW28">
        <v>0</v>
      </c>
      <c r="AX28">
        <v>274877</v>
      </c>
      <c r="AY28">
        <v>166806</v>
      </c>
      <c r="AZ28">
        <v>91880</v>
      </c>
      <c r="BA28">
        <v>67793</v>
      </c>
      <c r="BB28">
        <v>0</v>
      </c>
      <c r="BC28">
        <v>7234</v>
      </c>
      <c r="BD28">
        <v>3094860</v>
      </c>
      <c r="BE28">
        <v>0</v>
      </c>
      <c r="BF28">
        <v>105524</v>
      </c>
      <c r="BG28">
        <v>5856</v>
      </c>
      <c r="BH28">
        <v>0</v>
      </c>
      <c r="BI28">
        <v>10118</v>
      </c>
      <c r="BJ28">
        <v>0</v>
      </c>
      <c r="BK28">
        <v>341371</v>
      </c>
      <c r="BL28">
        <v>118577</v>
      </c>
      <c r="BM28">
        <v>494046</v>
      </c>
      <c r="BN28">
        <v>132079</v>
      </c>
      <c r="BO28">
        <v>28523</v>
      </c>
      <c r="BP28">
        <v>95453</v>
      </c>
      <c r="BQ28">
        <v>0</v>
      </c>
      <c r="BR28">
        <v>82932</v>
      </c>
      <c r="BS28">
        <v>0</v>
      </c>
      <c r="BT28">
        <v>71714</v>
      </c>
      <c r="BU28">
        <v>287630</v>
      </c>
      <c r="BV28">
        <v>0</v>
      </c>
      <c r="BW28">
        <v>326729</v>
      </c>
      <c r="BX28">
        <v>15019</v>
      </c>
      <c r="BY28">
        <v>15489</v>
      </c>
      <c r="BZ28">
        <v>703727</v>
      </c>
      <c r="CA28">
        <v>11500</v>
      </c>
      <c r="CB28">
        <v>26963</v>
      </c>
      <c r="CD28">
        <v>0</v>
      </c>
    </row>
    <row r="29" spans="1:82" x14ac:dyDescent="0.3">
      <c r="A29" s="155">
        <v>47</v>
      </c>
      <c r="B29" t="s">
        <v>910</v>
      </c>
      <c r="D29">
        <v>0</v>
      </c>
      <c r="E29">
        <v>0</v>
      </c>
      <c r="F29">
        <v>0</v>
      </c>
      <c r="G29">
        <v>0</v>
      </c>
      <c r="H29">
        <v>0</v>
      </c>
      <c r="I29">
        <v>0</v>
      </c>
      <c r="J29">
        <v>0</v>
      </c>
      <c r="K29">
        <v>0</v>
      </c>
      <c r="L29">
        <v>0</v>
      </c>
      <c r="M29">
        <v>0</v>
      </c>
      <c r="N29">
        <v>0</v>
      </c>
      <c r="O29">
        <v>0</v>
      </c>
      <c r="P29">
        <v>0</v>
      </c>
      <c r="Q29">
        <v>90928601</v>
      </c>
      <c r="R29">
        <v>0</v>
      </c>
      <c r="S29">
        <v>0</v>
      </c>
      <c r="T29">
        <v>0</v>
      </c>
      <c r="U29">
        <v>0</v>
      </c>
      <c r="V29">
        <v>26360381</v>
      </c>
      <c r="W29">
        <v>0</v>
      </c>
      <c r="X29">
        <v>0</v>
      </c>
      <c r="Y29">
        <v>0</v>
      </c>
      <c r="Z29">
        <v>0</v>
      </c>
      <c r="AA29">
        <v>0</v>
      </c>
      <c r="AB29">
        <v>0</v>
      </c>
      <c r="AC29">
        <v>0</v>
      </c>
      <c r="AD29">
        <v>0</v>
      </c>
      <c r="AE29">
        <v>0</v>
      </c>
      <c r="AF29">
        <v>0</v>
      </c>
      <c r="AG29">
        <v>0</v>
      </c>
      <c r="AH29">
        <v>0</v>
      </c>
      <c r="AI29">
        <v>27291705</v>
      </c>
      <c r="AJ29">
        <v>0</v>
      </c>
      <c r="AK29">
        <v>0</v>
      </c>
      <c r="AM29">
        <v>13440105</v>
      </c>
      <c r="AN29">
        <v>0</v>
      </c>
      <c r="AO29">
        <v>0</v>
      </c>
      <c r="AP29">
        <v>0</v>
      </c>
      <c r="AQ29">
        <v>0</v>
      </c>
      <c r="AR29">
        <v>0</v>
      </c>
      <c r="AS29">
        <v>0</v>
      </c>
      <c r="AT29">
        <v>0</v>
      </c>
      <c r="AU29">
        <v>702703</v>
      </c>
      <c r="AV29">
        <v>0</v>
      </c>
      <c r="AW29">
        <v>0</v>
      </c>
      <c r="AX29">
        <v>0</v>
      </c>
      <c r="AY29">
        <v>0</v>
      </c>
      <c r="AZ29">
        <v>0</v>
      </c>
      <c r="BA29">
        <v>0</v>
      </c>
      <c r="BB29">
        <v>0</v>
      </c>
      <c r="BC29">
        <v>0</v>
      </c>
      <c r="BD29">
        <v>0</v>
      </c>
      <c r="BE29">
        <v>0</v>
      </c>
      <c r="BF29">
        <v>0</v>
      </c>
      <c r="BG29">
        <v>0</v>
      </c>
      <c r="BH29">
        <v>0</v>
      </c>
      <c r="BI29">
        <v>0</v>
      </c>
      <c r="BJ29">
        <v>0</v>
      </c>
      <c r="BK29">
        <v>0</v>
      </c>
      <c r="BL29">
        <v>1603525</v>
      </c>
      <c r="BM29">
        <v>0</v>
      </c>
      <c r="BN29">
        <v>0</v>
      </c>
      <c r="BO29">
        <v>0</v>
      </c>
      <c r="BP29">
        <v>0</v>
      </c>
      <c r="BQ29">
        <v>0</v>
      </c>
      <c r="BR29">
        <v>1612417</v>
      </c>
      <c r="BS29">
        <v>6794913</v>
      </c>
      <c r="BT29">
        <v>0</v>
      </c>
      <c r="BU29">
        <v>0</v>
      </c>
      <c r="BV29">
        <v>0</v>
      </c>
      <c r="BW29">
        <v>0</v>
      </c>
      <c r="BX29">
        <v>0</v>
      </c>
      <c r="BY29">
        <v>0</v>
      </c>
      <c r="BZ29">
        <v>0</v>
      </c>
      <c r="CA29">
        <v>0</v>
      </c>
      <c r="CB29">
        <v>0</v>
      </c>
      <c r="CD29">
        <v>0</v>
      </c>
    </row>
    <row r="30" spans="1:82" x14ac:dyDescent="0.3">
      <c r="A30" s="155">
        <v>48</v>
      </c>
      <c r="B30" t="s">
        <v>115</v>
      </c>
      <c r="D30">
        <v>0</v>
      </c>
      <c r="E30">
        <v>0</v>
      </c>
      <c r="F30">
        <v>0</v>
      </c>
      <c r="G30">
        <v>0</v>
      </c>
      <c r="H30">
        <v>0</v>
      </c>
      <c r="I30">
        <v>0</v>
      </c>
      <c r="J30">
        <v>0</v>
      </c>
      <c r="K30">
        <v>0</v>
      </c>
      <c r="L30">
        <v>0</v>
      </c>
      <c r="M30">
        <v>0</v>
      </c>
      <c r="N30">
        <v>0</v>
      </c>
      <c r="O30">
        <v>0</v>
      </c>
      <c r="P30">
        <v>0</v>
      </c>
      <c r="Q30">
        <v>5968638</v>
      </c>
      <c r="R30">
        <v>0</v>
      </c>
      <c r="S30">
        <v>0</v>
      </c>
      <c r="T30">
        <v>0</v>
      </c>
      <c r="U30">
        <v>0</v>
      </c>
      <c r="V30">
        <v>3206368</v>
      </c>
      <c r="W30">
        <v>0</v>
      </c>
      <c r="X30">
        <v>0</v>
      </c>
      <c r="Y30">
        <v>0</v>
      </c>
      <c r="Z30">
        <v>0</v>
      </c>
      <c r="AA30">
        <v>0</v>
      </c>
      <c r="AB30">
        <v>0</v>
      </c>
      <c r="AC30">
        <v>0</v>
      </c>
      <c r="AD30">
        <v>0</v>
      </c>
      <c r="AE30">
        <v>0</v>
      </c>
      <c r="AF30">
        <v>0</v>
      </c>
      <c r="AG30">
        <v>0</v>
      </c>
      <c r="AH30">
        <v>0</v>
      </c>
      <c r="AI30">
        <v>8203287</v>
      </c>
      <c r="AJ30">
        <v>0</v>
      </c>
      <c r="AK30">
        <v>0</v>
      </c>
      <c r="AM30">
        <v>2039842</v>
      </c>
      <c r="AN30">
        <v>0</v>
      </c>
      <c r="AO30">
        <v>0</v>
      </c>
      <c r="AP30">
        <v>0</v>
      </c>
      <c r="AQ30">
        <v>0</v>
      </c>
      <c r="AR30">
        <v>0</v>
      </c>
      <c r="AS30">
        <v>0</v>
      </c>
      <c r="AT30">
        <v>0</v>
      </c>
      <c r="AU30">
        <v>25153</v>
      </c>
      <c r="AV30">
        <v>0</v>
      </c>
      <c r="AW30">
        <v>0</v>
      </c>
      <c r="AX30">
        <v>0</v>
      </c>
      <c r="AY30">
        <v>0</v>
      </c>
      <c r="AZ30">
        <v>0</v>
      </c>
      <c r="BA30">
        <v>0</v>
      </c>
      <c r="BB30">
        <v>0</v>
      </c>
      <c r="BC30">
        <v>0</v>
      </c>
      <c r="BD30">
        <v>0</v>
      </c>
      <c r="BE30">
        <v>0</v>
      </c>
      <c r="BF30">
        <v>0</v>
      </c>
      <c r="BG30">
        <v>0</v>
      </c>
      <c r="BH30">
        <v>0</v>
      </c>
      <c r="BI30">
        <v>0</v>
      </c>
      <c r="BJ30">
        <v>0</v>
      </c>
      <c r="BK30">
        <v>0</v>
      </c>
      <c r="BL30">
        <v>206199</v>
      </c>
      <c r="BM30">
        <v>0</v>
      </c>
      <c r="BN30">
        <v>0</v>
      </c>
      <c r="BO30">
        <v>0</v>
      </c>
      <c r="BP30">
        <v>0</v>
      </c>
      <c r="BQ30">
        <v>0</v>
      </c>
      <c r="BR30">
        <v>158506</v>
      </c>
      <c r="BS30">
        <v>1000854</v>
      </c>
      <c r="BT30">
        <v>0</v>
      </c>
      <c r="BU30">
        <v>0</v>
      </c>
      <c r="BV30">
        <v>0</v>
      </c>
      <c r="BW30">
        <v>0</v>
      </c>
      <c r="BX30">
        <v>0</v>
      </c>
      <c r="BY30">
        <v>0</v>
      </c>
      <c r="BZ30">
        <v>0</v>
      </c>
      <c r="CA30">
        <v>0</v>
      </c>
      <c r="CB30">
        <v>0</v>
      </c>
      <c r="CD30">
        <v>0</v>
      </c>
    </row>
    <row r="31" spans="1:82" x14ac:dyDescent="0.3">
      <c r="A31" s="155">
        <v>49</v>
      </c>
      <c r="B31" t="s">
        <v>219</v>
      </c>
      <c r="D31">
        <v>85466</v>
      </c>
      <c r="E31">
        <v>0</v>
      </c>
      <c r="F31">
        <v>218480</v>
      </c>
      <c r="G31">
        <v>0</v>
      </c>
      <c r="H31">
        <v>0</v>
      </c>
      <c r="I31">
        <v>0</v>
      </c>
      <c r="J31">
        <v>64933</v>
      </c>
      <c r="K31">
        <v>0</v>
      </c>
      <c r="L31">
        <v>0</v>
      </c>
      <c r="M31">
        <v>0</v>
      </c>
      <c r="N31">
        <v>0</v>
      </c>
      <c r="O31">
        <v>765111</v>
      </c>
      <c r="P31">
        <v>0</v>
      </c>
      <c r="Q31">
        <v>3434902</v>
      </c>
      <c r="R31">
        <v>79658</v>
      </c>
      <c r="S31">
        <v>0</v>
      </c>
      <c r="T31">
        <v>4728475</v>
      </c>
      <c r="U31">
        <v>1853327</v>
      </c>
      <c r="V31">
        <v>2715230</v>
      </c>
      <c r="W31">
        <v>0</v>
      </c>
      <c r="X31">
        <v>91906</v>
      </c>
      <c r="Y31">
        <v>1962377</v>
      </c>
      <c r="Z31">
        <v>454681</v>
      </c>
      <c r="AA31">
        <v>1159233</v>
      </c>
      <c r="AB31">
        <v>609998</v>
      </c>
      <c r="AC31">
        <v>127641</v>
      </c>
      <c r="AD31">
        <v>227675</v>
      </c>
      <c r="AE31">
        <v>852693</v>
      </c>
      <c r="AF31">
        <v>360225</v>
      </c>
      <c r="AG31">
        <v>312205</v>
      </c>
      <c r="AH31">
        <v>0</v>
      </c>
      <c r="AI31">
        <v>3868056</v>
      </c>
      <c r="AJ31">
        <v>67556</v>
      </c>
      <c r="AK31">
        <v>238581</v>
      </c>
      <c r="AM31">
        <v>2043217</v>
      </c>
      <c r="AN31">
        <v>76582</v>
      </c>
      <c r="AO31">
        <v>92219</v>
      </c>
      <c r="AP31">
        <v>0</v>
      </c>
      <c r="AQ31">
        <v>0</v>
      </c>
      <c r="AR31">
        <v>766441</v>
      </c>
      <c r="AS31">
        <v>0</v>
      </c>
      <c r="AT31">
        <v>395247</v>
      </c>
      <c r="AU31">
        <v>0</v>
      </c>
      <c r="AV31">
        <v>4510615</v>
      </c>
      <c r="AW31">
        <v>0</v>
      </c>
      <c r="AX31">
        <v>266110</v>
      </c>
      <c r="AY31">
        <v>197810</v>
      </c>
      <c r="AZ31">
        <v>209874</v>
      </c>
      <c r="BA31">
        <v>44394</v>
      </c>
      <c r="BB31">
        <v>0</v>
      </c>
      <c r="BC31">
        <v>26866</v>
      </c>
      <c r="BD31">
        <v>1126372</v>
      </c>
      <c r="BE31">
        <v>0</v>
      </c>
      <c r="BF31">
        <v>66384</v>
      </c>
      <c r="BG31">
        <v>74733</v>
      </c>
      <c r="BH31">
        <v>0</v>
      </c>
      <c r="BI31">
        <v>93967</v>
      </c>
      <c r="BJ31">
        <v>0</v>
      </c>
      <c r="BK31">
        <v>526629</v>
      </c>
      <c r="BL31">
        <v>231663</v>
      </c>
      <c r="BM31">
        <v>371091</v>
      </c>
      <c r="BN31">
        <v>164404</v>
      </c>
      <c r="BO31">
        <v>104184</v>
      </c>
      <c r="BP31">
        <v>41463</v>
      </c>
      <c r="BQ31">
        <v>0</v>
      </c>
      <c r="BR31">
        <v>178490</v>
      </c>
      <c r="BS31">
        <v>0</v>
      </c>
      <c r="BT31">
        <v>281889</v>
      </c>
      <c r="BU31">
        <v>580847</v>
      </c>
      <c r="BV31">
        <v>0</v>
      </c>
      <c r="BW31">
        <v>500228</v>
      </c>
      <c r="BX31">
        <v>75076</v>
      </c>
      <c r="BY31">
        <v>18215</v>
      </c>
      <c r="BZ31">
        <v>168978</v>
      </c>
      <c r="CA31">
        <v>152757</v>
      </c>
      <c r="CB31">
        <v>159052</v>
      </c>
      <c r="CD31">
        <v>30020</v>
      </c>
    </row>
    <row r="32" spans="1:82" x14ac:dyDescent="0.3">
      <c r="A32" s="155">
        <v>50</v>
      </c>
      <c r="B32" t="s">
        <v>92</v>
      </c>
      <c r="D32">
        <v>-81250</v>
      </c>
      <c r="E32">
        <v>0</v>
      </c>
      <c r="F32">
        <v>1692249</v>
      </c>
      <c r="G32">
        <v>0</v>
      </c>
      <c r="H32">
        <v>0</v>
      </c>
      <c r="I32">
        <v>0</v>
      </c>
      <c r="J32">
        <v>-46126</v>
      </c>
      <c r="K32">
        <v>0</v>
      </c>
      <c r="L32">
        <v>0</v>
      </c>
      <c r="M32">
        <v>0</v>
      </c>
      <c r="N32">
        <v>0</v>
      </c>
      <c r="O32">
        <v>66844</v>
      </c>
      <c r="P32">
        <v>0</v>
      </c>
      <c r="Q32">
        <v>7860991</v>
      </c>
      <c r="R32">
        <v>63649</v>
      </c>
      <c r="S32">
        <v>0</v>
      </c>
      <c r="T32">
        <v>1793422</v>
      </c>
      <c r="U32">
        <v>512163</v>
      </c>
      <c r="V32">
        <v>1951606</v>
      </c>
      <c r="W32">
        <v>0</v>
      </c>
      <c r="X32">
        <v>-71800</v>
      </c>
      <c r="Y32">
        <v>2611347</v>
      </c>
      <c r="Z32">
        <v>-152782</v>
      </c>
      <c r="AA32">
        <v>2940758</v>
      </c>
      <c r="AB32">
        <v>300472</v>
      </c>
      <c r="AC32">
        <v>109386</v>
      </c>
      <c r="AD32">
        <v>297828</v>
      </c>
      <c r="AE32">
        <v>-390521</v>
      </c>
      <c r="AF32">
        <v>-186871</v>
      </c>
      <c r="AG32">
        <v>-1254926</v>
      </c>
      <c r="AH32">
        <v>-3581193</v>
      </c>
      <c r="AI32">
        <v>3907266</v>
      </c>
      <c r="AJ32">
        <v>-540472</v>
      </c>
      <c r="AK32">
        <v>-69228</v>
      </c>
      <c r="AM32">
        <v>386789</v>
      </c>
      <c r="AN32">
        <v>-64457</v>
      </c>
      <c r="AO32">
        <v>-61913</v>
      </c>
      <c r="AP32">
        <v>0</v>
      </c>
      <c r="AQ32">
        <v>0</v>
      </c>
      <c r="AR32">
        <v>596356</v>
      </c>
      <c r="AS32">
        <v>0</v>
      </c>
      <c r="AT32">
        <v>67264</v>
      </c>
      <c r="AU32">
        <v>0</v>
      </c>
      <c r="AV32">
        <v>1387897</v>
      </c>
      <c r="AW32">
        <v>0</v>
      </c>
      <c r="AX32">
        <v>-108766</v>
      </c>
      <c r="AY32">
        <v>860494</v>
      </c>
      <c r="AZ32">
        <v>-78500</v>
      </c>
      <c r="BA32">
        <v>-48860</v>
      </c>
      <c r="BB32">
        <v>0</v>
      </c>
      <c r="BC32">
        <v>-50192</v>
      </c>
      <c r="BD32">
        <v>6075787</v>
      </c>
      <c r="BE32">
        <v>0</v>
      </c>
      <c r="BF32">
        <v>9663</v>
      </c>
      <c r="BG32">
        <v>600525</v>
      </c>
      <c r="BH32">
        <v>0</v>
      </c>
      <c r="BI32">
        <v>-48610</v>
      </c>
      <c r="BJ32">
        <v>0</v>
      </c>
      <c r="BK32">
        <v>-182192</v>
      </c>
      <c r="BL32">
        <v>1336537</v>
      </c>
      <c r="BM32">
        <v>820986</v>
      </c>
      <c r="BN32">
        <v>132108</v>
      </c>
      <c r="BO32">
        <v>-12960</v>
      </c>
      <c r="BP32">
        <v>47893</v>
      </c>
      <c r="BQ32">
        <v>0</v>
      </c>
      <c r="BR32">
        <v>-24176</v>
      </c>
      <c r="BS32">
        <v>0</v>
      </c>
      <c r="BT32">
        <v>-174819</v>
      </c>
      <c r="BU32">
        <v>172230</v>
      </c>
      <c r="BV32">
        <v>0</v>
      </c>
      <c r="BW32">
        <v>67016</v>
      </c>
      <c r="BX32">
        <v>50443</v>
      </c>
      <c r="BY32">
        <v>-19003</v>
      </c>
      <c r="BZ32">
        <v>100842</v>
      </c>
      <c r="CA32">
        <v>-131854</v>
      </c>
      <c r="CB32">
        <v>-2929</v>
      </c>
      <c r="CD32">
        <v>-35808</v>
      </c>
    </row>
    <row r="33" spans="1:82" x14ac:dyDescent="0.3">
      <c r="A33" s="155">
        <v>51</v>
      </c>
      <c r="B33" t="s">
        <v>237</v>
      </c>
      <c r="D33">
        <v>-1182</v>
      </c>
      <c r="E33">
        <v>0</v>
      </c>
      <c r="F33">
        <v>15243</v>
      </c>
      <c r="G33">
        <v>0</v>
      </c>
      <c r="H33">
        <v>0</v>
      </c>
      <c r="I33">
        <v>0</v>
      </c>
      <c r="J33">
        <v>35578</v>
      </c>
      <c r="K33">
        <v>0</v>
      </c>
      <c r="L33">
        <v>0</v>
      </c>
      <c r="M33">
        <v>0</v>
      </c>
      <c r="N33">
        <v>0</v>
      </c>
      <c r="O33">
        <v>445422</v>
      </c>
      <c r="P33">
        <v>0</v>
      </c>
      <c r="Q33">
        <v>11604205</v>
      </c>
      <c r="R33">
        <v>145887</v>
      </c>
      <c r="S33">
        <v>0</v>
      </c>
      <c r="T33">
        <v>11594218</v>
      </c>
      <c r="U33">
        <v>2258387</v>
      </c>
      <c r="V33">
        <v>5207858</v>
      </c>
      <c r="W33">
        <v>0</v>
      </c>
      <c r="X33">
        <v>15373</v>
      </c>
      <c r="Y33">
        <v>1993229</v>
      </c>
      <c r="Z33">
        <v>377731</v>
      </c>
      <c r="AA33">
        <v>3555433</v>
      </c>
      <c r="AB33">
        <v>658921</v>
      </c>
      <c r="AC33">
        <v>302513</v>
      </c>
      <c r="AD33">
        <v>536387</v>
      </c>
      <c r="AE33">
        <v>342453</v>
      </c>
      <c r="AF33">
        <v>694175</v>
      </c>
      <c r="AG33">
        <v>-972436</v>
      </c>
      <c r="AH33">
        <v>-178521</v>
      </c>
      <c r="AI33">
        <v>8775691</v>
      </c>
      <c r="AJ33">
        <v>28804</v>
      </c>
      <c r="AK33">
        <v>200957</v>
      </c>
      <c r="AM33">
        <v>2171503</v>
      </c>
      <c r="AN33">
        <v>22961</v>
      </c>
      <c r="AO33">
        <v>90772</v>
      </c>
      <c r="AP33">
        <v>0</v>
      </c>
      <c r="AQ33">
        <v>0</v>
      </c>
      <c r="AR33">
        <v>1102787</v>
      </c>
      <c r="AS33">
        <v>0</v>
      </c>
      <c r="AT33">
        <v>688617</v>
      </c>
      <c r="AU33">
        <v>0</v>
      </c>
      <c r="AV33">
        <v>9027085</v>
      </c>
      <c r="AW33">
        <v>0</v>
      </c>
      <c r="AX33">
        <v>287902</v>
      </c>
      <c r="AY33">
        <v>880454</v>
      </c>
      <c r="AZ33">
        <v>192265</v>
      </c>
      <c r="BA33">
        <v>29983</v>
      </c>
      <c r="BB33">
        <v>0</v>
      </c>
      <c r="BC33">
        <v>-29559</v>
      </c>
      <c r="BD33">
        <v>4492379</v>
      </c>
      <c r="BE33">
        <v>0</v>
      </c>
      <c r="BF33">
        <v>23166</v>
      </c>
      <c r="BG33">
        <v>0</v>
      </c>
      <c r="BH33">
        <v>0</v>
      </c>
      <c r="BI33">
        <v>47635</v>
      </c>
      <c r="BJ33">
        <v>0</v>
      </c>
      <c r="BK33">
        <v>148416</v>
      </c>
      <c r="BL33">
        <v>239681</v>
      </c>
      <c r="BM33">
        <v>397660</v>
      </c>
      <c r="BN33">
        <v>281374</v>
      </c>
      <c r="BO33">
        <v>120442</v>
      </c>
      <c r="BP33">
        <v>102921</v>
      </c>
      <c r="BQ33">
        <v>0</v>
      </c>
      <c r="BR33">
        <v>309864</v>
      </c>
      <c r="BS33">
        <v>0</v>
      </c>
      <c r="BT33">
        <v>74032</v>
      </c>
      <c r="BU33">
        <v>220090</v>
      </c>
      <c r="BV33">
        <v>0</v>
      </c>
      <c r="BW33">
        <v>387693</v>
      </c>
      <c r="BX33">
        <v>88594</v>
      </c>
      <c r="BY33">
        <v>0</v>
      </c>
      <c r="BZ33">
        <v>88681</v>
      </c>
      <c r="CA33">
        <v>30442</v>
      </c>
      <c r="CB33">
        <v>147800</v>
      </c>
      <c r="CD33">
        <v>-5788</v>
      </c>
    </row>
    <row r="34" spans="1:82" x14ac:dyDescent="0.3">
      <c r="A34" s="155">
        <v>52</v>
      </c>
      <c r="B34" t="s">
        <v>230</v>
      </c>
      <c r="D34">
        <v>0</v>
      </c>
      <c r="E34">
        <v>0</v>
      </c>
      <c r="F34">
        <v>0</v>
      </c>
      <c r="G34">
        <v>0</v>
      </c>
      <c r="H34">
        <v>0</v>
      </c>
      <c r="I34">
        <v>0</v>
      </c>
      <c r="J34">
        <v>0</v>
      </c>
      <c r="K34">
        <v>0</v>
      </c>
      <c r="L34">
        <v>0</v>
      </c>
      <c r="M34">
        <v>0</v>
      </c>
      <c r="N34">
        <v>0</v>
      </c>
      <c r="O34">
        <v>0</v>
      </c>
      <c r="P34">
        <v>0</v>
      </c>
      <c r="Q34">
        <v>2686405</v>
      </c>
      <c r="R34">
        <v>0</v>
      </c>
      <c r="S34">
        <v>0</v>
      </c>
      <c r="T34">
        <v>0</v>
      </c>
      <c r="U34">
        <v>0</v>
      </c>
      <c r="V34">
        <v>985851</v>
      </c>
      <c r="W34">
        <v>0</v>
      </c>
      <c r="X34">
        <v>0</v>
      </c>
      <c r="Y34">
        <v>0</v>
      </c>
      <c r="Z34">
        <v>0</v>
      </c>
      <c r="AA34">
        <v>0</v>
      </c>
      <c r="AB34">
        <v>0</v>
      </c>
      <c r="AC34">
        <v>0</v>
      </c>
      <c r="AD34">
        <v>0</v>
      </c>
      <c r="AE34">
        <v>0</v>
      </c>
      <c r="AF34">
        <v>0</v>
      </c>
      <c r="AG34">
        <v>0</v>
      </c>
      <c r="AH34">
        <v>0</v>
      </c>
      <c r="AI34">
        <v>2346443</v>
      </c>
      <c r="AJ34">
        <v>0</v>
      </c>
      <c r="AK34">
        <v>0</v>
      </c>
      <c r="AM34">
        <v>1189612</v>
      </c>
      <c r="AN34">
        <v>0</v>
      </c>
      <c r="AO34">
        <v>0</v>
      </c>
      <c r="AP34">
        <v>0</v>
      </c>
      <c r="AQ34">
        <v>0</v>
      </c>
      <c r="AR34">
        <v>0</v>
      </c>
      <c r="AS34">
        <v>0</v>
      </c>
      <c r="AT34">
        <v>0</v>
      </c>
      <c r="AU34">
        <v>7958</v>
      </c>
      <c r="AV34">
        <v>0</v>
      </c>
      <c r="AW34">
        <v>0</v>
      </c>
      <c r="AX34">
        <v>0</v>
      </c>
      <c r="AY34">
        <v>0</v>
      </c>
      <c r="AZ34">
        <v>0</v>
      </c>
      <c r="BA34">
        <v>0</v>
      </c>
      <c r="BB34">
        <v>0</v>
      </c>
      <c r="BC34">
        <v>0</v>
      </c>
      <c r="BD34">
        <v>0</v>
      </c>
      <c r="BE34">
        <v>0</v>
      </c>
      <c r="BF34">
        <v>0</v>
      </c>
      <c r="BG34">
        <v>0</v>
      </c>
      <c r="BH34">
        <v>0</v>
      </c>
      <c r="BI34">
        <v>0</v>
      </c>
      <c r="BJ34">
        <v>0</v>
      </c>
      <c r="BK34">
        <v>0</v>
      </c>
      <c r="BL34">
        <v>52445</v>
      </c>
      <c r="BM34">
        <v>0</v>
      </c>
      <c r="BN34">
        <v>0</v>
      </c>
      <c r="BO34">
        <v>0</v>
      </c>
      <c r="BP34">
        <v>0</v>
      </c>
      <c r="BQ34">
        <v>0</v>
      </c>
      <c r="BR34">
        <v>42955</v>
      </c>
      <c r="BS34">
        <v>590658</v>
      </c>
      <c r="BT34">
        <v>0</v>
      </c>
      <c r="BU34">
        <v>0</v>
      </c>
      <c r="BV34">
        <v>0</v>
      </c>
      <c r="BW34">
        <v>0</v>
      </c>
      <c r="BX34">
        <v>0</v>
      </c>
      <c r="BY34">
        <v>0</v>
      </c>
      <c r="BZ34">
        <v>0</v>
      </c>
      <c r="CA34">
        <v>0</v>
      </c>
      <c r="CB34">
        <v>0</v>
      </c>
      <c r="CD34">
        <v>0</v>
      </c>
    </row>
    <row r="35" spans="1:82" x14ac:dyDescent="0.3">
      <c r="A35" s="155">
        <v>53</v>
      </c>
      <c r="B35" t="s">
        <v>93</v>
      </c>
      <c r="D35">
        <v>0</v>
      </c>
      <c r="E35">
        <v>0</v>
      </c>
      <c r="F35">
        <v>0</v>
      </c>
      <c r="G35">
        <v>0</v>
      </c>
      <c r="H35">
        <v>0</v>
      </c>
      <c r="I35">
        <v>0</v>
      </c>
      <c r="J35">
        <v>0</v>
      </c>
      <c r="K35">
        <v>0</v>
      </c>
      <c r="L35">
        <v>0</v>
      </c>
      <c r="M35">
        <v>0</v>
      </c>
      <c r="N35">
        <v>0</v>
      </c>
      <c r="O35">
        <v>0</v>
      </c>
      <c r="P35">
        <v>0</v>
      </c>
      <c r="Q35">
        <v>12744225</v>
      </c>
      <c r="R35">
        <v>0</v>
      </c>
      <c r="S35">
        <v>0</v>
      </c>
      <c r="T35">
        <v>0</v>
      </c>
      <c r="U35">
        <v>0</v>
      </c>
      <c r="V35">
        <v>6928404</v>
      </c>
      <c r="W35">
        <v>0</v>
      </c>
      <c r="X35">
        <v>0</v>
      </c>
      <c r="Y35">
        <v>0</v>
      </c>
      <c r="Z35">
        <v>0</v>
      </c>
      <c r="AA35">
        <v>0</v>
      </c>
      <c r="AB35">
        <v>0</v>
      </c>
      <c r="AC35">
        <v>0</v>
      </c>
      <c r="AD35">
        <v>0</v>
      </c>
      <c r="AE35">
        <v>0</v>
      </c>
      <c r="AF35">
        <v>0</v>
      </c>
      <c r="AG35">
        <v>0</v>
      </c>
      <c r="AH35">
        <v>0</v>
      </c>
      <c r="AI35">
        <v>2501240</v>
      </c>
      <c r="AJ35">
        <v>0</v>
      </c>
      <c r="AK35">
        <v>0</v>
      </c>
      <c r="AM35">
        <v>2671074</v>
      </c>
      <c r="AN35">
        <v>0</v>
      </c>
      <c r="AO35">
        <v>0</v>
      </c>
      <c r="AP35">
        <v>0</v>
      </c>
      <c r="AQ35">
        <v>0</v>
      </c>
      <c r="AR35">
        <v>0</v>
      </c>
      <c r="AS35">
        <v>0</v>
      </c>
      <c r="AT35">
        <v>0</v>
      </c>
      <c r="AU35">
        <v>3143</v>
      </c>
      <c r="AV35">
        <v>0</v>
      </c>
      <c r="AW35">
        <v>0</v>
      </c>
      <c r="AX35">
        <v>0</v>
      </c>
      <c r="AY35">
        <v>0</v>
      </c>
      <c r="AZ35">
        <v>0</v>
      </c>
      <c r="BA35">
        <v>0</v>
      </c>
      <c r="BB35">
        <v>0</v>
      </c>
      <c r="BC35">
        <v>0</v>
      </c>
      <c r="BD35">
        <v>0</v>
      </c>
      <c r="BE35">
        <v>0</v>
      </c>
      <c r="BF35">
        <v>0</v>
      </c>
      <c r="BG35">
        <v>0</v>
      </c>
      <c r="BH35">
        <v>0</v>
      </c>
      <c r="BI35">
        <v>0</v>
      </c>
      <c r="BJ35">
        <v>0</v>
      </c>
      <c r="BK35">
        <v>0</v>
      </c>
      <c r="BL35">
        <v>102027</v>
      </c>
      <c r="BM35">
        <v>0</v>
      </c>
      <c r="BN35">
        <v>0</v>
      </c>
      <c r="BO35">
        <v>0</v>
      </c>
      <c r="BP35">
        <v>0</v>
      </c>
      <c r="BQ35">
        <v>0</v>
      </c>
      <c r="BR35">
        <v>333188</v>
      </c>
      <c r="BS35">
        <v>3083353</v>
      </c>
      <c r="BT35">
        <v>0</v>
      </c>
      <c r="BU35">
        <v>0</v>
      </c>
      <c r="BV35">
        <v>0</v>
      </c>
      <c r="BW35">
        <v>0</v>
      </c>
      <c r="BX35">
        <v>0</v>
      </c>
      <c r="BY35">
        <v>0</v>
      </c>
      <c r="BZ35">
        <v>0</v>
      </c>
      <c r="CA35">
        <v>0</v>
      </c>
      <c r="CB35">
        <v>0</v>
      </c>
      <c r="CD35">
        <v>0</v>
      </c>
    </row>
    <row r="36" spans="1:82" x14ac:dyDescent="0.3">
      <c r="A36" s="155">
        <v>55</v>
      </c>
      <c r="B36" t="s">
        <v>240</v>
      </c>
      <c r="D36">
        <v>0</v>
      </c>
      <c r="E36">
        <v>0</v>
      </c>
      <c r="F36">
        <v>0</v>
      </c>
      <c r="G36">
        <v>0</v>
      </c>
      <c r="H36">
        <v>0</v>
      </c>
      <c r="I36">
        <v>0</v>
      </c>
      <c r="J36">
        <v>0</v>
      </c>
      <c r="K36">
        <v>0</v>
      </c>
      <c r="L36">
        <v>0</v>
      </c>
      <c r="M36">
        <v>0</v>
      </c>
      <c r="N36">
        <v>0</v>
      </c>
      <c r="O36">
        <v>0</v>
      </c>
      <c r="P36">
        <v>0</v>
      </c>
      <c r="Q36">
        <v>4519153</v>
      </c>
      <c r="R36">
        <v>0</v>
      </c>
      <c r="S36">
        <v>0</v>
      </c>
      <c r="T36">
        <v>0</v>
      </c>
      <c r="U36">
        <v>0</v>
      </c>
      <c r="V36">
        <v>9740209</v>
      </c>
      <c r="W36">
        <v>0</v>
      </c>
      <c r="X36">
        <v>0</v>
      </c>
      <c r="Y36">
        <v>0</v>
      </c>
      <c r="Z36">
        <v>0</v>
      </c>
      <c r="AA36">
        <v>0</v>
      </c>
      <c r="AB36">
        <v>0</v>
      </c>
      <c r="AC36">
        <v>0</v>
      </c>
      <c r="AD36">
        <v>0</v>
      </c>
      <c r="AE36">
        <v>0</v>
      </c>
      <c r="AF36">
        <v>0</v>
      </c>
      <c r="AG36">
        <v>0</v>
      </c>
      <c r="AH36">
        <v>0</v>
      </c>
      <c r="AI36">
        <v>7391017</v>
      </c>
      <c r="AJ36">
        <v>0</v>
      </c>
      <c r="AK36">
        <v>0</v>
      </c>
      <c r="AM36">
        <v>1454469</v>
      </c>
      <c r="AN36">
        <v>0</v>
      </c>
      <c r="AO36">
        <v>0</v>
      </c>
      <c r="AP36">
        <v>0</v>
      </c>
      <c r="AQ36">
        <v>0</v>
      </c>
      <c r="AR36">
        <v>0</v>
      </c>
      <c r="AS36">
        <v>0</v>
      </c>
      <c r="AT36">
        <v>0</v>
      </c>
      <c r="AU36">
        <v>-40441</v>
      </c>
      <c r="AV36">
        <v>0</v>
      </c>
      <c r="AW36">
        <v>0</v>
      </c>
      <c r="AX36">
        <v>0</v>
      </c>
      <c r="AY36">
        <v>0</v>
      </c>
      <c r="AZ36">
        <v>0</v>
      </c>
      <c r="BA36">
        <v>0</v>
      </c>
      <c r="BB36">
        <v>0</v>
      </c>
      <c r="BC36">
        <v>0</v>
      </c>
      <c r="BD36">
        <v>0</v>
      </c>
      <c r="BE36">
        <v>0</v>
      </c>
      <c r="BF36">
        <v>0</v>
      </c>
      <c r="BG36">
        <v>0</v>
      </c>
      <c r="BH36">
        <v>0</v>
      </c>
      <c r="BI36">
        <v>0</v>
      </c>
      <c r="BJ36">
        <v>0</v>
      </c>
      <c r="BK36">
        <v>0</v>
      </c>
      <c r="BL36">
        <v>110352</v>
      </c>
      <c r="BM36">
        <v>0</v>
      </c>
      <c r="BN36">
        <v>0</v>
      </c>
      <c r="BO36">
        <v>0</v>
      </c>
      <c r="BP36">
        <v>0</v>
      </c>
      <c r="BQ36">
        <v>0</v>
      </c>
      <c r="BR36">
        <v>693989</v>
      </c>
      <c r="BS36">
        <v>1459628</v>
      </c>
      <c r="BT36">
        <v>0</v>
      </c>
      <c r="BU36">
        <v>0</v>
      </c>
      <c r="BV36">
        <v>0</v>
      </c>
      <c r="BW36">
        <v>0</v>
      </c>
      <c r="BX36">
        <v>0</v>
      </c>
      <c r="BY36">
        <v>0</v>
      </c>
      <c r="BZ36">
        <v>0</v>
      </c>
      <c r="CA36">
        <v>0</v>
      </c>
      <c r="CB36">
        <v>0</v>
      </c>
      <c r="CD36">
        <v>0</v>
      </c>
    </row>
    <row r="37" spans="1:82" x14ac:dyDescent="0.3">
      <c r="A37" s="155">
        <v>61</v>
      </c>
      <c r="B37" t="s">
        <v>254</v>
      </c>
      <c r="D37">
        <v>91.42</v>
      </c>
      <c r="E37">
        <v>98.45</v>
      </c>
      <c r="F37">
        <v>98.83</v>
      </c>
      <c r="G37">
        <v>98.18</v>
      </c>
      <c r="H37">
        <v>98.08</v>
      </c>
      <c r="I37">
        <v>99.24</v>
      </c>
      <c r="J37">
        <v>97.47</v>
      </c>
      <c r="K37">
        <v>99.58</v>
      </c>
      <c r="L37">
        <v>99.35</v>
      </c>
      <c r="M37">
        <v>99.27</v>
      </c>
      <c r="N37">
        <v>97.18</v>
      </c>
      <c r="O37">
        <v>98.92</v>
      </c>
      <c r="P37">
        <v>99.3</v>
      </c>
      <c r="Q37">
        <v>99.39</v>
      </c>
      <c r="R37">
        <v>99.9</v>
      </c>
      <c r="S37">
        <v>0</v>
      </c>
      <c r="T37">
        <v>99.41</v>
      </c>
      <c r="U37">
        <v>99.28</v>
      </c>
      <c r="V37">
        <v>97.46</v>
      </c>
      <c r="W37">
        <v>99.79</v>
      </c>
      <c r="X37">
        <v>0</v>
      </c>
      <c r="Y37">
        <v>98.78</v>
      </c>
      <c r="Z37">
        <v>96.34</v>
      </c>
      <c r="AA37">
        <v>99.52</v>
      </c>
      <c r="AB37">
        <v>97.46</v>
      </c>
      <c r="AC37">
        <v>98.68</v>
      </c>
      <c r="AD37">
        <v>97.88</v>
      </c>
      <c r="AE37">
        <v>93.46</v>
      </c>
      <c r="AF37">
        <v>99.95</v>
      </c>
      <c r="AG37">
        <v>98.6</v>
      </c>
      <c r="AH37">
        <v>95.62</v>
      </c>
      <c r="AI37">
        <v>99.44</v>
      </c>
      <c r="AJ37">
        <v>99.68</v>
      </c>
      <c r="AK37">
        <v>93.37</v>
      </c>
      <c r="AM37">
        <v>98.63</v>
      </c>
      <c r="AN37">
        <v>97.33</v>
      </c>
      <c r="AO37">
        <v>95.81</v>
      </c>
      <c r="AP37">
        <v>0</v>
      </c>
      <c r="AQ37">
        <v>99.37</v>
      </c>
      <c r="AR37">
        <v>96.97</v>
      </c>
      <c r="AS37">
        <v>96</v>
      </c>
      <c r="AT37">
        <v>98.42</v>
      </c>
      <c r="AU37">
        <v>90.59</v>
      </c>
      <c r="AV37">
        <v>99.3</v>
      </c>
      <c r="AW37">
        <v>99.62</v>
      </c>
      <c r="AX37">
        <v>98.12</v>
      </c>
      <c r="AY37">
        <v>100</v>
      </c>
      <c r="AZ37">
        <v>99.75</v>
      </c>
      <c r="BA37">
        <v>98.72</v>
      </c>
      <c r="BB37">
        <v>0</v>
      </c>
      <c r="BC37">
        <v>97.92</v>
      </c>
      <c r="BD37">
        <v>97.98</v>
      </c>
      <c r="BE37">
        <v>98.61</v>
      </c>
      <c r="BF37">
        <v>95.43</v>
      </c>
      <c r="BG37">
        <v>82.87</v>
      </c>
      <c r="BH37">
        <v>99.33</v>
      </c>
      <c r="BI37">
        <v>92.41</v>
      </c>
      <c r="BJ37">
        <v>97.02</v>
      </c>
      <c r="BK37">
        <v>96.34</v>
      </c>
      <c r="BL37">
        <v>98.98</v>
      </c>
      <c r="BM37">
        <v>98.81</v>
      </c>
      <c r="BN37">
        <v>99.86</v>
      </c>
      <c r="BO37">
        <v>99.88</v>
      </c>
      <c r="BP37">
        <v>99.36</v>
      </c>
      <c r="BQ37">
        <v>99.93</v>
      </c>
      <c r="BR37">
        <v>95.58</v>
      </c>
      <c r="BS37">
        <v>99.15</v>
      </c>
      <c r="BT37">
        <v>97.82</v>
      </c>
      <c r="BU37">
        <v>99.23</v>
      </c>
      <c r="BV37">
        <v>99.22</v>
      </c>
      <c r="BW37">
        <v>89.58</v>
      </c>
      <c r="BX37">
        <v>95.09</v>
      </c>
      <c r="BY37">
        <v>99.14</v>
      </c>
      <c r="BZ37">
        <v>93.56</v>
      </c>
      <c r="CA37">
        <v>98.15</v>
      </c>
      <c r="CB37">
        <v>99.63</v>
      </c>
      <c r="CD37">
        <v>97.47</v>
      </c>
    </row>
    <row r="38" spans="1:82" x14ac:dyDescent="0.3">
      <c r="A38" s="155">
        <v>80</v>
      </c>
      <c r="B38" t="s">
        <v>209</v>
      </c>
      <c r="D38">
        <v>159792</v>
      </c>
      <c r="E38">
        <v>0</v>
      </c>
      <c r="F38">
        <v>626309</v>
      </c>
      <c r="G38">
        <v>0</v>
      </c>
      <c r="H38">
        <v>0</v>
      </c>
      <c r="I38">
        <v>0</v>
      </c>
      <c r="J38">
        <v>8312</v>
      </c>
      <c r="K38">
        <v>0</v>
      </c>
      <c r="L38">
        <v>0</v>
      </c>
      <c r="M38">
        <v>0</v>
      </c>
      <c r="N38">
        <v>0</v>
      </c>
      <c r="O38">
        <v>640606</v>
      </c>
      <c r="P38">
        <v>0</v>
      </c>
      <c r="Q38">
        <v>45639880</v>
      </c>
      <c r="R38">
        <v>827925</v>
      </c>
      <c r="S38">
        <v>0</v>
      </c>
      <c r="T38">
        <v>46520531</v>
      </c>
      <c r="U38">
        <v>6984357</v>
      </c>
      <c r="V38">
        <v>18486413</v>
      </c>
      <c r="W38">
        <v>0</v>
      </c>
      <c r="X38">
        <v>234135</v>
      </c>
      <c r="Y38">
        <v>4382145</v>
      </c>
      <c r="Z38">
        <v>1423433</v>
      </c>
      <c r="AA38">
        <v>12968587</v>
      </c>
      <c r="AB38">
        <v>727054</v>
      </c>
      <c r="AC38">
        <v>908603</v>
      </c>
      <c r="AD38">
        <v>805080</v>
      </c>
      <c r="AE38">
        <v>2106520</v>
      </c>
      <c r="AF38">
        <v>4157057</v>
      </c>
      <c r="AG38">
        <v>333730</v>
      </c>
      <c r="AH38">
        <v>0</v>
      </c>
      <c r="AI38">
        <v>20176487</v>
      </c>
      <c r="AJ38">
        <v>356220</v>
      </c>
      <c r="AK38">
        <v>473268</v>
      </c>
      <c r="AM38">
        <v>2660336</v>
      </c>
      <c r="AN38">
        <v>9702</v>
      </c>
      <c r="AO38">
        <v>58030</v>
      </c>
      <c r="AP38">
        <v>0</v>
      </c>
      <c r="AQ38">
        <v>0</v>
      </c>
      <c r="AR38">
        <v>4805820</v>
      </c>
      <c r="AS38">
        <v>0</v>
      </c>
      <c r="AT38">
        <v>262246</v>
      </c>
      <c r="AU38">
        <v>0</v>
      </c>
      <c r="AV38">
        <v>32254015</v>
      </c>
      <c r="AW38">
        <v>0</v>
      </c>
      <c r="AX38">
        <v>1713638</v>
      </c>
      <c r="AY38">
        <v>5522053</v>
      </c>
      <c r="AZ38">
        <v>961745</v>
      </c>
      <c r="BA38">
        <v>220685</v>
      </c>
      <c r="BB38">
        <v>0</v>
      </c>
      <c r="BC38">
        <v>65618</v>
      </c>
      <c r="BD38">
        <v>10418884</v>
      </c>
      <c r="BE38">
        <v>0</v>
      </c>
      <c r="BF38">
        <v>142368</v>
      </c>
      <c r="BG38">
        <v>97175</v>
      </c>
      <c r="BH38">
        <v>0</v>
      </c>
      <c r="BI38">
        <v>292295</v>
      </c>
      <c r="BJ38">
        <v>0</v>
      </c>
      <c r="BK38">
        <v>2198526</v>
      </c>
      <c r="BL38">
        <v>425844</v>
      </c>
      <c r="BM38">
        <v>48416</v>
      </c>
      <c r="BN38">
        <v>790283</v>
      </c>
      <c r="BO38">
        <v>188312</v>
      </c>
      <c r="BP38">
        <v>1054128</v>
      </c>
      <c r="BQ38">
        <v>0</v>
      </c>
      <c r="BR38">
        <v>329825</v>
      </c>
      <c r="BS38">
        <v>0</v>
      </c>
      <c r="BT38">
        <v>529649</v>
      </c>
      <c r="BU38">
        <v>4762428</v>
      </c>
      <c r="BV38">
        <v>0</v>
      </c>
      <c r="BW38">
        <v>285615</v>
      </c>
      <c r="BX38">
        <v>1217470</v>
      </c>
      <c r="BY38">
        <v>3129</v>
      </c>
      <c r="BZ38">
        <v>317687</v>
      </c>
      <c r="CA38">
        <v>25537</v>
      </c>
      <c r="CB38">
        <v>330291</v>
      </c>
      <c r="CD38">
        <v>3868</v>
      </c>
    </row>
    <row r="39" spans="1:82" x14ac:dyDescent="0.3">
      <c r="A39" s="155">
        <v>81</v>
      </c>
      <c r="B39" t="s">
        <v>210</v>
      </c>
      <c r="D39">
        <v>53809</v>
      </c>
      <c r="E39">
        <v>0</v>
      </c>
      <c r="F39">
        <v>467380</v>
      </c>
      <c r="G39">
        <v>0</v>
      </c>
      <c r="H39">
        <v>0</v>
      </c>
      <c r="I39">
        <v>0</v>
      </c>
      <c r="J39">
        <v>20679</v>
      </c>
      <c r="K39">
        <v>0</v>
      </c>
      <c r="L39">
        <v>0</v>
      </c>
      <c r="M39">
        <v>0</v>
      </c>
      <c r="N39">
        <v>0</v>
      </c>
      <c r="O39">
        <v>697765</v>
      </c>
      <c r="P39">
        <v>0</v>
      </c>
      <c r="Q39">
        <v>2256015</v>
      </c>
      <c r="R39">
        <v>35049</v>
      </c>
      <c r="S39">
        <v>0</v>
      </c>
      <c r="T39">
        <v>4409310</v>
      </c>
      <c r="U39">
        <v>1610841</v>
      </c>
      <c r="V39">
        <v>994777</v>
      </c>
      <c r="W39">
        <v>0</v>
      </c>
      <c r="X39">
        <v>12915</v>
      </c>
      <c r="Y39">
        <v>775030</v>
      </c>
      <c r="Z39">
        <v>150739</v>
      </c>
      <c r="AA39">
        <v>1678028</v>
      </c>
      <c r="AB39">
        <v>352111</v>
      </c>
      <c r="AC39">
        <v>133114</v>
      </c>
      <c r="AD39">
        <v>205962</v>
      </c>
      <c r="AE39">
        <v>166510</v>
      </c>
      <c r="AF39">
        <v>663068</v>
      </c>
      <c r="AG39">
        <v>157590</v>
      </c>
      <c r="AH39">
        <v>0</v>
      </c>
      <c r="AI39">
        <v>2765475</v>
      </c>
      <c r="AJ39">
        <v>19839</v>
      </c>
      <c r="AK39">
        <v>57843</v>
      </c>
      <c r="AM39">
        <v>1053630</v>
      </c>
      <c r="AN39">
        <v>57972</v>
      </c>
      <c r="AO39">
        <v>117696</v>
      </c>
      <c r="AP39">
        <v>0</v>
      </c>
      <c r="AQ39">
        <v>0</v>
      </c>
      <c r="AR39">
        <v>444839</v>
      </c>
      <c r="AS39">
        <v>0</v>
      </c>
      <c r="AT39">
        <v>212688</v>
      </c>
      <c r="AU39">
        <v>0</v>
      </c>
      <c r="AV39">
        <v>2770540</v>
      </c>
      <c r="AW39">
        <v>0</v>
      </c>
      <c r="AX39">
        <v>124653</v>
      </c>
      <c r="AY39">
        <v>710396</v>
      </c>
      <c r="AZ39">
        <v>74932</v>
      </c>
      <c r="BA39">
        <v>34550</v>
      </c>
      <c r="BB39">
        <v>0</v>
      </c>
      <c r="BC39">
        <v>5156</v>
      </c>
      <c r="BD39">
        <v>619388</v>
      </c>
      <c r="BE39">
        <v>0</v>
      </c>
      <c r="BF39">
        <v>33466</v>
      </c>
      <c r="BG39">
        <v>3297</v>
      </c>
      <c r="BH39">
        <v>0</v>
      </c>
      <c r="BI39">
        <v>19281</v>
      </c>
      <c r="BJ39">
        <v>0</v>
      </c>
      <c r="BK39">
        <v>209388</v>
      </c>
      <c r="BL39">
        <v>81561</v>
      </c>
      <c r="BM39">
        <v>177702</v>
      </c>
      <c r="BN39">
        <v>136888</v>
      </c>
      <c r="BO39">
        <v>85299</v>
      </c>
      <c r="BP39">
        <v>10045</v>
      </c>
      <c r="BQ39">
        <v>0</v>
      </c>
      <c r="BR39">
        <v>109606</v>
      </c>
      <c r="BS39">
        <v>0</v>
      </c>
      <c r="BT39">
        <v>70420</v>
      </c>
      <c r="BU39">
        <v>498161</v>
      </c>
      <c r="BV39">
        <v>0</v>
      </c>
      <c r="BW39">
        <v>501175</v>
      </c>
      <c r="BX39">
        <v>33085</v>
      </c>
      <c r="BY39">
        <v>889</v>
      </c>
      <c r="BZ39">
        <v>18482</v>
      </c>
      <c r="CA39">
        <v>17898</v>
      </c>
      <c r="CB39">
        <v>116985</v>
      </c>
      <c r="CD39">
        <v>3759</v>
      </c>
    </row>
    <row r="40" spans="1:82" x14ac:dyDescent="0.3">
      <c r="A40" s="155">
        <v>82</v>
      </c>
      <c r="B40" t="s">
        <v>309</v>
      </c>
      <c r="D40">
        <v>876000</v>
      </c>
      <c r="E40">
        <v>0</v>
      </c>
      <c r="F40">
        <v>0</v>
      </c>
      <c r="G40">
        <v>0</v>
      </c>
      <c r="H40">
        <v>0</v>
      </c>
      <c r="I40">
        <v>0</v>
      </c>
      <c r="J40">
        <v>407000</v>
      </c>
      <c r="K40">
        <v>0</v>
      </c>
      <c r="L40">
        <v>0</v>
      </c>
      <c r="M40">
        <v>0</v>
      </c>
      <c r="N40">
        <v>0</v>
      </c>
      <c r="O40">
        <v>3218395</v>
      </c>
      <c r="P40">
        <v>0</v>
      </c>
      <c r="Q40">
        <v>21490347</v>
      </c>
      <c r="R40">
        <v>347803</v>
      </c>
      <c r="S40">
        <v>0</v>
      </c>
      <c r="T40">
        <v>47403999</v>
      </c>
      <c r="U40">
        <v>14282950</v>
      </c>
      <c r="V40">
        <v>14423110</v>
      </c>
      <c r="W40">
        <v>0</v>
      </c>
      <c r="X40">
        <v>0</v>
      </c>
      <c r="Y40">
        <v>6085544</v>
      </c>
      <c r="Z40">
        <v>3747269</v>
      </c>
      <c r="AA40">
        <v>3085446</v>
      </c>
      <c r="AB40">
        <v>6701922</v>
      </c>
      <c r="AC40">
        <v>442837</v>
      </c>
      <c r="AD40">
        <v>1530898</v>
      </c>
      <c r="AE40">
        <v>1050817</v>
      </c>
      <c r="AF40">
        <v>79295</v>
      </c>
      <c r="AG40">
        <v>0</v>
      </c>
      <c r="AH40">
        <v>0</v>
      </c>
      <c r="AI40">
        <v>22285510</v>
      </c>
      <c r="AJ40">
        <v>0</v>
      </c>
      <c r="AK40">
        <v>0</v>
      </c>
      <c r="AM40">
        <v>8251085</v>
      </c>
      <c r="AN40">
        <v>21000</v>
      </c>
      <c r="AO40">
        <v>1595753</v>
      </c>
      <c r="AP40">
        <v>0</v>
      </c>
      <c r="AQ40">
        <v>0</v>
      </c>
      <c r="AR40">
        <v>425782</v>
      </c>
      <c r="AS40">
        <v>0</v>
      </c>
      <c r="AT40">
        <v>1642910</v>
      </c>
      <c r="AU40">
        <v>0</v>
      </c>
      <c r="AV40">
        <v>78425194</v>
      </c>
      <c r="AW40">
        <v>0</v>
      </c>
      <c r="AX40">
        <v>844431</v>
      </c>
      <c r="AY40">
        <v>0</v>
      </c>
      <c r="AZ40">
        <v>680500</v>
      </c>
      <c r="BA40">
        <v>0</v>
      </c>
      <c r="BB40">
        <v>0</v>
      </c>
      <c r="BC40">
        <v>0</v>
      </c>
      <c r="BD40">
        <v>17446059</v>
      </c>
      <c r="BE40">
        <v>0</v>
      </c>
      <c r="BF40">
        <v>436943</v>
      </c>
      <c r="BG40">
        <v>0</v>
      </c>
      <c r="BH40">
        <v>0</v>
      </c>
      <c r="BI40">
        <v>72247</v>
      </c>
      <c r="BJ40">
        <v>0</v>
      </c>
      <c r="BK40">
        <v>1563595</v>
      </c>
      <c r="BL40">
        <v>0</v>
      </c>
      <c r="BM40">
        <v>1097925</v>
      </c>
      <c r="BN40">
        <v>2407000</v>
      </c>
      <c r="BO40">
        <v>2921449</v>
      </c>
      <c r="BP40">
        <v>0</v>
      </c>
      <c r="BQ40">
        <v>0</v>
      </c>
      <c r="BR40">
        <v>0</v>
      </c>
      <c r="BS40">
        <v>0</v>
      </c>
      <c r="BT40">
        <v>973326</v>
      </c>
      <c r="BU40">
        <v>1292188</v>
      </c>
      <c r="BV40">
        <v>0</v>
      </c>
      <c r="BW40">
        <v>1805205</v>
      </c>
      <c r="BX40">
        <v>0</v>
      </c>
      <c r="BY40">
        <v>0</v>
      </c>
      <c r="BZ40">
        <v>0</v>
      </c>
      <c r="CA40">
        <v>386000</v>
      </c>
      <c r="CB40">
        <v>1047305</v>
      </c>
      <c r="CD40">
        <v>0</v>
      </c>
    </row>
    <row r="41" spans="1:82" x14ac:dyDescent="0.3">
      <c r="A41" s="155">
        <v>83</v>
      </c>
      <c r="B41" t="s">
        <v>94</v>
      </c>
      <c r="D41">
        <v>1637102</v>
      </c>
      <c r="E41">
        <v>0</v>
      </c>
      <c r="F41">
        <v>5756052</v>
      </c>
      <c r="G41">
        <v>0</v>
      </c>
      <c r="H41">
        <v>0</v>
      </c>
      <c r="I41">
        <v>0</v>
      </c>
      <c r="J41">
        <v>1972292</v>
      </c>
      <c r="K41">
        <v>0</v>
      </c>
      <c r="L41">
        <v>0</v>
      </c>
      <c r="M41">
        <v>0</v>
      </c>
      <c r="N41">
        <v>0</v>
      </c>
      <c r="O41">
        <v>13556004</v>
      </c>
      <c r="P41">
        <v>0</v>
      </c>
      <c r="Q41">
        <v>121663906</v>
      </c>
      <c r="R41">
        <v>1949001</v>
      </c>
      <c r="S41">
        <v>0</v>
      </c>
      <c r="T41">
        <v>139652890</v>
      </c>
      <c r="U41">
        <v>46179559</v>
      </c>
      <c r="V41">
        <v>62167627</v>
      </c>
      <c r="W41">
        <v>0</v>
      </c>
      <c r="X41">
        <v>3347257</v>
      </c>
      <c r="Y41">
        <v>40904648</v>
      </c>
      <c r="Z41">
        <v>9910123</v>
      </c>
      <c r="AA41">
        <v>35827606</v>
      </c>
      <c r="AB41">
        <v>18366286</v>
      </c>
      <c r="AC41">
        <v>3791357</v>
      </c>
      <c r="AD41">
        <v>5460900</v>
      </c>
      <c r="AE41">
        <v>13075613</v>
      </c>
      <c r="AF41">
        <v>9093938</v>
      </c>
      <c r="AG41">
        <v>7880052</v>
      </c>
      <c r="AH41">
        <v>0</v>
      </c>
      <c r="AI41">
        <v>109881899</v>
      </c>
      <c r="AJ41">
        <v>1796499</v>
      </c>
      <c r="AK41">
        <v>3692668</v>
      </c>
      <c r="AM41">
        <v>23791853</v>
      </c>
      <c r="AN41">
        <v>718760</v>
      </c>
      <c r="AO41">
        <v>849318</v>
      </c>
      <c r="AP41">
        <v>0</v>
      </c>
      <c r="AQ41">
        <v>0</v>
      </c>
      <c r="AR41">
        <v>19680984</v>
      </c>
      <c r="AS41">
        <v>0</v>
      </c>
      <c r="AT41">
        <v>10221272</v>
      </c>
      <c r="AU41">
        <v>0</v>
      </c>
      <c r="AV41">
        <v>53334327</v>
      </c>
      <c r="AW41">
        <v>0</v>
      </c>
      <c r="AX41">
        <v>6648431</v>
      </c>
      <c r="AY41">
        <v>11901791</v>
      </c>
      <c r="AZ41">
        <v>5945937</v>
      </c>
      <c r="BA41">
        <v>1195697</v>
      </c>
      <c r="BB41">
        <v>0</v>
      </c>
      <c r="BC41">
        <v>567548</v>
      </c>
      <c r="BD41">
        <v>36300712</v>
      </c>
      <c r="BE41">
        <v>0</v>
      </c>
      <c r="BF41">
        <v>2664289</v>
      </c>
      <c r="BG41">
        <v>2959460</v>
      </c>
      <c r="BH41">
        <v>0</v>
      </c>
      <c r="BI41">
        <v>3083429</v>
      </c>
      <c r="BJ41">
        <v>0</v>
      </c>
      <c r="BK41">
        <v>15012914</v>
      </c>
      <c r="BL41">
        <v>8152060</v>
      </c>
      <c r="BM41">
        <v>6906630</v>
      </c>
      <c r="BN41">
        <v>1805782</v>
      </c>
      <c r="BO41">
        <v>1795141</v>
      </c>
      <c r="BP41">
        <v>1569756</v>
      </c>
      <c r="BQ41">
        <v>0</v>
      </c>
      <c r="BR41">
        <v>4871608</v>
      </c>
      <c r="BS41">
        <v>0</v>
      </c>
      <c r="BT41">
        <v>6063536</v>
      </c>
      <c r="BU41">
        <v>14741238</v>
      </c>
      <c r="BV41">
        <v>0</v>
      </c>
      <c r="BW41">
        <v>11042523</v>
      </c>
      <c r="BX41">
        <v>3257752</v>
      </c>
      <c r="BY41">
        <v>613970</v>
      </c>
      <c r="BZ41">
        <v>3873107</v>
      </c>
      <c r="CA41">
        <v>4185368</v>
      </c>
      <c r="CB41">
        <v>2904820</v>
      </c>
      <c r="CD41">
        <v>789674</v>
      </c>
    </row>
    <row r="42" spans="1:82" x14ac:dyDescent="0.3">
      <c r="A42" s="155">
        <v>84</v>
      </c>
      <c r="B42" t="s">
        <v>218</v>
      </c>
      <c r="D42">
        <v>301057</v>
      </c>
      <c r="E42">
        <v>0</v>
      </c>
      <c r="F42">
        <v>565975</v>
      </c>
      <c r="G42">
        <v>0</v>
      </c>
      <c r="H42">
        <v>0</v>
      </c>
      <c r="I42">
        <v>0</v>
      </c>
      <c r="J42">
        <v>131724</v>
      </c>
      <c r="K42">
        <v>0</v>
      </c>
      <c r="L42">
        <v>0</v>
      </c>
      <c r="M42">
        <v>0</v>
      </c>
      <c r="N42">
        <v>0</v>
      </c>
      <c r="O42">
        <v>3087256</v>
      </c>
      <c r="P42">
        <v>0</v>
      </c>
      <c r="Q42">
        <v>19435941</v>
      </c>
      <c r="R42">
        <v>340336</v>
      </c>
      <c r="S42">
        <v>0</v>
      </c>
      <c r="T42">
        <v>26025180</v>
      </c>
      <c r="U42">
        <v>8421867</v>
      </c>
      <c r="V42">
        <v>11890090</v>
      </c>
      <c r="W42">
        <v>0</v>
      </c>
      <c r="X42">
        <v>218135</v>
      </c>
      <c r="Y42">
        <v>6266225</v>
      </c>
      <c r="Z42">
        <v>1331086</v>
      </c>
      <c r="AA42">
        <v>10602170</v>
      </c>
      <c r="AB42">
        <v>3536799</v>
      </c>
      <c r="AC42">
        <v>1276696</v>
      </c>
      <c r="AD42">
        <v>1728538</v>
      </c>
      <c r="AE42">
        <v>1983206</v>
      </c>
      <c r="AF42">
        <v>3718058</v>
      </c>
      <c r="AG42">
        <v>3526233</v>
      </c>
      <c r="AH42">
        <v>28708</v>
      </c>
      <c r="AI42">
        <v>24051924</v>
      </c>
      <c r="AJ42">
        <v>290429</v>
      </c>
      <c r="AK42">
        <v>482796</v>
      </c>
      <c r="AM42">
        <v>8439463</v>
      </c>
      <c r="AN42">
        <v>374731</v>
      </c>
      <c r="AO42">
        <v>777734</v>
      </c>
      <c r="AP42">
        <v>0</v>
      </c>
      <c r="AQ42">
        <v>0</v>
      </c>
      <c r="AR42">
        <v>2937173</v>
      </c>
      <c r="AS42">
        <v>0</v>
      </c>
      <c r="AT42">
        <v>1896504</v>
      </c>
      <c r="AU42">
        <v>0</v>
      </c>
      <c r="AV42">
        <v>17204394</v>
      </c>
      <c r="AW42">
        <v>0</v>
      </c>
      <c r="AX42">
        <v>1125699</v>
      </c>
      <c r="AY42">
        <v>3625935</v>
      </c>
      <c r="AZ42">
        <v>518706</v>
      </c>
      <c r="BA42">
        <v>322608</v>
      </c>
      <c r="BB42">
        <v>0</v>
      </c>
      <c r="BC42">
        <v>98779</v>
      </c>
      <c r="BD42">
        <v>6875051</v>
      </c>
      <c r="BE42">
        <v>0</v>
      </c>
      <c r="BF42">
        <v>218097</v>
      </c>
      <c r="BG42">
        <v>100077</v>
      </c>
      <c r="BH42">
        <v>0</v>
      </c>
      <c r="BI42">
        <v>171405</v>
      </c>
      <c r="BJ42">
        <v>0</v>
      </c>
      <c r="BK42">
        <v>2547564</v>
      </c>
      <c r="BL42">
        <v>668015</v>
      </c>
      <c r="BM42">
        <v>1000173</v>
      </c>
      <c r="BN42">
        <v>858180</v>
      </c>
      <c r="BO42">
        <v>948973</v>
      </c>
      <c r="BP42">
        <v>434413</v>
      </c>
      <c r="BQ42">
        <v>0</v>
      </c>
      <c r="BR42">
        <v>660649</v>
      </c>
      <c r="BS42">
        <v>0</v>
      </c>
      <c r="BT42">
        <v>567878</v>
      </c>
      <c r="BU42">
        <v>3425075</v>
      </c>
      <c r="BV42">
        <v>0</v>
      </c>
      <c r="BW42">
        <v>1997257</v>
      </c>
      <c r="BX42">
        <v>391630</v>
      </c>
      <c r="BY42">
        <v>13012</v>
      </c>
      <c r="BZ42">
        <v>258707</v>
      </c>
      <c r="CA42">
        <v>203183</v>
      </c>
      <c r="CB42">
        <v>743423</v>
      </c>
      <c r="CD42">
        <v>31600</v>
      </c>
    </row>
    <row r="43" spans="1:82" x14ac:dyDescent="0.3">
      <c r="A43" s="155">
        <v>85</v>
      </c>
      <c r="B43" t="s">
        <v>220</v>
      </c>
      <c r="D43">
        <v>371986</v>
      </c>
      <c r="E43">
        <v>0</v>
      </c>
      <c r="F43">
        <v>770425</v>
      </c>
      <c r="G43">
        <v>0</v>
      </c>
      <c r="H43">
        <v>0</v>
      </c>
      <c r="I43">
        <v>0</v>
      </c>
      <c r="J43">
        <v>170427</v>
      </c>
      <c r="K43">
        <v>0</v>
      </c>
      <c r="L43">
        <v>0</v>
      </c>
      <c r="M43">
        <v>0</v>
      </c>
      <c r="N43">
        <v>0</v>
      </c>
      <c r="O43">
        <v>3286381</v>
      </c>
      <c r="P43">
        <v>0</v>
      </c>
      <c r="Q43">
        <v>10329174</v>
      </c>
      <c r="R43">
        <v>269747</v>
      </c>
      <c r="S43">
        <v>0</v>
      </c>
      <c r="T43">
        <v>28468215</v>
      </c>
      <c r="U43">
        <v>7744426</v>
      </c>
      <c r="V43">
        <v>9665845</v>
      </c>
      <c r="W43">
        <v>0</v>
      </c>
      <c r="X43">
        <v>290653</v>
      </c>
      <c r="Y43">
        <v>5619100</v>
      </c>
      <c r="Z43">
        <v>1476961</v>
      </c>
      <c r="AA43">
        <v>7776169</v>
      </c>
      <c r="AB43">
        <v>3676869</v>
      </c>
      <c r="AC43">
        <v>1154413</v>
      </c>
      <c r="AD43">
        <v>1398021</v>
      </c>
      <c r="AE43">
        <v>2495100</v>
      </c>
      <c r="AF43">
        <v>3323282</v>
      </c>
      <c r="AG43">
        <v>4683746</v>
      </c>
      <c r="AH43">
        <v>219519</v>
      </c>
      <c r="AI43">
        <v>19602677</v>
      </c>
      <c r="AJ43">
        <v>331594</v>
      </c>
      <c r="AK43">
        <v>514259</v>
      </c>
      <c r="AM43">
        <v>7995298</v>
      </c>
      <c r="AN43">
        <v>425282</v>
      </c>
      <c r="AO43">
        <v>800138</v>
      </c>
      <c r="AP43">
        <v>0</v>
      </c>
      <c r="AQ43">
        <v>0</v>
      </c>
      <c r="AR43">
        <v>2630128</v>
      </c>
      <c r="AS43">
        <v>0</v>
      </c>
      <c r="AT43">
        <v>1728291</v>
      </c>
      <c r="AU43">
        <v>0</v>
      </c>
      <c r="AV43">
        <v>13147257</v>
      </c>
      <c r="AW43">
        <v>0</v>
      </c>
      <c r="AX43">
        <v>1235568</v>
      </c>
      <c r="AY43">
        <v>2872359</v>
      </c>
      <c r="AZ43">
        <v>586265</v>
      </c>
      <c r="BA43">
        <v>371495</v>
      </c>
      <c r="BB43">
        <v>0</v>
      </c>
      <c r="BC43">
        <v>150769</v>
      </c>
      <c r="BD43">
        <v>4447156</v>
      </c>
      <c r="BE43">
        <v>0</v>
      </c>
      <c r="BF43">
        <v>262997</v>
      </c>
      <c r="BG43">
        <v>161907</v>
      </c>
      <c r="BH43">
        <v>0</v>
      </c>
      <c r="BI43">
        <v>220229</v>
      </c>
      <c r="BJ43">
        <v>0</v>
      </c>
      <c r="BK43">
        <v>2937119</v>
      </c>
      <c r="BL43">
        <v>666610</v>
      </c>
      <c r="BM43">
        <v>1153758</v>
      </c>
      <c r="BN43">
        <v>705083</v>
      </c>
      <c r="BO43">
        <v>933902</v>
      </c>
      <c r="BP43">
        <v>388107</v>
      </c>
      <c r="BQ43">
        <v>0</v>
      </c>
      <c r="BR43">
        <v>683322</v>
      </c>
      <c r="BS43">
        <v>0</v>
      </c>
      <c r="BT43">
        <v>775285</v>
      </c>
      <c r="BU43">
        <v>3892334</v>
      </c>
      <c r="BV43">
        <v>0</v>
      </c>
      <c r="BW43">
        <v>2089805</v>
      </c>
      <c r="BX43">
        <v>348186</v>
      </c>
      <c r="BY43">
        <v>32015</v>
      </c>
      <c r="BZ43">
        <v>339442</v>
      </c>
      <c r="CA43">
        <v>324328</v>
      </c>
      <c r="CB43">
        <v>747924</v>
      </c>
      <c r="CD43">
        <v>67408</v>
      </c>
    </row>
    <row r="44" spans="1:82" x14ac:dyDescent="0.3">
      <c r="A44" s="155">
        <v>88</v>
      </c>
      <c r="B44" t="s">
        <v>217</v>
      </c>
      <c r="D44">
        <v>299307</v>
      </c>
      <c r="E44">
        <v>0</v>
      </c>
      <c r="F44">
        <v>526896</v>
      </c>
      <c r="G44">
        <v>0</v>
      </c>
      <c r="H44">
        <v>0</v>
      </c>
      <c r="I44">
        <v>0</v>
      </c>
      <c r="J44">
        <v>131724</v>
      </c>
      <c r="K44">
        <v>0</v>
      </c>
      <c r="L44">
        <v>0</v>
      </c>
      <c r="M44">
        <v>0</v>
      </c>
      <c r="N44">
        <v>0</v>
      </c>
      <c r="O44">
        <v>3056920</v>
      </c>
      <c r="P44">
        <v>0</v>
      </c>
      <c r="Q44">
        <v>17292911</v>
      </c>
      <c r="R44">
        <v>288880</v>
      </c>
      <c r="S44">
        <v>0</v>
      </c>
      <c r="T44">
        <v>25473475</v>
      </c>
      <c r="U44">
        <v>8005857</v>
      </c>
      <c r="V44">
        <v>11890090</v>
      </c>
      <c r="W44">
        <v>0</v>
      </c>
      <c r="X44">
        <v>218135</v>
      </c>
      <c r="Y44">
        <v>6255803</v>
      </c>
      <c r="Z44">
        <v>1223938</v>
      </c>
      <c r="AA44">
        <v>8569961</v>
      </c>
      <c r="AB44">
        <v>3487527</v>
      </c>
      <c r="AC44">
        <v>1167301</v>
      </c>
      <c r="AD44">
        <v>1641308</v>
      </c>
      <c r="AE44">
        <v>1856057</v>
      </c>
      <c r="AF44">
        <v>3664298</v>
      </c>
      <c r="AG44">
        <v>3504618</v>
      </c>
      <c r="AH44">
        <v>28708</v>
      </c>
      <c r="AI44">
        <v>22131227</v>
      </c>
      <c r="AJ44">
        <v>290029</v>
      </c>
      <c r="AK44">
        <v>482796</v>
      </c>
      <c r="AM44">
        <v>7915750</v>
      </c>
      <c r="AN44">
        <v>372934</v>
      </c>
      <c r="AO44">
        <v>744257</v>
      </c>
      <c r="AP44">
        <v>0</v>
      </c>
      <c r="AQ44">
        <v>0</v>
      </c>
      <c r="AR44">
        <v>2906840</v>
      </c>
      <c r="AS44">
        <v>0</v>
      </c>
      <c r="AT44">
        <v>1713605</v>
      </c>
      <c r="AU44">
        <v>0</v>
      </c>
      <c r="AV44">
        <v>16827779</v>
      </c>
      <c r="AW44">
        <v>0</v>
      </c>
      <c r="AX44">
        <v>1068189</v>
      </c>
      <c r="AY44">
        <v>3087003</v>
      </c>
      <c r="AZ44">
        <v>375203</v>
      </c>
      <c r="BA44">
        <v>309982</v>
      </c>
      <c r="BB44">
        <v>0</v>
      </c>
      <c r="BC44">
        <v>91011</v>
      </c>
      <c r="BD44">
        <v>5785491</v>
      </c>
      <c r="BE44">
        <v>0</v>
      </c>
      <c r="BF44">
        <v>209013</v>
      </c>
      <c r="BG44">
        <v>98500</v>
      </c>
      <c r="BH44">
        <v>0</v>
      </c>
      <c r="BI44">
        <v>171405</v>
      </c>
      <c r="BJ44">
        <v>0</v>
      </c>
      <c r="BK44">
        <v>2547564</v>
      </c>
      <c r="BL44">
        <v>612254</v>
      </c>
      <c r="BM44">
        <v>878284</v>
      </c>
      <c r="BN44">
        <v>806975</v>
      </c>
      <c r="BO44">
        <v>948808</v>
      </c>
      <c r="BP44">
        <v>434413</v>
      </c>
      <c r="BQ44">
        <v>0</v>
      </c>
      <c r="BR44">
        <v>659971</v>
      </c>
      <c r="BS44">
        <v>0</v>
      </c>
      <c r="BT44">
        <v>556699</v>
      </c>
      <c r="BU44">
        <v>3352965</v>
      </c>
      <c r="BV44">
        <v>0</v>
      </c>
      <c r="BW44">
        <v>1997257</v>
      </c>
      <c r="BX44">
        <v>384545</v>
      </c>
      <c r="BY44">
        <v>13012</v>
      </c>
      <c r="BZ44">
        <v>253770</v>
      </c>
      <c r="CA44">
        <v>184681</v>
      </c>
      <c r="CB44">
        <v>672343</v>
      </c>
      <c r="CD44">
        <v>31600</v>
      </c>
    </row>
    <row r="45" spans="1:82" x14ac:dyDescent="0.3">
      <c r="A45" s="155">
        <v>89</v>
      </c>
      <c r="B45" t="s">
        <v>221</v>
      </c>
      <c r="D45">
        <v>18648</v>
      </c>
      <c r="E45">
        <v>0</v>
      </c>
      <c r="F45">
        <v>7421</v>
      </c>
      <c r="G45">
        <v>0</v>
      </c>
      <c r="H45">
        <v>0</v>
      </c>
      <c r="I45">
        <v>0</v>
      </c>
      <c r="J45">
        <v>7423</v>
      </c>
      <c r="K45">
        <v>0</v>
      </c>
      <c r="L45">
        <v>0</v>
      </c>
      <c r="M45">
        <v>0</v>
      </c>
      <c r="N45">
        <v>0</v>
      </c>
      <c r="O45">
        <v>41540</v>
      </c>
      <c r="P45">
        <v>0</v>
      </c>
      <c r="Q45">
        <v>793168</v>
      </c>
      <c r="R45">
        <v>6975</v>
      </c>
      <c r="S45">
        <v>0</v>
      </c>
      <c r="T45">
        <v>2615999</v>
      </c>
      <c r="U45">
        <v>329618</v>
      </c>
      <c r="V45">
        <v>330676</v>
      </c>
      <c r="W45">
        <v>0</v>
      </c>
      <c r="X45">
        <v>0</v>
      </c>
      <c r="Y45">
        <v>212980</v>
      </c>
      <c r="Z45">
        <v>37741</v>
      </c>
      <c r="AA45">
        <v>83500</v>
      </c>
      <c r="AB45">
        <v>237751</v>
      </c>
      <c r="AC45">
        <v>15298</v>
      </c>
      <c r="AD45">
        <v>37142</v>
      </c>
      <c r="AE45">
        <v>0</v>
      </c>
      <c r="AF45">
        <v>1203</v>
      </c>
      <c r="AG45">
        <v>2486</v>
      </c>
      <c r="AH45">
        <v>0</v>
      </c>
      <c r="AI45">
        <v>572491</v>
      </c>
      <c r="AJ45">
        <v>0</v>
      </c>
      <c r="AK45">
        <v>37877</v>
      </c>
      <c r="AM45">
        <v>200900</v>
      </c>
      <c r="AN45">
        <v>14695</v>
      </c>
      <c r="AO45">
        <v>0</v>
      </c>
      <c r="AP45">
        <v>0</v>
      </c>
      <c r="AQ45">
        <v>0</v>
      </c>
      <c r="AR45">
        <v>16104</v>
      </c>
      <c r="AS45">
        <v>0</v>
      </c>
      <c r="AT45">
        <v>40436</v>
      </c>
      <c r="AU45">
        <v>0</v>
      </c>
      <c r="AV45">
        <v>3092004</v>
      </c>
      <c r="AW45">
        <v>0</v>
      </c>
      <c r="AX45">
        <v>0</v>
      </c>
      <c r="AY45">
        <v>0</v>
      </c>
      <c r="AZ45">
        <v>31985</v>
      </c>
      <c r="BA45">
        <v>0</v>
      </c>
      <c r="BB45">
        <v>0</v>
      </c>
      <c r="BC45">
        <v>0</v>
      </c>
      <c r="BD45">
        <v>370686</v>
      </c>
      <c r="BE45">
        <v>0</v>
      </c>
      <c r="BF45">
        <v>0</v>
      </c>
      <c r="BG45">
        <v>0</v>
      </c>
      <c r="BH45">
        <v>0</v>
      </c>
      <c r="BI45">
        <v>0</v>
      </c>
      <c r="BJ45">
        <v>0</v>
      </c>
      <c r="BK45">
        <v>68721</v>
      </c>
      <c r="BL45">
        <v>55968</v>
      </c>
      <c r="BM45">
        <v>13504</v>
      </c>
      <c r="BN45">
        <v>102630</v>
      </c>
      <c r="BO45">
        <v>30806</v>
      </c>
      <c r="BP45">
        <v>0</v>
      </c>
      <c r="BQ45">
        <v>0</v>
      </c>
      <c r="BR45">
        <v>35605</v>
      </c>
      <c r="BS45">
        <v>0</v>
      </c>
      <c r="BT45">
        <v>26744</v>
      </c>
      <c r="BU45">
        <v>17268</v>
      </c>
      <c r="BV45">
        <v>0</v>
      </c>
      <c r="BW45">
        <v>14802</v>
      </c>
      <c r="BX45">
        <v>0</v>
      </c>
      <c r="BY45">
        <v>0</v>
      </c>
      <c r="BZ45">
        <v>28662</v>
      </c>
      <c r="CA45">
        <v>10711</v>
      </c>
      <c r="CB45">
        <v>8654</v>
      </c>
      <c r="CD45">
        <v>0</v>
      </c>
    </row>
    <row r="46" spans="1:82" x14ac:dyDescent="0.3">
      <c r="A46" s="155">
        <v>90</v>
      </c>
      <c r="B46" t="s">
        <v>214</v>
      </c>
      <c r="D46">
        <v>0</v>
      </c>
      <c r="E46">
        <v>0</v>
      </c>
      <c r="F46">
        <v>0</v>
      </c>
      <c r="G46">
        <v>0</v>
      </c>
      <c r="H46">
        <v>0</v>
      </c>
      <c r="I46">
        <v>0</v>
      </c>
      <c r="J46">
        <v>0</v>
      </c>
      <c r="K46">
        <v>0</v>
      </c>
      <c r="L46">
        <v>0</v>
      </c>
      <c r="M46">
        <v>0</v>
      </c>
      <c r="N46">
        <v>0</v>
      </c>
      <c r="O46">
        <v>0</v>
      </c>
      <c r="P46">
        <v>0</v>
      </c>
      <c r="Q46">
        <v>78925675</v>
      </c>
      <c r="R46">
        <v>0</v>
      </c>
      <c r="S46">
        <v>0</v>
      </c>
      <c r="T46">
        <v>0</v>
      </c>
      <c r="U46">
        <v>0</v>
      </c>
      <c r="V46">
        <v>23061821</v>
      </c>
      <c r="W46">
        <v>0</v>
      </c>
      <c r="X46">
        <v>0</v>
      </c>
      <c r="Y46">
        <v>0</v>
      </c>
      <c r="Z46">
        <v>0</v>
      </c>
      <c r="AA46">
        <v>0</v>
      </c>
      <c r="AB46">
        <v>0</v>
      </c>
      <c r="AC46">
        <v>0</v>
      </c>
      <c r="AD46">
        <v>0</v>
      </c>
      <c r="AE46">
        <v>0</v>
      </c>
      <c r="AF46">
        <v>0</v>
      </c>
      <c r="AG46">
        <v>0</v>
      </c>
      <c r="AH46">
        <v>0</v>
      </c>
      <c r="AI46">
        <v>17548749</v>
      </c>
      <c r="AJ46">
        <v>0</v>
      </c>
      <c r="AK46">
        <v>0</v>
      </c>
      <c r="AM46">
        <v>10554701</v>
      </c>
      <c r="AN46">
        <v>0</v>
      </c>
      <c r="AO46">
        <v>0</v>
      </c>
      <c r="AP46">
        <v>0</v>
      </c>
      <c r="AQ46">
        <v>0</v>
      </c>
      <c r="AR46">
        <v>0</v>
      </c>
      <c r="AS46">
        <v>0</v>
      </c>
      <c r="AT46">
        <v>0</v>
      </c>
      <c r="AU46">
        <v>634286</v>
      </c>
      <c r="AV46">
        <v>0</v>
      </c>
      <c r="AW46">
        <v>0</v>
      </c>
      <c r="AX46">
        <v>0</v>
      </c>
      <c r="AY46">
        <v>0</v>
      </c>
      <c r="AZ46">
        <v>0</v>
      </c>
      <c r="BA46">
        <v>0</v>
      </c>
      <c r="BB46">
        <v>0</v>
      </c>
      <c r="BC46">
        <v>0</v>
      </c>
      <c r="BD46">
        <v>0</v>
      </c>
      <c r="BE46">
        <v>0</v>
      </c>
      <c r="BF46">
        <v>0</v>
      </c>
      <c r="BG46">
        <v>0</v>
      </c>
      <c r="BH46">
        <v>0</v>
      </c>
      <c r="BI46">
        <v>0</v>
      </c>
      <c r="BJ46">
        <v>0</v>
      </c>
      <c r="BK46">
        <v>0</v>
      </c>
      <c r="BL46">
        <v>1479217</v>
      </c>
      <c r="BM46">
        <v>0</v>
      </c>
      <c r="BN46">
        <v>0</v>
      </c>
      <c r="BO46">
        <v>0</v>
      </c>
      <c r="BP46">
        <v>0</v>
      </c>
      <c r="BQ46">
        <v>0</v>
      </c>
      <c r="BR46">
        <v>1226662</v>
      </c>
      <c r="BS46">
        <v>4685791</v>
      </c>
      <c r="BT46">
        <v>0</v>
      </c>
      <c r="BU46">
        <v>0</v>
      </c>
      <c r="BV46">
        <v>0</v>
      </c>
      <c r="BW46">
        <v>0</v>
      </c>
      <c r="BX46">
        <v>0</v>
      </c>
      <c r="BY46">
        <v>0</v>
      </c>
      <c r="BZ46">
        <v>0</v>
      </c>
      <c r="CA46">
        <v>0</v>
      </c>
      <c r="CB46">
        <v>0</v>
      </c>
      <c r="CD46">
        <v>0</v>
      </c>
    </row>
    <row r="47" spans="1:82" x14ac:dyDescent="0.3">
      <c r="A47" s="155">
        <v>91</v>
      </c>
      <c r="B47" t="s">
        <v>215</v>
      </c>
      <c r="D47">
        <v>0</v>
      </c>
      <c r="E47">
        <v>0</v>
      </c>
      <c r="F47">
        <v>0</v>
      </c>
      <c r="G47">
        <v>0</v>
      </c>
      <c r="H47">
        <v>0</v>
      </c>
      <c r="I47">
        <v>0</v>
      </c>
      <c r="J47">
        <v>0</v>
      </c>
      <c r="K47">
        <v>0</v>
      </c>
      <c r="L47">
        <v>0</v>
      </c>
      <c r="M47">
        <v>0</v>
      </c>
      <c r="N47">
        <v>0</v>
      </c>
      <c r="O47">
        <v>0</v>
      </c>
      <c r="P47">
        <v>0</v>
      </c>
      <c r="Q47">
        <v>7871625</v>
      </c>
      <c r="R47">
        <v>0</v>
      </c>
      <c r="S47">
        <v>0</v>
      </c>
      <c r="T47">
        <v>0</v>
      </c>
      <c r="U47">
        <v>0</v>
      </c>
      <c r="V47">
        <v>3265146</v>
      </c>
      <c r="W47">
        <v>0</v>
      </c>
      <c r="X47">
        <v>0</v>
      </c>
      <c r="Y47">
        <v>0</v>
      </c>
      <c r="Z47">
        <v>0</v>
      </c>
      <c r="AA47">
        <v>0</v>
      </c>
      <c r="AB47">
        <v>0</v>
      </c>
      <c r="AC47">
        <v>0</v>
      </c>
      <c r="AD47">
        <v>0</v>
      </c>
      <c r="AE47">
        <v>0</v>
      </c>
      <c r="AF47">
        <v>0</v>
      </c>
      <c r="AG47">
        <v>0</v>
      </c>
      <c r="AH47">
        <v>0</v>
      </c>
      <c r="AI47">
        <v>7169484</v>
      </c>
      <c r="AJ47">
        <v>0</v>
      </c>
      <c r="AK47">
        <v>0</v>
      </c>
      <c r="AM47">
        <v>1998398</v>
      </c>
      <c r="AN47">
        <v>0</v>
      </c>
      <c r="AO47">
        <v>0</v>
      </c>
      <c r="AP47">
        <v>0</v>
      </c>
      <c r="AQ47">
        <v>0</v>
      </c>
      <c r="AR47">
        <v>0</v>
      </c>
      <c r="AS47">
        <v>0</v>
      </c>
      <c r="AT47">
        <v>0</v>
      </c>
      <c r="AU47">
        <v>56688</v>
      </c>
      <c r="AV47">
        <v>0</v>
      </c>
      <c r="AW47">
        <v>0</v>
      </c>
      <c r="AX47">
        <v>0</v>
      </c>
      <c r="AY47">
        <v>0</v>
      </c>
      <c r="AZ47">
        <v>0</v>
      </c>
      <c r="BA47">
        <v>0</v>
      </c>
      <c r="BB47">
        <v>0</v>
      </c>
      <c r="BC47">
        <v>0</v>
      </c>
      <c r="BD47">
        <v>0</v>
      </c>
      <c r="BE47">
        <v>0</v>
      </c>
      <c r="BF47">
        <v>0</v>
      </c>
      <c r="BG47">
        <v>0</v>
      </c>
      <c r="BH47">
        <v>0</v>
      </c>
      <c r="BI47">
        <v>0</v>
      </c>
      <c r="BJ47">
        <v>0</v>
      </c>
      <c r="BK47">
        <v>0</v>
      </c>
      <c r="BL47">
        <v>124308</v>
      </c>
      <c r="BM47">
        <v>0</v>
      </c>
      <c r="BN47">
        <v>0</v>
      </c>
      <c r="BO47">
        <v>0</v>
      </c>
      <c r="BP47">
        <v>0</v>
      </c>
      <c r="BQ47">
        <v>0</v>
      </c>
      <c r="BR47">
        <v>319829</v>
      </c>
      <c r="BS47">
        <v>1665072</v>
      </c>
      <c r="BT47">
        <v>0</v>
      </c>
      <c r="BU47">
        <v>0</v>
      </c>
      <c r="BV47">
        <v>0</v>
      </c>
      <c r="BW47">
        <v>0</v>
      </c>
      <c r="BX47">
        <v>0</v>
      </c>
      <c r="BY47">
        <v>0</v>
      </c>
      <c r="BZ47">
        <v>0</v>
      </c>
      <c r="CA47">
        <v>0</v>
      </c>
      <c r="CB47">
        <v>0</v>
      </c>
      <c r="CD47">
        <v>0</v>
      </c>
    </row>
    <row r="48" spans="1:82" x14ac:dyDescent="0.3">
      <c r="A48" s="155">
        <v>93</v>
      </c>
      <c r="B48" t="s">
        <v>228</v>
      </c>
      <c r="D48">
        <v>0</v>
      </c>
      <c r="E48">
        <v>0</v>
      </c>
      <c r="F48">
        <v>0</v>
      </c>
      <c r="G48">
        <v>0</v>
      </c>
      <c r="H48">
        <v>0</v>
      </c>
      <c r="I48">
        <v>0</v>
      </c>
      <c r="J48">
        <v>0</v>
      </c>
      <c r="K48">
        <v>0</v>
      </c>
      <c r="L48">
        <v>0</v>
      </c>
      <c r="M48">
        <v>0</v>
      </c>
      <c r="N48">
        <v>0</v>
      </c>
      <c r="O48">
        <v>0</v>
      </c>
      <c r="P48">
        <v>0</v>
      </c>
      <c r="Q48">
        <v>56560743</v>
      </c>
      <c r="R48">
        <v>0</v>
      </c>
      <c r="S48">
        <v>0</v>
      </c>
      <c r="T48">
        <v>0</v>
      </c>
      <c r="U48">
        <v>0</v>
      </c>
      <c r="V48">
        <v>35795668</v>
      </c>
      <c r="W48">
        <v>0</v>
      </c>
      <c r="X48">
        <v>0</v>
      </c>
      <c r="Y48">
        <v>0</v>
      </c>
      <c r="Z48">
        <v>0</v>
      </c>
      <c r="AA48">
        <v>0</v>
      </c>
      <c r="AB48">
        <v>0</v>
      </c>
      <c r="AC48">
        <v>0</v>
      </c>
      <c r="AD48">
        <v>0</v>
      </c>
      <c r="AE48">
        <v>0</v>
      </c>
      <c r="AF48">
        <v>0</v>
      </c>
      <c r="AG48">
        <v>0</v>
      </c>
      <c r="AH48">
        <v>0</v>
      </c>
      <c r="AI48">
        <v>53758413</v>
      </c>
      <c r="AJ48">
        <v>0</v>
      </c>
      <c r="AK48">
        <v>0</v>
      </c>
      <c r="AM48">
        <v>15913847</v>
      </c>
      <c r="AN48">
        <v>0</v>
      </c>
      <c r="AO48">
        <v>0</v>
      </c>
      <c r="AP48">
        <v>0</v>
      </c>
      <c r="AQ48">
        <v>0</v>
      </c>
      <c r="AR48">
        <v>0</v>
      </c>
      <c r="AS48">
        <v>0</v>
      </c>
      <c r="AT48">
        <v>0</v>
      </c>
      <c r="AU48">
        <v>389553</v>
      </c>
      <c r="AV48">
        <v>0</v>
      </c>
      <c r="AW48">
        <v>0</v>
      </c>
      <c r="AX48">
        <v>0</v>
      </c>
      <c r="AY48">
        <v>0</v>
      </c>
      <c r="AZ48">
        <v>0</v>
      </c>
      <c r="BA48">
        <v>0</v>
      </c>
      <c r="BB48">
        <v>0</v>
      </c>
      <c r="BC48">
        <v>0</v>
      </c>
      <c r="BD48">
        <v>0</v>
      </c>
      <c r="BE48">
        <v>0</v>
      </c>
      <c r="BF48">
        <v>0</v>
      </c>
      <c r="BG48">
        <v>0</v>
      </c>
      <c r="BH48">
        <v>0</v>
      </c>
      <c r="BI48">
        <v>0</v>
      </c>
      <c r="BJ48">
        <v>0</v>
      </c>
      <c r="BK48">
        <v>0</v>
      </c>
      <c r="BL48">
        <v>1077355</v>
      </c>
      <c r="BM48">
        <v>0</v>
      </c>
      <c r="BN48">
        <v>0</v>
      </c>
      <c r="BO48">
        <v>0</v>
      </c>
      <c r="BP48">
        <v>0</v>
      </c>
      <c r="BQ48">
        <v>0</v>
      </c>
      <c r="BR48">
        <v>2896135</v>
      </c>
      <c r="BS48">
        <v>11558536</v>
      </c>
      <c r="BT48">
        <v>0</v>
      </c>
      <c r="BU48">
        <v>0</v>
      </c>
      <c r="BV48">
        <v>0</v>
      </c>
      <c r="BW48">
        <v>0</v>
      </c>
      <c r="BX48">
        <v>0</v>
      </c>
      <c r="BY48">
        <v>0</v>
      </c>
      <c r="BZ48">
        <v>0</v>
      </c>
      <c r="CA48">
        <v>0</v>
      </c>
      <c r="CB48">
        <v>0</v>
      </c>
      <c r="CD48">
        <v>0</v>
      </c>
    </row>
    <row r="49" spans="1:82" x14ac:dyDescent="0.3">
      <c r="A49" s="155">
        <v>94</v>
      </c>
      <c r="B49" t="s">
        <v>231</v>
      </c>
      <c r="D49">
        <v>0</v>
      </c>
      <c r="E49">
        <v>0</v>
      </c>
      <c r="F49">
        <v>0</v>
      </c>
      <c r="G49">
        <v>0</v>
      </c>
      <c r="H49">
        <v>0</v>
      </c>
      <c r="I49">
        <v>0</v>
      </c>
      <c r="J49">
        <v>0</v>
      </c>
      <c r="K49">
        <v>0</v>
      </c>
      <c r="L49">
        <v>0</v>
      </c>
      <c r="M49">
        <v>0</v>
      </c>
      <c r="N49">
        <v>0</v>
      </c>
      <c r="O49">
        <v>0</v>
      </c>
      <c r="P49">
        <v>0</v>
      </c>
      <c r="Q49">
        <v>54535965</v>
      </c>
      <c r="R49">
        <v>0</v>
      </c>
      <c r="S49">
        <v>0</v>
      </c>
      <c r="T49">
        <v>0</v>
      </c>
      <c r="U49">
        <v>0</v>
      </c>
      <c r="V49">
        <v>28110304</v>
      </c>
      <c r="W49">
        <v>0</v>
      </c>
      <c r="X49">
        <v>0</v>
      </c>
      <c r="Y49">
        <v>0</v>
      </c>
      <c r="Z49">
        <v>0</v>
      </c>
      <c r="AA49">
        <v>0</v>
      </c>
      <c r="AB49">
        <v>0</v>
      </c>
      <c r="AC49">
        <v>0</v>
      </c>
      <c r="AD49">
        <v>0</v>
      </c>
      <c r="AE49">
        <v>0</v>
      </c>
      <c r="AF49">
        <v>0</v>
      </c>
      <c r="AG49">
        <v>0</v>
      </c>
      <c r="AH49">
        <v>0</v>
      </c>
      <c r="AI49">
        <v>48831597</v>
      </c>
      <c r="AJ49">
        <v>0</v>
      </c>
      <c r="AK49">
        <v>0</v>
      </c>
      <c r="AM49">
        <v>15552552</v>
      </c>
      <c r="AN49">
        <v>0</v>
      </c>
      <c r="AO49">
        <v>0</v>
      </c>
      <c r="AP49">
        <v>0</v>
      </c>
      <c r="AQ49">
        <v>0</v>
      </c>
      <c r="AR49">
        <v>0</v>
      </c>
      <c r="AS49">
        <v>0</v>
      </c>
      <c r="AT49">
        <v>0</v>
      </c>
      <c r="AU49">
        <v>393649</v>
      </c>
      <c r="AV49">
        <v>0</v>
      </c>
      <c r="AW49">
        <v>0</v>
      </c>
      <c r="AX49">
        <v>0</v>
      </c>
      <c r="AY49">
        <v>0</v>
      </c>
      <c r="AZ49">
        <v>0</v>
      </c>
      <c r="BA49">
        <v>0</v>
      </c>
      <c r="BB49">
        <v>0</v>
      </c>
      <c r="BC49">
        <v>0</v>
      </c>
      <c r="BD49">
        <v>0</v>
      </c>
      <c r="BE49">
        <v>0</v>
      </c>
      <c r="BF49">
        <v>0</v>
      </c>
      <c r="BG49">
        <v>0</v>
      </c>
      <c r="BH49">
        <v>0</v>
      </c>
      <c r="BI49">
        <v>0</v>
      </c>
      <c r="BJ49">
        <v>0</v>
      </c>
      <c r="BK49">
        <v>0</v>
      </c>
      <c r="BL49">
        <v>967793</v>
      </c>
      <c r="BM49">
        <v>0</v>
      </c>
      <c r="BN49">
        <v>0</v>
      </c>
      <c r="BO49">
        <v>0</v>
      </c>
      <c r="BP49">
        <v>0</v>
      </c>
      <c r="BQ49">
        <v>0</v>
      </c>
      <c r="BR49">
        <v>2351257</v>
      </c>
      <c r="BS49">
        <v>10759341</v>
      </c>
      <c r="BT49">
        <v>0</v>
      </c>
      <c r="BU49">
        <v>0</v>
      </c>
      <c r="BV49">
        <v>0</v>
      </c>
      <c r="BW49">
        <v>0</v>
      </c>
      <c r="BX49">
        <v>0</v>
      </c>
      <c r="BY49">
        <v>0</v>
      </c>
      <c r="BZ49">
        <v>0</v>
      </c>
      <c r="CA49">
        <v>0</v>
      </c>
      <c r="CB49">
        <v>0</v>
      </c>
      <c r="CD49">
        <v>0</v>
      </c>
    </row>
    <row r="50" spans="1:82" x14ac:dyDescent="0.3">
      <c r="A50" s="155">
        <v>97</v>
      </c>
      <c r="B50" t="s">
        <v>227</v>
      </c>
      <c r="D50">
        <v>0</v>
      </c>
      <c r="E50">
        <v>0</v>
      </c>
      <c r="F50">
        <v>0</v>
      </c>
      <c r="G50">
        <v>0</v>
      </c>
      <c r="H50">
        <v>0</v>
      </c>
      <c r="I50">
        <v>0</v>
      </c>
      <c r="J50">
        <v>0</v>
      </c>
      <c r="K50">
        <v>0</v>
      </c>
      <c r="L50">
        <v>0</v>
      </c>
      <c r="M50">
        <v>0</v>
      </c>
      <c r="N50">
        <v>0</v>
      </c>
      <c r="O50">
        <v>0</v>
      </c>
      <c r="P50">
        <v>0</v>
      </c>
      <c r="Q50">
        <v>56218225</v>
      </c>
      <c r="R50">
        <v>0</v>
      </c>
      <c r="S50">
        <v>0</v>
      </c>
      <c r="T50">
        <v>0</v>
      </c>
      <c r="U50">
        <v>0</v>
      </c>
      <c r="V50">
        <v>29547080</v>
      </c>
      <c r="W50">
        <v>0</v>
      </c>
      <c r="X50">
        <v>0</v>
      </c>
      <c r="Y50">
        <v>0</v>
      </c>
      <c r="Z50">
        <v>0</v>
      </c>
      <c r="AA50">
        <v>0</v>
      </c>
      <c r="AB50">
        <v>0</v>
      </c>
      <c r="AC50">
        <v>0</v>
      </c>
      <c r="AD50">
        <v>0</v>
      </c>
      <c r="AE50">
        <v>0</v>
      </c>
      <c r="AF50">
        <v>0</v>
      </c>
      <c r="AG50">
        <v>0</v>
      </c>
      <c r="AH50">
        <v>0</v>
      </c>
      <c r="AI50">
        <v>53475524</v>
      </c>
      <c r="AJ50">
        <v>0</v>
      </c>
      <c r="AK50">
        <v>0</v>
      </c>
      <c r="AM50">
        <v>15142020</v>
      </c>
      <c r="AN50">
        <v>0</v>
      </c>
      <c r="AO50">
        <v>0</v>
      </c>
      <c r="AP50">
        <v>0</v>
      </c>
      <c r="AQ50">
        <v>0</v>
      </c>
      <c r="AR50">
        <v>0</v>
      </c>
      <c r="AS50">
        <v>0</v>
      </c>
      <c r="AT50">
        <v>0</v>
      </c>
      <c r="AU50">
        <v>389553</v>
      </c>
      <c r="AV50">
        <v>0</v>
      </c>
      <c r="AW50">
        <v>0</v>
      </c>
      <c r="AX50">
        <v>0</v>
      </c>
      <c r="AY50">
        <v>0</v>
      </c>
      <c r="AZ50">
        <v>0</v>
      </c>
      <c r="BA50">
        <v>0</v>
      </c>
      <c r="BB50">
        <v>0</v>
      </c>
      <c r="BC50">
        <v>0</v>
      </c>
      <c r="BD50">
        <v>0</v>
      </c>
      <c r="BE50">
        <v>0</v>
      </c>
      <c r="BF50">
        <v>0</v>
      </c>
      <c r="BG50">
        <v>0</v>
      </c>
      <c r="BH50">
        <v>0</v>
      </c>
      <c r="BI50">
        <v>0</v>
      </c>
      <c r="BJ50">
        <v>0</v>
      </c>
      <c r="BK50">
        <v>0</v>
      </c>
      <c r="BL50">
        <v>1031751</v>
      </c>
      <c r="BM50">
        <v>0</v>
      </c>
      <c r="BN50">
        <v>0</v>
      </c>
      <c r="BO50">
        <v>0</v>
      </c>
      <c r="BP50">
        <v>0</v>
      </c>
      <c r="BQ50">
        <v>0</v>
      </c>
      <c r="BR50">
        <v>2776436</v>
      </c>
      <c r="BS50">
        <v>11384233</v>
      </c>
      <c r="BT50">
        <v>0</v>
      </c>
      <c r="BU50">
        <v>0</v>
      </c>
      <c r="BV50">
        <v>0</v>
      </c>
      <c r="BW50">
        <v>0</v>
      </c>
      <c r="BX50">
        <v>0</v>
      </c>
      <c r="BY50">
        <v>0</v>
      </c>
      <c r="BZ50">
        <v>0</v>
      </c>
      <c r="CA50">
        <v>0</v>
      </c>
      <c r="CB50">
        <v>0</v>
      </c>
      <c r="CD50">
        <v>0</v>
      </c>
    </row>
    <row r="51" spans="1:82" x14ac:dyDescent="0.3">
      <c r="A51" s="155">
        <v>98</v>
      </c>
      <c r="B51" t="s">
        <v>232</v>
      </c>
      <c r="D51">
        <v>0</v>
      </c>
      <c r="E51">
        <v>0</v>
      </c>
      <c r="F51">
        <v>0</v>
      </c>
      <c r="G51">
        <v>0</v>
      </c>
      <c r="H51">
        <v>0</v>
      </c>
      <c r="I51">
        <v>0</v>
      </c>
      <c r="J51">
        <v>0</v>
      </c>
      <c r="K51">
        <v>0</v>
      </c>
      <c r="L51">
        <v>0</v>
      </c>
      <c r="M51">
        <v>0</v>
      </c>
      <c r="N51">
        <v>0</v>
      </c>
      <c r="O51">
        <v>0</v>
      </c>
      <c r="P51">
        <v>0</v>
      </c>
      <c r="Q51">
        <v>640366</v>
      </c>
      <c r="R51">
        <v>0</v>
      </c>
      <c r="S51">
        <v>0</v>
      </c>
      <c r="T51">
        <v>0</v>
      </c>
      <c r="U51">
        <v>0</v>
      </c>
      <c r="V51">
        <v>4141</v>
      </c>
      <c r="W51">
        <v>0</v>
      </c>
      <c r="X51">
        <v>0</v>
      </c>
      <c r="Y51">
        <v>0</v>
      </c>
      <c r="Z51">
        <v>0</v>
      </c>
      <c r="AA51">
        <v>0</v>
      </c>
      <c r="AB51">
        <v>0</v>
      </c>
      <c r="AC51">
        <v>0</v>
      </c>
      <c r="AD51">
        <v>0</v>
      </c>
      <c r="AE51">
        <v>0</v>
      </c>
      <c r="AF51">
        <v>0</v>
      </c>
      <c r="AG51">
        <v>0</v>
      </c>
      <c r="AH51">
        <v>0</v>
      </c>
      <c r="AI51">
        <v>127017</v>
      </c>
      <c r="AJ51">
        <v>0</v>
      </c>
      <c r="AK51">
        <v>0</v>
      </c>
      <c r="AM51">
        <v>112051</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2337</v>
      </c>
      <c r="BS51">
        <v>0</v>
      </c>
      <c r="BT51">
        <v>0</v>
      </c>
      <c r="BU51">
        <v>0</v>
      </c>
      <c r="BV51">
        <v>0</v>
      </c>
      <c r="BW51">
        <v>0</v>
      </c>
      <c r="BX51">
        <v>0</v>
      </c>
      <c r="BY51">
        <v>0</v>
      </c>
      <c r="BZ51">
        <v>0</v>
      </c>
      <c r="CA51">
        <v>0</v>
      </c>
      <c r="CB51">
        <v>0</v>
      </c>
      <c r="CD51">
        <v>0</v>
      </c>
    </row>
    <row r="52" spans="1:82" x14ac:dyDescent="0.3">
      <c r="A52" s="155">
        <v>99</v>
      </c>
      <c r="B52" t="s">
        <v>229</v>
      </c>
      <c r="D52">
        <v>0</v>
      </c>
      <c r="E52">
        <v>0</v>
      </c>
      <c r="F52">
        <v>0</v>
      </c>
      <c r="G52">
        <v>0</v>
      </c>
      <c r="H52">
        <v>0</v>
      </c>
      <c r="I52">
        <v>0</v>
      </c>
      <c r="J52">
        <v>0</v>
      </c>
      <c r="K52">
        <v>0</v>
      </c>
      <c r="L52">
        <v>0</v>
      </c>
      <c r="M52">
        <v>0</v>
      </c>
      <c r="N52">
        <v>0</v>
      </c>
      <c r="O52">
        <v>0</v>
      </c>
      <c r="P52">
        <v>0</v>
      </c>
      <c r="Q52">
        <v>45725211</v>
      </c>
      <c r="R52">
        <v>0</v>
      </c>
      <c r="S52">
        <v>0</v>
      </c>
      <c r="T52">
        <v>0</v>
      </c>
      <c r="U52">
        <v>0</v>
      </c>
      <c r="V52">
        <v>25712326</v>
      </c>
      <c r="W52">
        <v>0</v>
      </c>
      <c r="X52">
        <v>0</v>
      </c>
      <c r="Y52">
        <v>0</v>
      </c>
      <c r="Z52">
        <v>0</v>
      </c>
      <c r="AA52">
        <v>0</v>
      </c>
      <c r="AB52">
        <v>0</v>
      </c>
      <c r="AC52">
        <v>0</v>
      </c>
      <c r="AD52">
        <v>0</v>
      </c>
      <c r="AE52">
        <v>0</v>
      </c>
      <c r="AF52">
        <v>0</v>
      </c>
      <c r="AG52">
        <v>0</v>
      </c>
      <c r="AH52">
        <v>0</v>
      </c>
      <c r="AI52">
        <v>37433060</v>
      </c>
      <c r="AJ52">
        <v>0</v>
      </c>
      <c r="AK52">
        <v>0</v>
      </c>
      <c r="AM52">
        <v>10961033</v>
      </c>
      <c r="AN52">
        <v>0</v>
      </c>
      <c r="AO52">
        <v>0</v>
      </c>
      <c r="AP52">
        <v>0</v>
      </c>
      <c r="AQ52">
        <v>0</v>
      </c>
      <c r="AR52">
        <v>0</v>
      </c>
      <c r="AS52">
        <v>0</v>
      </c>
      <c r="AT52">
        <v>0</v>
      </c>
      <c r="AU52">
        <v>275501</v>
      </c>
      <c r="AV52">
        <v>0</v>
      </c>
      <c r="AW52">
        <v>0</v>
      </c>
      <c r="AX52">
        <v>0</v>
      </c>
      <c r="AY52">
        <v>0</v>
      </c>
      <c r="AZ52">
        <v>0</v>
      </c>
      <c r="BA52">
        <v>0</v>
      </c>
      <c r="BB52">
        <v>0</v>
      </c>
      <c r="BC52">
        <v>0</v>
      </c>
      <c r="BD52">
        <v>0</v>
      </c>
      <c r="BE52">
        <v>0</v>
      </c>
      <c r="BF52">
        <v>0</v>
      </c>
      <c r="BG52">
        <v>0</v>
      </c>
      <c r="BH52">
        <v>0</v>
      </c>
      <c r="BI52">
        <v>0</v>
      </c>
      <c r="BJ52">
        <v>0</v>
      </c>
      <c r="BK52">
        <v>0</v>
      </c>
      <c r="BL52">
        <v>713211</v>
      </c>
      <c r="BM52">
        <v>0</v>
      </c>
      <c r="BN52">
        <v>0</v>
      </c>
      <c r="BO52">
        <v>0</v>
      </c>
      <c r="BP52">
        <v>0</v>
      </c>
      <c r="BQ52">
        <v>0</v>
      </c>
      <c r="BR52">
        <v>1553387</v>
      </c>
      <c r="BS52">
        <v>8652729</v>
      </c>
      <c r="BT52">
        <v>0</v>
      </c>
      <c r="BU52">
        <v>0</v>
      </c>
      <c r="BV52">
        <v>0</v>
      </c>
      <c r="BW52">
        <v>0</v>
      </c>
      <c r="BX52">
        <v>0</v>
      </c>
      <c r="BY52">
        <v>0</v>
      </c>
      <c r="BZ52">
        <v>0</v>
      </c>
      <c r="CA52">
        <v>0</v>
      </c>
      <c r="CB52">
        <v>0</v>
      </c>
      <c r="CD52">
        <v>0</v>
      </c>
    </row>
    <row r="53" spans="1:82" x14ac:dyDescent="0.3">
      <c r="A53" s="155">
        <v>100</v>
      </c>
      <c r="B53" t="s">
        <v>242</v>
      </c>
      <c r="D53">
        <v>0</v>
      </c>
      <c r="E53">
        <v>0</v>
      </c>
      <c r="F53">
        <v>0</v>
      </c>
      <c r="G53">
        <v>0</v>
      </c>
      <c r="H53">
        <v>0</v>
      </c>
      <c r="I53">
        <v>0</v>
      </c>
      <c r="J53">
        <v>0</v>
      </c>
      <c r="K53">
        <v>0</v>
      </c>
      <c r="L53">
        <v>0</v>
      </c>
      <c r="M53">
        <v>0</v>
      </c>
      <c r="N53">
        <v>0</v>
      </c>
      <c r="O53">
        <v>0</v>
      </c>
      <c r="P53">
        <v>0</v>
      </c>
      <c r="Q53">
        <v>801560</v>
      </c>
      <c r="R53">
        <v>0</v>
      </c>
      <c r="S53">
        <v>0</v>
      </c>
      <c r="T53">
        <v>0</v>
      </c>
      <c r="U53">
        <v>0</v>
      </c>
      <c r="V53">
        <v>110625</v>
      </c>
      <c r="W53">
        <v>0</v>
      </c>
      <c r="X53">
        <v>0</v>
      </c>
      <c r="Y53">
        <v>0</v>
      </c>
      <c r="Z53">
        <v>0</v>
      </c>
      <c r="AA53">
        <v>0</v>
      </c>
      <c r="AB53">
        <v>0</v>
      </c>
      <c r="AC53">
        <v>0</v>
      </c>
      <c r="AD53">
        <v>0</v>
      </c>
      <c r="AE53">
        <v>0</v>
      </c>
      <c r="AF53">
        <v>0</v>
      </c>
      <c r="AG53">
        <v>0</v>
      </c>
      <c r="AH53">
        <v>0</v>
      </c>
      <c r="AI53">
        <v>1649121</v>
      </c>
      <c r="AJ53">
        <v>0</v>
      </c>
      <c r="AK53">
        <v>0</v>
      </c>
      <c r="AM53">
        <v>804403</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85633</v>
      </c>
      <c r="BM53">
        <v>0</v>
      </c>
      <c r="BN53">
        <v>0</v>
      </c>
      <c r="BO53">
        <v>0</v>
      </c>
      <c r="BP53">
        <v>0</v>
      </c>
      <c r="BQ53">
        <v>0</v>
      </c>
      <c r="BR53">
        <v>10001</v>
      </c>
      <c r="BS53">
        <v>0</v>
      </c>
      <c r="BT53">
        <v>0</v>
      </c>
      <c r="BU53">
        <v>0</v>
      </c>
      <c r="BV53">
        <v>0</v>
      </c>
      <c r="BW53">
        <v>0</v>
      </c>
      <c r="BX53">
        <v>0</v>
      </c>
      <c r="BY53">
        <v>0</v>
      </c>
      <c r="BZ53">
        <v>0</v>
      </c>
      <c r="CA53">
        <v>0</v>
      </c>
      <c r="CB53">
        <v>0</v>
      </c>
      <c r="CD53">
        <v>0</v>
      </c>
    </row>
    <row r="54" spans="1:82" x14ac:dyDescent="0.3">
      <c r="A54" s="155">
        <v>101</v>
      </c>
      <c r="B54" t="s">
        <v>241</v>
      </c>
      <c r="D54">
        <v>0</v>
      </c>
      <c r="E54">
        <v>0</v>
      </c>
      <c r="F54">
        <v>0</v>
      </c>
      <c r="G54">
        <v>0</v>
      </c>
      <c r="H54">
        <v>0</v>
      </c>
      <c r="I54">
        <v>0</v>
      </c>
      <c r="J54">
        <v>0</v>
      </c>
      <c r="K54">
        <v>0</v>
      </c>
      <c r="L54">
        <v>0</v>
      </c>
      <c r="M54">
        <v>0</v>
      </c>
      <c r="N54">
        <v>0</v>
      </c>
      <c r="O54">
        <v>0</v>
      </c>
      <c r="P54">
        <v>0</v>
      </c>
      <c r="Q54">
        <v>3228987</v>
      </c>
      <c r="R54">
        <v>0</v>
      </c>
      <c r="S54">
        <v>0</v>
      </c>
      <c r="T54">
        <v>0</v>
      </c>
      <c r="U54">
        <v>0</v>
      </c>
      <c r="V54">
        <v>24550339</v>
      </c>
      <c r="W54">
        <v>0</v>
      </c>
      <c r="X54">
        <v>0</v>
      </c>
      <c r="Y54">
        <v>0</v>
      </c>
      <c r="Z54">
        <v>0</v>
      </c>
      <c r="AA54">
        <v>0</v>
      </c>
      <c r="AB54">
        <v>0</v>
      </c>
      <c r="AC54">
        <v>0</v>
      </c>
      <c r="AD54">
        <v>0</v>
      </c>
      <c r="AE54">
        <v>0</v>
      </c>
      <c r="AF54">
        <v>0</v>
      </c>
      <c r="AG54">
        <v>0</v>
      </c>
      <c r="AH54">
        <v>0</v>
      </c>
      <c r="AI54">
        <v>2454192</v>
      </c>
      <c r="AJ54">
        <v>0</v>
      </c>
      <c r="AK54">
        <v>0</v>
      </c>
      <c r="AM54">
        <v>801648</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2162</v>
      </c>
      <c r="BS54">
        <v>3067437</v>
      </c>
      <c r="BT54">
        <v>0</v>
      </c>
      <c r="BU54">
        <v>0</v>
      </c>
      <c r="BV54">
        <v>0</v>
      </c>
      <c r="BW54">
        <v>0</v>
      </c>
      <c r="BX54">
        <v>0</v>
      </c>
      <c r="BY54">
        <v>0</v>
      </c>
      <c r="BZ54">
        <v>0</v>
      </c>
      <c r="CA54">
        <v>0</v>
      </c>
      <c r="CB54">
        <v>0</v>
      </c>
      <c r="CD54">
        <v>0</v>
      </c>
    </row>
    <row r="55" spans="1:82" x14ac:dyDescent="0.3">
      <c r="A55" s="155">
        <v>102</v>
      </c>
      <c r="B55" t="s">
        <v>255</v>
      </c>
      <c r="D55">
        <v>90.23</v>
      </c>
      <c r="E55">
        <v>98.22</v>
      </c>
      <c r="F55">
        <v>98.65</v>
      </c>
      <c r="G55">
        <v>98.03</v>
      </c>
      <c r="H55">
        <v>97.79</v>
      </c>
      <c r="I55">
        <v>99.18</v>
      </c>
      <c r="J55">
        <v>97.21</v>
      </c>
      <c r="K55">
        <v>99.53</v>
      </c>
      <c r="L55">
        <v>99.3</v>
      </c>
      <c r="M55">
        <v>99.21</v>
      </c>
      <c r="N55">
        <v>96.71</v>
      </c>
      <c r="O55">
        <v>98.86</v>
      </c>
      <c r="P55">
        <v>99.13</v>
      </c>
      <c r="Q55">
        <v>99.33</v>
      </c>
      <c r="R55">
        <v>99.9</v>
      </c>
      <c r="S55">
        <v>0</v>
      </c>
      <c r="T55">
        <v>99.43</v>
      </c>
      <c r="U55">
        <v>99.24</v>
      </c>
      <c r="V55">
        <v>97.26</v>
      </c>
      <c r="W55">
        <v>99.78</v>
      </c>
      <c r="X55">
        <v>0</v>
      </c>
      <c r="Y55">
        <v>98.7</v>
      </c>
      <c r="Z55">
        <v>95.95</v>
      </c>
      <c r="AA55">
        <v>99.48</v>
      </c>
      <c r="AB55">
        <v>97.16</v>
      </c>
      <c r="AC55">
        <v>98.55</v>
      </c>
      <c r="AD55">
        <v>97.55</v>
      </c>
      <c r="AE55">
        <v>93.17</v>
      </c>
      <c r="AF55">
        <v>99.95</v>
      </c>
      <c r="AG55">
        <v>98.4</v>
      </c>
      <c r="AH55">
        <v>95.19</v>
      </c>
      <c r="AI55">
        <v>99.38</v>
      </c>
      <c r="AJ55">
        <v>99.66</v>
      </c>
      <c r="AK55">
        <v>95.37</v>
      </c>
      <c r="AM55">
        <v>98.49</v>
      </c>
      <c r="AN55">
        <v>97.1</v>
      </c>
      <c r="AO55">
        <v>95.06</v>
      </c>
      <c r="AP55">
        <v>0</v>
      </c>
      <c r="AQ55">
        <v>99.35</v>
      </c>
      <c r="AR55">
        <v>96.72</v>
      </c>
      <c r="AS55">
        <v>95.57</v>
      </c>
      <c r="AT55">
        <v>98.32</v>
      </c>
      <c r="AU55">
        <v>88.73</v>
      </c>
      <c r="AV55">
        <v>99.27</v>
      </c>
      <c r="AW55">
        <v>99.57</v>
      </c>
      <c r="AX55">
        <v>97.88</v>
      </c>
      <c r="AY55">
        <v>100</v>
      </c>
      <c r="AZ55">
        <v>99.74</v>
      </c>
      <c r="BA55">
        <v>98.65</v>
      </c>
      <c r="BB55">
        <v>0</v>
      </c>
      <c r="BC55">
        <v>97.61</v>
      </c>
      <c r="BD55">
        <v>97.77</v>
      </c>
      <c r="BE55">
        <v>98.25</v>
      </c>
      <c r="BF55">
        <v>94.82</v>
      </c>
      <c r="BG55">
        <v>80.12</v>
      </c>
      <c r="BH55">
        <v>99.36</v>
      </c>
      <c r="BI55">
        <v>90.89</v>
      </c>
      <c r="BJ55">
        <v>96.78</v>
      </c>
      <c r="BK55">
        <v>96.32</v>
      </c>
      <c r="BL55">
        <v>98.88</v>
      </c>
      <c r="BM55">
        <v>98.69</v>
      </c>
      <c r="BN55">
        <v>99.87</v>
      </c>
      <c r="BO55">
        <v>99.87</v>
      </c>
      <c r="BP55">
        <v>99.27</v>
      </c>
      <c r="BQ55">
        <v>99.92</v>
      </c>
      <c r="BR55">
        <v>95.33</v>
      </c>
      <c r="BS55">
        <v>99.11</v>
      </c>
      <c r="BT55">
        <v>97.58</v>
      </c>
      <c r="BU55">
        <v>99.14</v>
      </c>
      <c r="BV55">
        <v>99.13</v>
      </c>
      <c r="BW55">
        <v>88.52</v>
      </c>
      <c r="BX55">
        <v>94.33</v>
      </c>
      <c r="BY55">
        <v>99.05</v>
      </c>
      <c r="BZ55">
        <v>92.66</v>
      </c>
      <c r="CA55">
        <v>97.77</v>
      </c>
      <c r="CB55">
        <v>99.58</v>
      </c>
      <c r="CD55">
        <v>96.45</v>
      </c>
    </row>
    <row r="56" spans="1:82" x14ac:dyDescent="0.3">
      <c r="A56" s="155">
        <v>103</v>
      </c>
      <c r="B56" t="s">
        <v>256</v>
      </c>
      <c r="D56">
        <v>100</v>
      </c>
      <c r="E56">
        <v>100</v>
      </c>
      <c r="F56">
        <v>100</v>
      </c>
      <c r="G56">
        <v>99.38</v>
      </c>
      <c r="H56">
        <v>100</v>
      </c>
      <c r="I56">
        <v>100</v>
      </c>
      <c r="J56">
        <v>100</v>
      </c>
      <c r="K56">
        <v>100</v>
      </c>
      <c r="L56">
        <v>100</v>
      </c>
      <c r="M56">
        <v>100</v>
      </c>
      <c r="N56">
        <v>100</v>
      </c>
      <c r="O56">
        <v>100</v>
      </c>
      <c r="P56">
        <v>100</v>
      </c>
      <c r="Q56">
        <v>100</v>
      </c>
      <c r="R56">
        <v>99.98</v>
      </c>
      <c r="S56">
        <v>0</v>
      </c>
      <c r="T56">
        <v>99.22</v>
      </c>
      <c r="U56">
        <v>100</v>
      </c>
      <c r="V56">
        <v>100</v>
      </c>
      <c r="W56">
        <v>100</v>
      </c>
      <c r="X56">
        <v>0</v>
      </c>
      <c r="Y56">
        <v>99.58</v>
      </c>
      <c r="Z56">
        <v>100</v>
      </c>
      <c r="AA56">
        <v>100</v>
      </c>
      <c r="AB56">
        <v>100</v>
      </c>
      <c r="AC56">
        <v>100</v>
      </c>
      <c r="AD56">
        <v>100</v>
      </c>
      <c r="AE56">
        <v>100</v>
      </c>
      <c r="AF56">
        <v>100</v>
      </c>
      <c r="AG56">
        <v>100</v>
      </c>
      <c r="AH56">
        <v>100</v>
      </c>
      <c r="AI56">
        <v>100</v>
      </c>
      <c r="AJ56">
        <v>100</v>
      </c>
      <c r="AK56">
        <v>71.739999999999995</v>
      </c>
      <c r="AM56">
        <v>100</v>
      </c>
      <c r="AN56">
        <v>99.42</v>
      </c>
      <c r="AO56">
        <v>100</v>
      </c>
      <c r="AP56">
        <v>0</v>
      </c>
      <c r="AQ56">
        <v>100</v>
      </c>
      <c r="AR56">
        <v>100</v>
      </c>
      <c r="AS56">
        <v>100</v>
      </c>
      <c r="AT56">
        <v>99.79</v>
      </c>
      <c r="AU56">
        <v>99.45</v>
      </c>
      <c r="AV56">
        <v>100</v>
      </c>
      <c r="AW56">
        <v>100</v>
      </c>
      <c r="AX56">
        <v>100</v>
      </c>
      <c r="AY56">
        <v>100</v>
      </c>
      <c r="AZ56">
        <v>100</v>
      </c>
      <c r="BA56">
        <v>100</v>
      </c>
      <c r="BB56">
        <v>0</v>
      </c>
      <c r="BC56">
        <v>100</v>
      </c>
      <c r="BD56">
        <v>99.65</v>
      </c>
      <c r="BE56">
        <v>100</v>
      </c>
      <c r="BF56">
        <v>100</v>
      </c>
      <c r="BG56">
        <v>100</v>
      </c>
      <c r="BH56">
        <v>99.1</v>
      </c>
      <c r="BI56">
        <v>100</v>
      </c>
      <c r="BJ56">
        <v>100</v>
      </c>
      <c r="BK56">
        <v>96.62</v>
      </c>
      <c r="BL56">
        <v>100</v>
      </c>
      <c r="BM56">
        <v>100</v>
      </c>
      <c r="BN56">
        <v>99.52</v>
      </c>
      <c r="BO56">
        <v>100</v>
      </c>
      <c r="BP56">
        <v>100</v>
      </c>
      <c r="BQ56">
        <v>100</v>
      </c>
      <c r="BR56">
        <v>100</v>
      </c>
      <c r="BS56">
        <v>100</v>
      </c>
      <c r="BT56">
        <v>100</v>
      </c>
      <c r="BU56">
        <v>100</v>
      </c>
      <c r="BV56">
        <v>100</v>
      </c>
      <c r="BW56">
        <v>100</v>
      </c>
      <c r="BX56">
        <v>100</v>
      </c>
      <c r="BY56">
        <v>99.68</v>
      </c>
      <c r="BZ56">
        <v>99.86</v>
      </c>
      <c r="CA56">
        <v>100</v>
      </c>
      <c r="CB56">
        <v>100</v>
      </c>
      <c r="CD56">
        <v>100</v>
      </c>
    </row>
    <row r="57" spans="1:82" x14ac:dyDescent="0.3">
      <c r="A57" s="155">
        <v>104</v>
      </c>
      <c r="B57" t="s">
        <v>911</v>
      </c>
      <c r="D57">
        <v>0</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M57">
        <v>0</v>
      </c>
      <c r="AN57">
        <v>0</v>
      </c>
      <c r="AO57">
        <v>0</v>
      </c>
      <c r="AP57">
        <v>0</v>
      </c>
      <c r="AQ57">
        <v>0</v>
      </c>
      <c r="AR57">
        <v>0</v>
      </c>
      <c r="AS57">
        <v>0</v>
      </c>
      <c r="AT57">
        <v>0</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0</v>
      </c>
      <c r="BR57">
        <v>0</v>
      </c>
      <c r="BS57">
        <v>0</v>
      </c>
      <c r="BT57">
        <v>0</v>
      </c>
      <c r="BU57">
        <v>0</v>
      </c>
      <c r="BV57">
        <v>0</v>
      </c>
      <c r="BW57">
        <v>0</v>
      </c>
      <c r="BX57">
        <v>0</v>
      </c>
      <c r="BY57">
        <v>0</v>
      </c>
      <c r="BZ57">
        <v>0</v>
      </c>
      <c r="CA57">
        <v>0</v>
      </c>
      <c r="CB57">
        <v>0</v>
      </c>
      <c r="CD57">
        <v>0</v>
      </c>
    </row>
    <row r="58" spans="1:82" x14ac:dyDescent="0.3">
      <c r="A58" s="155">
        <v>107</v>
      </c>
      <c r="B58" t="s">
        <v>912</v>
      </c>
      <c r="D58">
        <v>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M58">
        <v>0</v>
      </c>
      <c r="AN58">
        <v>0</v>
      </c>
      <c r="AO58">
        <v>0</v>
      </c>
      <c r="AP58">
        <v>0</v>
      </c>
      <c r="AQ58">
        <v>0</v>
      </c>
      <c r="AR58">
        <v>0</v>
      </c>
      <c r="AS58">
        <v>0</v>
      </c>
      <c r="AT58">
        <v>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0</v>
      </c>
      <c r="CB58">
        <v>0</v>
      </c>
      <c r="CD58">
        <v>0</v>
      </c>
    </row>
    <row r="59" spans="1:82" x14ac:dyDescent="0.3">
      <c r="A59" s="155">
        <v>108</v>
      </c>
      <c r="B59" t="s">
        <v>913</v>
      </c>
      <c r="D59">
        <v>0</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c r="AG59">
        <v>0</v>
      </c>
      <c r="AH59">
        <v>0</v>
      </c>
      <c r="AI59">
        <v>0</v>
      </c>
      <c r="AJ59">
        <v>0</v>
      </c>
      <c r="AK59">
        <v>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0</v>
      </c>
      <c r="BY59">
        <v>0</v>
      </c>
      <c r="BZ59">
        <v>0</v>
      </c>
      <c r="CA59">
        <v>0</v>
      </c>
      <c r="CB59">
        <v>0</v>
      </c>
      <c r="CD59">
        <v>0</v>
      </c>
    </row>
    <row r="60" spans="1:82" x14ac:dyDescent="0.3">
      <c r="A60" s="155">
        <v>147</v>
      </c>
      <c r="B60" t="s">
        <v>914</v>
      </c>
      <c r="D60">
        <v>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0</v>
      </c>
      <c r="CB60">
        <v>0</v>
      </c>
      <c r="CD60">
        <v>0</v>
      </c>
    </row>
    <row r="61" spans="1:82" x14ac:dyDescent="0.3">
      <c r="A61" s="155">
        <v>148</v>
      </c>
      <c r="B61" t="s">
        <v>915</v>
      </c>
      <c r="D61">
        <v>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D61">
        <v>0</v>
      </c>
    </row>
    <row r="62" spans="1:82" x14ac:dyDescent="0.3">
      <c r="A62" s="155">
        <v>149</v>
      </c>
      <c r="B62" t="s">
        <v>916</v>
      </c>
      <c r="D62">
        <v>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c r="AG62">
        <v>0</v>
      </c>
      <c r="AH62">
        <v>0</v>
      </c>
      <c r="AI62">
        <v>0</v>
      </c>
      <c r="AJ62">
        <v>0</v>
      </c>
      <c r="AK62">
        <v>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0</v>
      </c>
      <c r="BY62">
        <v>0</v>
      </c>
      <c r="BZ62">
        <v>0</v>
      </c>
      <c r="CA62">
        <v>0</v>
      </c>
      <c r="CB62">
        <v>0</v>
      </c>
      <c r="CD62">
        <v>0</v>
      </c>
    </row>
    <row r="63" spans="1:82" x14ac:dyDescent="0.3">
      <c r="A63" s="155">
        <v>150</v>
      </c>
      <c r="B63" t="s">
        <v>917</v>
      </c>
      <c r="D63">
        <v>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0</v>
      </c>
      <c r="BY63">
        <v>0</v>
      </c>
      <c r="BZ63">
        <v>0</v>
      </c>
      <c r="CA63">
        <v>0</v>
      </c>
      <c r="CB63">
        <v>0</v>
      </c>
      <c r="CD63">
        <v>0</v>
      </c>
    </row>
    <row r="64" spans="1:82" x14ac:dyDescent="0.3">
      <c r="A64" s="155">
        <v>171</v>
      </c>
      <c r="B64" t="s">
        <v>208</v>
      </c>
      <c r="D64">
        <v>1924</v>
      </c>
      <c r="E64">
        <v>3600</v>
      </c>
      <c r="F64">
        <v>13783</v>
      </c>
      <c r="G64">
        <v>51377</v>
      </c>
      <c r="H64">
        <v>0</v>
      </c>
      <c r="I64">
        <v>0</v>
      </c>
      <c r="J64">
        <v>0</v>
      </c>
      <c r="K64">
        <v>0</v>
      </c>
      <c r="L64">
        <v>0</v>
      </c>
      <c r="M64">
        <v>870629</v>
      </c>
      <c r="N64">
        <v>24652</v>
      </c>
      <c r="O64">
        <v>0</v>
      </c>
      <c r="P64">
        <v>0</v>
      </c>
      <c r="Q64">
        <v>2033097</v>
      </c>
      <c r="R64">
        <v>114455</v>
      </c>
      <c r="S64">
        <v>0</v>
      </c>
      <c r="T64">
        <v>6671239</v>
      </c>
      <c r="U64">
        <v>811706</v>
      </c>
      <c r="V64">
        <v>1434452</v>
      </c>
      <c r="W64">
        <v>3143829</v>
      </c>
      <c r="X64">
        <v>0</v>
      </c>
      <c r="Y64">
        <v>36000</v>
      </c>
      <c r="Z64">
        <v>0</v>
      </c>
      <c r="AA64">
        <v>1379171</v>
      </c>
      <c r="AB64">
        <v>29775</v>
      </c>
      <c r="AC64">
        <v>104617</v>
      </c>
      <c r="AD64">
        <v>0</v>
      </c>
      <c r="AE64">
        <v>113929</v>
      </c>
      <c r="AF64">
        <v>4157696</v>
      </c>
      <c r="AG64">
        <v>32525</v>
      </c>
      <c r="AH64">
        <v>48047</v>
      </c>
      <c r="AI64">
        <v>2013750</v>
      </c>
      <c r="AJ64">
        <v>0</v>
      </c>
      <c r="AK64">
        <v>0</v>
      </c>
      <c r="AM64">
        <v>1235007</v>
      </c>
      <c r="AN64">
        <v>0</v>
      </c>
      <c r="AO64">
        <v>20295</v>
      </c>
      <c r="AP64">
        <v>0</v>
      </c>
      <c r="AQ64">
        <v>1016410</v>
      </c>
      <c r="AR64">
        <v>166061</v>
      </c>
      <c r="AS64">
        <v>0</v>
      </c>
      <c r="AT64">
        <v>102583</v>
      </c>
      <c r="AU64">
        <v>0</v>
      </c>
      <c r="AV64">
        <v>1670384</v>
      </c>
      <c r="AW64">
        <v>266400</v>
      </c>
      <c r="AX64">
        <v>0</v>
      </c>
      <c r="AY64">
        <v>0</v>
      </c>
      <c r="AZ64">
        <v>10840</v>
      </c>
      <c r="BA64">
        <v>0</v>
      </c>
      <c r="BB64">
        <v>0</v>
      </c>
      <c r="BC64">
        <v>0</v>
      </c>
      <c r="BD64">
        <v>70942</v>
      </c>
      <c r="BE64">
        <v>0</v>
      </c>
      <c r="BF64">
        <v>0</v>
      </c>
      <c r="BG64">
        <v>7376</v>
      </c>
      <c r="BH64">
        <v>0</v>
      </c>
      <c r="BI64">
        <v>0</v>
      </c>
      <c r="BJ64">
        <v>18940</v>
      </c>
      <c r="BK64">
        <v>280740</v>
      </c>
      <c r="BL64">
        <v>0</v>
      </c>
      <c r="BM64">
        <v>76569</v>
      </c>
      <c r="BN64">
        <v>153039</v>
      </c>
      <c r="BO64">
        <v>45966</v>
      </c>
      <c r="BP64">
        <v>176721</v>
      </c>
      <c r="BQ64">
        <v>144748</v>
      </c>
      <c r="BR64">
        <v>9060</v>
      </c>
      <c r="BS64">
        <v>228150</v>
      </c>
      <c r="BT64">
        <v>89766</v>
      </c>
      <c r="BU64">
        <v>86049</v>
      </c>
      <c r="BV64">
        <v>0</v>
      </c>
      <c r="BW64">
        <v>95907</v>
      </c>
      <c r="BX64">
        <v>5693</v>
      </c>
      <c r="BY64">
        <v>0</v>
      </c>
      <c r="BZ64">
        <v>0</v>
      </c>
      <c r="CA64">
        <v>0</v>
      </c>
      <c r="CB64">
        <v>71389</v>
      </c>
      <c r="CD64">
        <v>0</v>
      </c>
    </row>
    <row r="65" spans="1:82" x14ac:dyDescent="0.3">
      <c r="A65" s="155">
        <v>191</v>
      </c>
      <c r="B65" t="s">
        <v>224</v>
      </c>
      <c r="D65">
        <v>0</v>
      </c>
      <c r="E65">
        <v>0</v>
      </c>
      <c r="F65">
        <v>1903600</v>
      </c>
      <c r="G65">
        <v>0</v>
      </c>
      <c r="H65">
        <v>0</v>
      </c>
      <c r="I65">
        <v>0</v>
      </c>
      <c r="J65">
        <v>0</v>
      </c>
      <c r="K65">
        <v>0</v>
      </c>
      <c r="L65">
        <v>0</v>
      </c>
      <c r="M65">
        <v>0</v>
      </c>
      <c r="N65">
        <v>0</v>
      </c>
      <c r="O65">
        <v>302472</v>
      </c>
      <c r="P65">
        <v>0</v>
      </c>
      <c r="Q65">
        <v>43249</v>
      </c>
      <c r="R65">
        <v>0</v>
      </c>
      <c r="S65">
        <v>0</v>
      </c>
      <c r="T65">
        <v>0</v>
      </c>
      <c r="U65">
        <v>31086</v>
      </c>
      <c r="V65">
        <v>0</v>
      </c>
      <c r="W65">
        <v>0</v>
      </c>
      <c r="X65">
        <v>0</v>
      </c>
      <c r="Y65">
        <v>2194218</v>
      </c>
      <c r="Z65">
        <v>33080</v>
      </c>
      <c r="AA65">
        <v>0</v>
      </c>
      <c r="AB65">
        <v>713834</v>
      </c>
      <c r="AC65">
        <v>0</v>
      </c>
      <c r="AD65">
        <v>0</v>
      </c>
      <c r="AE65">
        <v>84000</v>
      </c>
      <c r="AF65">
        <v>21930</v>
      </c>
      <c r="AG65">
        <v>0</v>
      </c>
      <c r="AH65">
        <v>0</v>
      </c>
      <c r="AI65">
        <v>0</v>
      </c>
      <c r="AJ65">
        <v>0</v>
      </c>
      <c r="AK65">
        <v>0</v>
      </c>
      <c r="AM65">
        <v>20275</v>
      </c>
      <c r="AN65">
        <v>0</v>
      </c>
      <c r="AO65">
        <v>0</v>
      </c>
      <c r="AP65">
        <v>0</v>
      </c>
      <c r="AQ65">
        <v>0</v>
      </c>
      <c r="AR65">
        <v>250000</v>
      </c>
      <c r="AS65">
        <v>0</v>
      </c>
      <c r="AT65">
        <v>0</v>
      </c>
      <c r="AU65">
        <v>0</v>
      </c>
      <c r="AV65">
        <v>0</v>
      </c>
      <c r="AW65">
        <v>0</v>
      </c>
      <c r="AX65">
        <v>0</v>
      </c>
      <c r="AY65">
        <v>0</v>
      </c>
      <c r="AZ65">
        <v>0</v>
      </c>
      <c r="BA65">
        <v>0</v>
      </c>
      <c r="BB65">
        <v>0</v>
      </c>
      <c r="BC65">
        <v>0</v>
      </c>
      <c r="BD65">
        <v>4222191</v>
      </c>
      <c r="BE65">
        <v>0</v>
      </c>
      <c r="BF65">
        <v>43235</v>
      </c>
      <c r="BG65">
        <v>0</v>
      </c>
      <c r="BH65">
        <v>0</v>
      </c>
      <c r="BI65">
        <v>0</v>
      </c>
      <c r="BJ65">
        <v>0</v>
      </c>
      <c r="BK65">
        <v>263698</v>
      </c>
      <c r="BL65">
        <v>1390895</v>
      </c>
      <c r="BM65">
        <v>988075</v>
      </c>
      <c r="BN65">
        <v>0</v>
      </c>
      <c r="BO65">
        <v>0</v>
      </c>
      <c r="BP65">
        <v>0</v>
      </c>
      <c r="BQ65">
        <v>0</v>
      </c>
      <c r="BR65">
        <v>0</v>
      </c>
      <c r="BS65">
        <v>0</v>
      </c>
      <c r="BT65">
        <v>50000</v>
      </c>
      <c r="BU65">
        <v>0</v>
      </c>
      <c r="BV65">
        <v>0</v>
      </c>
      <c r="BW65">
        <v>248275</v>
      </c>
      <c r="BX65">
        <v>0</v>
      </c>
      <c r="BY65">
        <v>0</v>
      </c>
      <c r="BZ65">
        <v>210044</v>
      </c>
      <c r="CA65">
        <v>0</v>
      </c>
      <c r="CB65">
        <v>0</v>
      </c>
      <c r="CD65">
        <v>0</v>
      </c>
    </row>
    <row r="66" spans="1:82" x14ac:dyDescent="0.3">
      <c r="A66" s="155">
        <v>192</v>
      </c>
      <c r="B66" t="s">
        <v>235</v>
      </c>
      <c r="D66">
        <v>0</v>
      </c>
      <c r="E66">
        <v>0</v>
      </c>
      <c r="F66">
        <v>0</v>
      </c>
      <c r="G66">
        <v>0</v>
      </c>
      <c r="H66">
        <v>0</v>
      </c>
      <c r="I66">
        <v>0</v>
      </c>
      <c r="J66">
        <v>0</v>
      </c>
      <c r="K66">
        <v>0</v>
      </c>
      <c r="L66">
        <v>0</v>
      </c>
      <c r="M66">
        <v>0</v>
      </c>
      <c r="N66">
        <v>0</v>
      </c>
      <c r="O66">
        <v>0</v>
      </c>
      <c r="P66">
        <v>0</v>
      </c>
      <c r="Q66">
        <v>12450966</v>
      </c>
      <c r="R66">
        <v>0</v>
      </c>
      <c r="S66">
        <v>0</v>
      </c>
      <c r="T66">
        <v>0</v>
      </c>
      <c r="U66">
        <v>0</v>
      </c>
      <c r="V66">
        <v>0</v>
      </c>
      <c r="W66">
        <v>0</v>
      </c>
      <c r="X66">
        <v>0</v>
      </c>
      <c r="Y66">
        <v>0</v>
      </c>
      <c r="Z66">
        <v>0</v>
      </c>
      <c r="AA66">
        <v>0</v>
      </c>
      <c r="AB66">
        <v>0</v>
      </c>
      <c r="AC66">
        <v>0</v>
      </c>
      <c r="AD66">
        <v>0</v>
      </c>
      <c r="AE66">
        <v>0</v>
      </c>
      <c r="AF66">
        <v>0</v>
      </c>
      <c r="AG66">
        <v>0</v>
      </c>
      <c r="AH66">
        <v>0</v>
      </c>
      <c r="AI66">
        <v>300444</v>
      </c>
      <c r="AJ66">
        <v>0</v>
      </c>
      <c r="AK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0</v>
      </c>
      <c r="BY66">
        <v>0</v>
      </c>
      <c r="BZ66">
        <v>0</v>
      </c>
      <c r="CA66">
        <v>0</v>
      </c>
      <c r="CB66">
        <v>0</v>
      </c>
      <c r="CD66">
        <v>0</v>
      </c>
    </row>
    <row r="67" spans="1:82" x14ac:dyDescent="0.3">
      <c r="A67" s="155">
        <v>193</v>
      </c>
      <c r="B67" t="s">
        <v>283</v>
      </c>
      <c r="D67">
        <v>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c r="AG67">
        <v>0</v>
      </c>
      <c r="AH67">
        <v>0</v>
      </c>
      <c r="AI67">
        <v>0</v>
      </c>
      <c r="AJ67">
        <v>0</v>
      </c>
      <c r="AK67">
        <v>0</v>
      </c>
      <c r="AM67">
        <v>0</v>
      </c>
      <c r="AN67">
        <v>0</v>
      </c>
      <c r="AO67">
        <v>0</v>
      </c>
      <c r="AP67">
        <v>0</v>
      </c>
      <c r="AQ67">
        <v>0</v>
      </c>
      <c r="AR67">
        <v>0</v>
      </c>
      <c r="AS67">
        <v>0</v>
      </c>
      <c r="AT67">
        <v>0</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0</v>
      </c>
      <c r="BY67">
        <v>0</v>
      </c>
      <c r="BZ67">
        <v>0</v>
      </c>
      <c r="CA67">
        <v>0</v>
      </c>
      <c r="CB67">
        <v>0</v>
      </c>
      <c r="CD67">
        <v>0</v>
      </c>
    </row>
    <row r="68" spans="1:82" x14ac:dyDescent="0.3">
      <c r="A68" s="155">
        <v>194</v>
      </c>
      <c r="B68" t="s">
        <v>918</v>
      </c>
      <c r="D68">
        <v>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0</v>
      </c>
      <c r="BY68">
        <v>0</v>
      </c>
      <c r="BZ68">
        <v>0</v>
      </c>
      <c r="CA68">
        <v>0</v>
      </c>
      <c r="CB68">
        <v>0</v>
      </c>
      <c r="CD68">
        <v>0</v>
      </c>
    </row>
    <row r="69" spans="1:82" x14ac:dyDescent="0.3">
      <c r="A69" s="155">
        <v>252</v>
      </c>
      <c r="B69" t="s">
        <v>95</v>
      </c>
      <c r="D69">
        <v>104981</v>
      </c>
      <c r="E69">
        <v>158479</v>
      </c>
      <c r="F69">
        <v>971858</v>
      </c>
      <c r="G69">
        <v>5911053</v>
      </c>
      <c r="H69">
        <v>2841088</v>
      </c>
      <c r="I69">
        <v>5969524</v>
      </c>
      <c r="J69">
        <v>8640</v>
      </c>
      <c r="K69">
        <v>1661867</v>
      </c>
      <c r="L69">
        <v>334020</v>
      </c>
      <c r="M69">
        <v>73883347</v>
      </c>
      <c r="N69">
        <v>391022</v>
      </c>
      <c r="O69">
        <v>5559439</v>
      </c>
      <c r="P69">
        <v>157331</v>
      </c>
      <c r="Q69">
        <v>74680776</v>
      </c>
      <c r="R69">
        <v>5444896</v>
      </c>
      <c r="S69">
        <v>123284</v>
      </c>
      <c r="T69">
        <v>88498363</v>
      </c>
      <c r="U69">
        <v>41466910</v>
      </c>
      <c r="V69">
        <v>27734431</v>
      </c>
      <c r="W69">
        <v>141253092</v>
      </c>
      <c r="X69">
        <v>254708</v>
      </c>
      <c r="Y69">
        <v>24748873</v>
      </c>
      <c r="Z69">
        <v>1668288</v>
      </c>
      <c r="AA69">
        <v>19883409</v>
      </c>
      <c r="AB69">
        <v>3110014</v>
      </c>
      <c r="AC69">
        <v>2703841</v>
      </c>
      <c r="AD69">
        <v>1051235</v>
      </c>
      <c r="AE69">
        <v>1575002</v>
      </c>
      <c r="AF69">
        <v>36284111</v>
      </c>
      <c r="AG69">
        <v>6640133</v>
      </c>
      <c r="AH69">
        <v>1956421</v>
      </c>
      <c r="AI69">
        <v>60008566</v>
      </c>
      <c r="AJ69">
        <v>4634362</v>
      </c>
      <c r="AK69">
        <v>2631843</v>
      </c>
      <c r="AM69">
        <v>12288198</v>
      </c>
      <c r="AN69">
        <v>302939</v>
      </c>
      <c r="AO69">
        <v>221528</v>
      </c>
      <c r="AP69">
        <v>91468</v>
      </c>
      <c r="AQ69">
        <v>12018527</v>
      </c>
      <c r="AR69">
        <v>40661294</v>
      </c>
      <c r="AS69">
        <v>136282</v>
      </c>
      <c r="AT69">
        <v>2578831</v>
      </c>
      <c r="AU69">
        <v>194452</v>
      </c>
      <c r="AV69">
        <v>25421901</v>
      </c>
      <c r="AW69">
        <v>6811082</v>
      </c>
      <c r="AX69">
        <v>3631545</v>
      </c>
      <c r="AY69">
        <v>11383304</v>
      </c>
      <c r="AZ69">
        <v>1901758</v>
      </c>
      <c r="BA69">
        <v>3088876</v>
      </c>
      <c r="BB69">
        <v>49931</v>
      </c>
      <c r="BC69">
        <v>50493</v>
      </c>
      <c r="BD69">
        <v>4419935</v>
      </c>
      <c r="BE69">
        <v>70036</v>
      </c>
      <c r="BF69">
        <v>126140</v>
      </c>
      <c r="BG69">
        <v>144100</v>
      </c>
      <c r="BH69">
        <v>90317</v>
      </c>
      <c r="BI69">
        <v>260500</v>
      </c>
      <c r="BJ69">
        <v>369771</v>
      </c>
      <c r="BK69">
        <v>4885490</v>
      </c>
      <c r="BL69">
        <v>348709</v>
      </c>
      <c r="BM69">
        <v>2084954</v>
      </c>
      <c r="BN69">
        <v>6441786</v>
      </c>
      <c r="BO69">
        <v>268758</v>
      </c>
      <c r="BP69">
        <v>1304598</v>
      </c>
      <c r="BQ69">
        <v>27420053</v>
      </c>
      <c r="BR69">
        <v>418698</v>
      </c>
      <c r="BS69">
        <v>31061342</v>
      </c>
      <c r="BT69">
        <v>721953</v>
      </c>
      <c r="BU69">
        <v>5233918</v>
      </c>
      <c r="BV69">
        <v>3305161</v>
      </c>
      <c r="BW69">
        <v>2670521</v>
      </c>
      <c r="BX69">
        <v>381949</v>
      </c>
      <c r="BY69">
        <v>322629</v>
      </c>
      <c r="BZ69">
        <v>949987</v>
      </c>
      <c r="CA69">
        <v>60086</v>
      </c>
      <c r="CB69">
        <v>533911</v>
      </c>
      <c r="CD69">
        <v>62000</v>
      </c>
    </row>
    <row r="70" spans="1:82" x14ac:dyDescent="0.3">
      <c r="A70" s="155">
        <v>253</v>
      </c>
      <c r="B70" t="s">
        <v>96</v>
      </c>
      <c r="D70">
        <v>83382</v>
      </c>
      <c r="E70">
        <v>41939</v>
      </c>
      <c r="F70">
        <v>231149</v>
      </c>
      <c r="G70">
        <v>698982</v>
      </c>
      <c r="H70">
        <v>259513</v>
      </c>
      <c r="I70">
        <v>349028</v>
      </c>
      <c r="J70">
        <v>11253</v>
      </c>
      <c r="K70">
        <v>62069</v>
      </c>
      <c r="L70">
        <v>32261</v>
      </c>
      <c r="M70">
        <v>3091255</v>
      </c>
      <c r="N70">
        <v>189256</v>
      </c>
      <c r="O70">
        <v>2916970</v>
      </c>
      <c r="P70">
        <v>13537</v>
      </c>
      <c r="Q70">
        <v>15706179</v>
      </c>
      <c r="R70">
        <v>239171</v>
      </c>
      <c r="S70">
        <v>4691</v>
      </c>
      <c r="T70">
        <v>20425638</v>
      </c>
      <c r="U70">
        <v>5312953</v>
      </c>
      <c r="V70">
        <v>6004691</v>
      </c>
      <c r="W70">
        <v>20773823</v>
      </c>
      <c r="X70">
        <v>162628</v>
      </c>
      <c r="Y70">
        <v>4598101</v>
      </c>
      <c r="Z70">
        <v>280716</v>
      </c>
      <c r="AA70">
        <v>3650401</v>
      </c>
      <c r="AB70">
        <v>1005246</v>
      </c>
      <c r="AC70">
        <v>329460</v>
      </c>
      <c r="AD70">
        <v>730297</v>
      </c>
      <c r="AE70">
        <v>821036</v>
      </c>
      <c r="AF70">
        <v>11184939</v>
      </c>
      <c r="AG70">
        <v>1145758</v>
      </c>
      <c r="AH70">
        <v>151571</v>
      </c>
      <c r="AI70">
        <v>16628350</v>
      </c>
      <c r="AJ70">
        <v>245235</v>
      </c>
      <c r="AK70">
        <v>104707</v>
      </c>
      <c r="AM70">
        <v>3482655</v>
      </c>
      <c r="AN70">
        <v>163099</v>
      </c>
      <c r="AO70">
        <v>135421</v>
      </c>
      <c r="AP70">
        <v>31308</v>
      </c>
      <c r="AQ70">
        <v>7403858</v>
      </c>
      <c r="AR70">
        <v>1137149</v>
      </c>
      <c r="AS70">
        <v>144037</v>
      </c>
      <c r="AT70">
        <v>592982</v>
      </c>
      <c r="AU70">
        <v>50416</v>
      </c>
      <c r="AV70">
        <v>18677358</v>
      </c>
      <c r="AW70">
        <v>222823</v>
      </c>
      <c r="AX70">
        <v>275463</v>
      </c>
      <c r="AY70">
        <v>438853</v>
      </c>
      <c r="AZ70">
        <v>166564</v>
      </c>
      <c r="BA70">
        <v>563924</v>
      </c>
      <c r="BB70">
        <v>0</v>
      </c>
      <c r="BC70">
        <v>149591</v>
      </c>
      <c r="BD70">
        <v>1113140</v>
      </c>
      <c r="BE70">
        <v>41842</v>
      </c>
      <c r="BF70">
        <v>126587</v>
      </c>
      <c r="BG70">
        <v>43136</v>
      </c>
      <c r="BH70">
        <v>7006</v>
      </c>
      <c r="BI70">
        <v>72003</v>
      </c>
      <c r="BJ70">
        <v>33351</v>
      </c>
      <c r="BK70">
        <v>972421</v>
      </c>
      <c r="BL70">
        <v>208407</v>
      </c>
      <c r="BM70">
        <v>664508</v>
      </c>
      <c r="BN70">
        <v>4503133</v>
      </c>
      <c r="BO70">
        <v>296872</v>
      </c>
      <c r="BP70">
        <v>467713</v>
      </c>
      <c r="BQ70">
        <v>2664564</v>
      </c>
      <c r="BR70">
        <v>371700</v>
      </c>
      <c r="BS70">
        <v>1613044</v>
      </c>
      <c r="BT70">
        <v>611142</v>
      </c>
      <c r="BU70">
        <v>1709852</v>
      </c>
      <c r="BV70">
        <v>1474023</v>
      </c>
      <c r="BW70">
        <v>417649</v>
      </c>
      <c r="BX70">
        <v>334665</v>
      </c>
      <c r="BY70">
        <v>138294</v>
      </c>
      <c r="BZ70">
        <v>425700</v>
      </c>
      <c r="CA70">
        <v>15978</v>
      </c>
      <c r="CB70">
        <v>184756</v>
      </c>
      <c r="CD70">
        <v>19721</v>
      </c>
    </row>
    <row r="71" spans="1:82" x14ac:dyDescent="0.3">
      <c r="A71" s="155">
        <v>254</v>
      </c>
      <c r="B71" t="s">
        <v>97</v>
      </c>
      <c r="D71">
        <v>42633</v>
      </c>
      <c r="E71">
        <v>150293</v>
      </c>
      <c r="F71">
        <v>685673</v>
      </c>
      <c r="G71">
        <v>4398800</v>
      </c>
      <c r="H71">
        <v>5958142</v>
      </c>
      <c r="I71">
        <v>4788994</v>
      </c>
      <c r="J71">
        <v>119064</v>
      </c>
      <c r="K71">
        <v>1008689</v>
      </c>
      <c r="L71">
        <v>1071085</v>
      </c>
      <c r="M71">
        <v>277196</v>
      </c>
      <c r="N71">
        <v>480813</v>
      </c>
      <c r="O71">
        <v>2883904</v>
      </c>
      <c r="P71">
        <v>307317</v>
      </c>
      <c r="Q71">
        <v>-8008077</v>
      </c>
      <c r="R71">
        <v>292731</v>
      </c>
      <c r="S71">
        <v>182899</v>
      </c>
      <c r="T71">
        <v>-4363745</v>
      </c>
      <c r="U71">
        <v>766201</v>
      </c>
      <c r="V71">
        <v>1884373</v>
      </c>
      <c r="W71">
        <v>9508947</v>
      </c>
      <c r="X71">
        <v>199080</v>
      </c>
      <c r="Y71">
        <v>9155883</v>
      </c>
      <c r="Z71">
        <v>1281986</v>
      </c>
      <c r="AA71">
        <v>8784646</v>
      </c>
      <c r="AB71">
        <v>628920</v>
      </c>
      <c r="AC71">
        <v>2432924</v>
      </c>
      <c r="AD71">
        <v>675802</v>
      </c>
      <c r="AE71">
        <v>3044707</v>
      </c>
      <c r="AF71">
        <v>4724498</v>
      </c>
      <c r="AG71">
        <v>4389507</v>
      </c>
      <c r="AH71">
        <v>1243719</v>
      </c>
      <c r="AI71">
        <v>-42640348</v>
      </c>
      <c r="AJ71">
        <v>3584847</v>
      </c>
      <c r="AK71">
        <v>654334</v>
      </c>
      <c r="AM71">
        <v>5833494</v>
      </c>
      <c r="AN71">
        <v>440433</v>
      </c>
      <c r="AO71">
        <v>532093</v>
      </c>
      <c r="AP71">
        <v>70417</v>
      </c>
      <c r="AQ71">
        <v>6316843</v>
      </c>
      <c r="AR71">
        <v>4182201</v>
      </c>
      <c r="AS71">
        <v>640240</v>
      </c>
      <c r="AT71">
        <v>983009</v>
      </c>
      <c r="AU71">
        <v>292110</v>
      </c>
      <c r="AV71">
        <v>2980501</v>
      </c>
      <c r="AW71">
        <v>3625028</v>
      </c>
      <c r="AX71">
        <v>596897</v>
      </c>
      <c r="AY71">
        <v>21026090</v>
      </c>
      <c r="AZ71">
        <v>1982089</v>
      </c>
      <c r="BA71">
        <v>737954</v>
      </c>
      <c r="BB71">
        <v>120922</v>
      </c>
      <c r="BC71">
        <v>664613</v>
      </c>
      <c r="BD71">
        <v>-1004585</v>
      </c>
      <c r="BE71">
        <v>623224</v>
      </c>
      <c r="BF71">
        <v>776153</v>
      </c>
      <c r="BG71">
        <v>172434</v>
      </c>
      <c r="BH71">
        <v>328241</v>
      </c>
      <c r="BI71">
        <v>457431</v>
      </c>
      <c r="BJ71">
        <v>245500</v>
      </c>
      <c r="BK71">
        <v>-480457</v>
      </c>
      <c r="BL71">
        <v>278537</v>
      </c>
      <c r="BM71">
        <v>-290803</v>
      </c>
      <c r="BN71">
        <v>1768028</v>
      </c>
      <c r="BO71">
        <v>832450</v>
      </c>
      <c r="BP71">
        <v>1982436</v>
      </c>
      <c r="BQ71">
        <v>7114828</v>
      </c>
      <c r="BR71">
        <v>71942</v>
      </c>
      <c r="BS71">
        <v>18262929</v>
      </c>
      <c r="BT71">
        <v>385606</v>
      </c>
      <c r="BU71">
        <v>3122932</v>
      </c>
      <c r="BV71">
        <v>843921</v>
      </c>
      <c r="BW71">
        <v>1009715</v>
      </c>
      <c r="BX71">
        <v>1127770</v>
      </c>
      <c r="BY71">
        <v>202353</v>
      </c>
      <c r="BZ71">
        <v>-492735</v>
      </c>
      <c r="CA71">
        <v>165799</v>
      </c>
      <c r="CB71">
        <v>259882</v>
      </c>
      <c r="CD71">
        <v>370299</v>
      </c>
    </row>
    <row r="72" spans="1:82" x14ac:dyDescent="0.3">
      <c r="A72" s="155">
        <v>255</v>
      </c>
      <c r="B72" t="s">
        <v>188</v>
      </c>
      <c r="D72">
        <v>-10944</v>
      </c>
      <c r="E72">
        <v>22777</v>
      </c>
      <c r="F72">
        <v>204687</v>
      </c>
      <c r="G72">
        <v>305761</v>
      </c>
      <c r="H72">
        <v>818790</v>
      </c>
      <c r="I72">
        <v>671023</v>
      </c>
      <c r="J72">
        <v>10656</v>
      </c>
      <c r="K72">
        <v>66884</v>
      </c>
      <c r="L72">
        <v>52304</v>
      </c>
      <c r="M72">
        <v>16964299</v>
      </c>
      <c r="N72">
        <v>44871</v>
      </c>
      <c r="O72">
        <v>116866</v>
      </c>
      <c r="P72">
        <v>6560</v>
      </c>
      <c r="Q72">
        <v>4361888</v>
      </c>
      <c r="R72">
        <v>263955</v>
      </c>
      <c r="S72">
        <v>-6626</v>
      </c>
      <c r="T72">
        <v>21507179</v>
      </c>
      <c r="U72">
        <v>3275505</v>
      </c>
      <c r="V72">
        <v>3011766</v>
      </c>
      <c r="W72">
        <v>-9013916</v>
      </c>
      <c r="X72">
        <v>36265</v>
      </c>
      <c r="Y72">
        <v>547579</v>
      </c>
      <c r="Z72">
        <v>145253</v>
      </c>
      <c r="AA72">
        <v>2273129</v>
      </c>
      <c r="AB72">
        <v>126097</v>
      </c>
      <c r="AC72">
        <v>477576</v>
      </c>
      <c r="AD72">
        <v>57126</v>
      </c>
      <c r="AE72">
        <v>205929</v>
      </c>
      <c r="AF72">
        <v>-2483816</v>
      </c>
      <c r="AG72">
        <v>178159</v>
      </c>
      <c r="AH72">
        <v>424897</v>
      </c>
      <c r="AI72">
        <v>-1537203</v>
      </c>
      <c r="AJ72">
        <v>1044121</v>
      </c>
      <c r="AK72">
        <v>31268</v>
      </c>
      <c r="AM72">
        <v>1719186</v>
      </c>
      <c r="AN72">
        <v>-30754</v>
      </c>
      <c r="AO72">
        <v>296164</v>
      </c>
      <c r="AP72">
        <v>6648</v>
      </c>
      <c r="AQ72">
        <v>53557</v>
      </c>
      <c r="AR72">
        <v>224647</v>
      </c>
      <c r="AS72">
        <v>134438</v>
      </c>
      <c r="AT72">
        <v>493852</v>
      </c>
      <c r="AU72">
        <v>-42373</v>
      </c>
      <c r="AV72">
        <v>-1463228</v>
      </c>
      <c r="AW72">
        <v>242408</v>
      </c>
      <c r="AX72">
        <v>-199900</v>
      </c>
      <c r="AY72">
        <v>2516592</v>
      </c>
      <c r="AZ72">
        <v>112054</v>
      </c>
      <c r="BA72">
        <v>2147703</v>
      </c>
      <c r="BB72">
        <v>10549</v>
      </c>
      <c r="BC72">
        <v>67241</v>
      </c>
      <c r="BD72">
        <v>-541704</v>
      </c>
      <c r="BE72">
        <v>-121574</v>
      </c>
      <c r="BF72">
        <v>75146</v>
      </c>
      <c r="BG72">
        <v>-8335</v>
      </c>
      <c r="BH72">
        <v>16619</v>
      </c>
      <c r="BI72">
        <v>-6439</v>
      </c>
      <c r="BJ72">
        <v>41509</v>
      </c>
      <c r="BK72">
        <v>407553</v>
      </c>
      <c r="BL72">
        <v>114861</v>
      </c>
      <c r="BM72">
        <v>115152</v>
      </c>
      <c r="BN72">
        <v>974681</v>
      </c>
      <c r="BO72">
        <v>184293</v>
      </c>
      <c r="BP72">
        <v>313672</v>
      </c>
      <c r="BQ72">
        <v>1527004</v>
      </c>
      <c r="BR72">
        <v>-79643</v>
      </c>
      <c r="BS72">
        <v>5152156</v>
      </c>
      <c r="BT72">
        <v>13253</v>
      </c>
      <c r="BU72">
        <v>921825</v>
      </c>
      <c r="BV72">
        <v>26442</v>
      </c>
      <c r="BW72">
        <v>-315603</v>
      </c>
      <c r="BX72">
        <v>-48705</v>
      </c>
      <c r="BY72">
        <v>-3612</v>
      </c>
      <c r="BZ72">
        <v>11908</v>
      </c>
      <c r="CA72">
        <v>-19356</v>
      </c>
      <c r="CB72">
        <v>197064</v>
      </c>
      <c r="CD72">
        <v>6954</v>
      </c>
    </row>
    <row r="73" spans="1:82" x14ac:dyDescent="0.3">
      <c r="A73" s="155">
        <v>294</v>
      </c>
      <c r="B73" t="s">
        <v>919</v>
      </c>
      <c r="D73">
        <v>0</v>
      </c>
      <c r="E73">
        <v>0</v>
      </c>
      <c r="F73">
        <v>0</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0</v>
      </c>
      <c r="CB73">
        <v>0</v>
      </c>
      <c r="CD73">
        <v>0</v>
      </c>
    </row>
    <row r="74" spans="1:82" x14ac:dyDescent="0.3">
      <c r="A74" s="155">
        <v>327</v>
      </c>
      <c r="B74" t="s">
        <v>920</v>
      </c>
      <c r="D74">
        <v>59093</v>
      </c>
      <c r="E74">
        <v>0</v>
      </c>
      <c r="F74">
        <v>0</v>
      </c>
      <c r="G74">
        <v>0</v>
      </c>
      <c r="H74">
        <v>0</v>
      </c>
      <c r="I74">
        <v>0</v>
      </c>
      <c r="J74">
        <v>53983</v>
      </c>
      <c r="K74">
        <v>0</v>
      </c>
      <c r="L74">
        <v>0</v>
      </c>
      <c r="M74">
        <v>0</v>
      </c>
      <c r="N74">
        <v>0</v>
      </c>
      <c r="O74">
        <v>46446</v>
      </c>
      <c r="P74">
        <v>0</v>
      </c>
      <c r="Q74">
        <v>5619480</v>
      </c>
      <c r="R74">
        <v>367968</v>
      </c>
      <c r="S74">
        <v>0</v>
      </c>
      <c r="T74">
        <v>3881259</v>
      </c>
      <c r="U74">
        <v>2295234</v>
      </c>
      <c r="V74">
        <v>14979085</v>
      </c>
      <c r="W74">
        <v>0</v>
      </c>
      <c r="X74">
        <v>0</v>
      </c>
      <c r="Y74">
        <v>745155</v>
      </c>
      <c r="Z74">
        <v>4000</v>
      </c>
      <c r="AA74">
        <v>569712</v>
      </c>
      <c r="AB74">
        <v>23252</v>
      </c>
      <c r="AC74">
        <v>15684</v>
      </c>
      <c r="AD74">
        <v>882432</v>
      </c>
      <c r="AE74">
        <v>0</v>
      </c>
      <c r="AF74">
        <v>204205</v>
      </c>
      <c r="AG74">
        <v>514809</v>
      </c>
      <c r="AH74">
        <v>0</v>
      </c>
      <c r="AI74">
        <v>13241990</v>
      </c>
      <c r="AJ74">
        <v>6500</v>
      </c>
      <c r="AK74">
        <v>63005</v>
      </c>
      <c r="AM74">
        <v>210332</v>
      </c>
      <c r="AN74">
        <v>43291</v>
      </c>
      <c r="AO74">
        <v>0</v>
      </c>
      <c r="AP74">
        <v>0</v>
      </c>
      <c r="AQ74">
        <v>0</v>
      </c>
      <c r="AR74">
        <v>44618</v>
      </c>
      <c r="AS74">
        <v>0</v>
      </c>
      <c r="AT74">
        <v>552989</v>
      </c>
      <c r="AU74">
        <v>0</v>
      </c>
      <c r="AV74">
        <v>3735076</v>
      </c>
      <c r="AW74">
        <v>0</v>
      </c>
      <c r="AX74">
        <v>76640</v>
      </c>
      <c r="AY74">
        <v>1346936</v>
      </c>
      <c r="AZ74">
        <v>5006</v>
      </c>
      <c r="BA74">
        <v>0</v>
      </c>
      <c r="BB74">
        <v>0</v>
      </c>
      <c r="BC74">
        <v>0</v>
      </c>
      <c r="BD74">
        <v>217472</v>
      </c>
      <c r="BE74">
        <v>0</v>
      </c>
      <c r="BF74">
        <v>0</v>
      </c>
      <c r="BG74">
        <v>662220</v>
      </c>
      <c r="BH74">
        <v>0</v>
      </c>
      <c r="BI74">
        <v>474</v>
      </c>
      <c r="BJ74">
        <v>0</v>
      </c>
      <c r="BK74">
        <v>140972</v>
      </c>
      <c r="BL74">
        <v>1078826</v>
      </c>
      <c r="BM74">
        <v>168864</v>
      </c>
      <c r="BN74">
        <v>0</v>
      </c>
      <c r="BO74">
        <v>39115</v>
      </c>
      <c r="BP74">
        <v>12100</v>
      </c>
      <c r="BQ74">
        <v>0</v>
      </c>
      <c r="BR74">
        <v>25500</v>
      </c>
      <c r="BS74">
        <v>0</v>
      </c>
      <c r="BT74">
        <v>341062</v>
      </c>
      <c r="BU74">
        <v>10200</v>
      </c>
      <c r="BV74">
        <v>0</v>
      </c>
      <c r="BW74">
        <v>107630</v>
      </c>
      <c r="BX74">
        <v>81232</v>
      </c>
      <c r="BY74">
        <v>0</v>
      </c>
      <c r="BZ74">
        <v>21695</v>
      </c>
      <c r="CA74">
        <v>49000</v>
      </c>
      <c r="CB74">
        <v>24280</v>
      </c>
      <c r="CD74">
        <v>0</v>
      </c>
    </row>
    <row r="75" spans="1:82" x14ac:dyDescent="0.3">
      <c r="A75" s="155">
        <v>328</v>
      </c>
      <c r="B75" t="s">
        <v>306</v>
      </c>
      <c r="D75">
        <v>0</v>
      </c>
      <c r="E75">
        <v>0</v>
      </c>
      <c r="F75">
        <v>0</v>
      </c>
      <c r="G75">
        <v>0</v>
      </c>
      <c r="H75">
        <v>0</v>
      </c>
      <c r="I75">
        <v>0</v>
      </c>
      <c r="J75">
        <v>0</v>
      </c>
      <c r="K75">
        <v>0</v>
      </c>
      <c r="L75">
        <v>0</v>
      </c>
      <c r="M75">
        <v>0</v>
      </c>
      <c r="N75">
        <v>0</v>
      </c>
      <c r="O75">
        <v>3889236</v>
      </c>
      <c r="P75">
        <v>0</v>
      </c>
      <c r="Q75">
        <v>998142</v>
      </c>
      <c r="R75">
        <v>0</v>
      </c>
      <c r="S75">
        <v>0</v>
      </c>
      <c r="T75">
        <v>19964007</v>
      </c>
      <c r="U75">
        <v>1988365</v>
      </c>
      <c r="V75">
        <v>83878</v>
      </c>
      <c r="W75">
        <v>0</v>
      </c>
      <c r="X75">
        <v>0</v>
      </c>
      <c r="Y75">
        <v>0</v>
      </c>
      <c r="Z75">
        <v>0</v>
      </c>
      <c r="AA75">
        <v>1840022</v>
      </c>
      <c r="AB75">
        <v>959426</v>
      </c>
      <c r="AC75">
        <v>56459</v>
      </c>
      <c r="AD75">
        <v>0</v>
      </c>
      <c r="AE75">
        <v>0</v>
      </c>
      <c r="AF75">
        <v>73721</v>
      </c>
      <c r="AG75">
        <v>2701021</v>
      </c>
      <c r="AH75">
        <v>0</v>
      </c>
      <c r="AI75">
        <v>2550211</v>
      </c>
      <c r="AJ75">
        <v>0</v>
      </c>
      <c r="AK75">
        <v>0</v>
      </c>
      <c r="AM75">
        <v>637927</v>
      </c>
      <c r="AN75">
        <v>0</v>
      </c>
      <c r="AO75">
        <v>0</v>
      </c>
      <c r="AP75">
        <v>0</v>
      </c>
      <c r="AQ75">
        <v>0</v>
      </c>
      <c r="AR75">
        <v>738041</v>
      </c>
      <c r="AS75">
        <v>0</v>
      </c>
      <c r="AT75">
        <v>915947</v>
      </c>
      <c r="AU75">
        <v>0</v>
      </c>
      <c r="AV75">
        <v>0</v>
      </c>
      <c r="AW75">
        <v>0</v>
      </c>
      <c r="AX75">
        <v>275955</v>
      </c>
      <c r="AY75">
        <v>0</v>
      </c>
      <c r="AZ75">
        <v>0</v>
      </c>
      <c r="BA75">
        <v>0</v>
      </c>
      <c r="BB75">
        <v>0</v>
      </c>
      <c r="BC75">
        <v>0</v>
      </c>
      <c r="BD75">
        <v>22606113</v>
      </c>
      <c r="BE75">
        <v>0</v>
      </c>
      <c r="BF75">
        <v>0</v>
      </c>
      <c r="BG75">
        <v>0</v>
      </c>
      <c r="BH75">
        <v>0</v>
      </c>
      <c r="BI75">
        <v>54000</v>
      </c>
      <c r="BJ75">
        <v>0</v>
      </c>
      <c r="BK75">
        <v>0</v>
      </c>
      <c r="BL75">
        <v>2406664</v>
      </c>
      <c r="BM75">
        <v>2884653</v>
      </c>
      <c r="BN75">
        <v>54534</v>
      </c>
      <c r="BO75">
        <v>779666</v>
      </c>
      <c r="BP75">
        <v>0</v>
      </c>
      <c r="BQ75">
        <v>0</v>
      </c>
      <c r="BR75">
        <v>1105201</v>
      </c>
      <c r="BS75">
        <v>0</v>
      </c>
      <c r="BT75">
        <v>109700</v>
      </c>
      <c r="BU75">
        <v>1713406</v>
      </c>
      <c r="BV75">
        <v>0</v>
      </c>
      <c r="BW75">
        <v>1958274</v>
      </c>
      <c r="BX75">
        <v>40000</v>
      </c>
      <c r="BY75">
        <v>0</v>
      </c>
      <c r="BZ75">
        <v>742050</v>
      </c>
      <c r="CA75">
        <v>0</v>
      </c>
      <c r="CB75">
        <v>48080</v>
      </c>
      <c r="CD75">
        <v>0</v>
      </c>
    </row>
    <row r="76" spans="1:82" x14ac:dyDescent="0.3">
      <c r="A76" s="155">
        <v>331</v>
      </c>
      <c r="B76" t="s">
        <v>238</v>
      </c>
      <c r="D76">
        <v>28000</v>
      </c>
      <c r="E76">
        <v>0</v>
      </c>
      <c r="F76">
        <v>4055</v>
      </c>
      <c r="G76">
        <v>0</v>
      </c>
      <c r="H76">
        <v>0</v>
      </c>
      <c r="I76">
        <v>0</v>
      </c>
      <c r="J76">
        <v>13000</v>
      </c>
      <c r="K76">
        <v>0</v>
      </c>
      <c r="L76">
        <v>0</v>
      </c>
      <c r="M76">
        <v>0</v>
      </c>
      <c r="N76">
        <v>0</v>
      </c>
      <c r="O76">
        <v>181500</v>
      </c>
      <c r="P76">
        <v>0</v>
      </c>
      <c r="Q76">
        <v>1195285</v>
      </c>
      <c r="R76">
        <v>68322</v>
      </c>
      <c r="S76">
        <v>0</v>
      </c>
      <c r="T76">
        <v>3909239</v>
      </c>
      <c r="U76">
        <v>1213750</v>
      </c>
      <c r="V76">
        <v>1835802</v>
      </c>
      <c r="W76">
        <v>0</v>
      </c>
      <c r="X76">
        <v>0</v>
      </c>
      <c r="Y76">
        <v>1207968</v>
      </c>
      <c r="Z76">
        <v>176750</v>
      </c>
      <c r="AA76">
        <v>299867</v>
      </c>
      <c r="AB76">
        <v>359732</v>
      </c>
      <c r="AC76">
        <v>155390</v>
      </c>
      <c r="AD76">
        <v>226700</v>
      </c>
      <c r="AE76">
        <v>72633</v>
      </c>
      <c r="AF76">
        <v>46430</v>
      </c>
      <c r="AG76">
        <v>45500</v>
      </c>
      <c r="AH76">
        <v>60320</v>
      </c>
      <c r="AI76">
        <v>4692493</v>
      </c>
      <c r="AJ76">
        <v>0</v>
      </c>
      <c r="AK76">
        <v>26533</v>
      </c>
      <c r="AM76">
        <v>939137</v>
      </c>
      <c r="AN76">
        <v>21000</v>
      </c>
      <c r="AO76">
        <v>38862</v>
      </c>
      <c r="AP76">
        <v>0</v>
      </c>
      <c r="AQ76">
        <v>0</v>
      </c>
      <c r="AR76">
        <v>488606</v>
      </c>
      <c r="AS76">
        <v>0</v>
      </c>
      <c r="AT76">
        <v>166155</v>
      </c>
      <c r="AU76">
        <v>0</v>
      </c>
      <c r="AV76">
        <v>3973739</v>
      </c>
      <c r="AW76">
        <v>0</v>
      </c>
      <c r="AX76">
        <v>70379</v>
      </c>
      <c r="AY76">
        <v>0</v>
      </c>
      <c r="AZ76">
        <v>33000</v>
      </c>
      <c r="BA76">
        <v>0</v>
      </c>
      <c r="BB76">
        <v>0</v>
      </c>
      <c r="BC76">
        <v>0</v>
      </c>
      <c r="BD76">
        <v>1053444</v>
      </c>
      <c r="BE76">
        <v>0</v>
      </c>
      <c r="BF76">
        <v>29802</v>
      </c>
      <c r="BG76">
        <v>0</v>
      </c>
      <c r="BH76">
        <v>0</v>
      </c>
      <c r="BI76">
        <v>5557</v>
      </c>
      <c r="BJ76">
        <v>0</v>
      </c>
      <c r="BK76">
        <v>243679</v>
      </c>
      <c r="BL76">
        <v>65000</v>
      </c>
      <c r="BM76">
        <v>117101</v>
      </c>
      <c r="BN76">
        <v>154000</v>
      </c>
      <c r="BO76">
        <v>27120</v>
      </c>
      <c r="BP76">
        <v>0</v>
      </c>
      <c r="BQ76">
        <v>0</v>
      </c>
      <c r="BR76">
        <v>29252</v>
      </c>
      <c r="BS76">
        <v>0</v>
      </c>
      <c r="BT76">
        <v>40943</v>
      </c>
      <c r="BU76">
        <v>121706</v>
      </c>
      <c r="BV76">
        <v>0</v>
      </c>
      <c r="BW76">
        <v>173160</v>
      </c>
      <c r="BX76">
        <v>0</v>
      </c>
      <c r="BY76">
        <v>0</v>
      </c>
      <c r="BZ76">
        <v>35083</v>
      </c>
      <c r="CA76">
        <v>8000</v>
      </c>
      <c r="CB76">
        <v>89419</v>
      </c>
      <c r="CD76">
        <v>0</v>
      </c>
    </row>
    <row r="77" spans="1:82" x14ac:dyDescent="0.3">
      <c r="A77" s="155">
        <v>332</v>
      </c>
      <c r="B77" t="s">
        <v>239</v>
      </c>
      <c r="D77">
        <v>0</v>
      </c>
      <c r="E77">
        <v>0</v>
      </c>
      <c r="F77">
        <v>1961037</v>
      </c>
      <c r="G77">
        <v>0</v>
      </c>
      <c r="H77">
        <v>0</v>
      </c>
      <c r="I77">
        <v>0</v>
      </c>
      <c r="J77">
        <v>0</v>
      </c>
      <c r="K77">
        <v>0</v>
      </c>
      <c r="L77">
        <v>0</v>
      </c>
      <c r="M77">
        <v>0</v>
      </c>
      <c r="N77">
        <v>0</v>
      </c>
      <c r="O77">
        <v>426861</v>
      </c>
      <c r="P77">
        <v>0</v>
      </c>
      <c r="Q77">
        <v>8704969</v>
      </c>
      <c r="R77">
        <v>13177</v>
      </c>
      <c r="S77">
        <v>0</v>
      </c>
      <c r="T77">
        <v>6037273</v>
      </c>
      <c r="U77">
        <v>977719</v>
      </c>
      <c r="V77">
        <v>1477872</v>
      </c>
      <c r="W77">
        <v>0</v>
      </c>
      <c r="X77">
        <v>83512</v>
      </c>
      <c r="Y77">
        <v>2694501</v>
      </c>
      <c r="Z77">
        <v>1122976</v>
      </c>
      <c r="AA77">
        <v>2141418</v>
      </c>
      <c r="AB77">
        <v>717378</v>
      </c>
      <c r="AC77">
        <v>56458</v>
      </c>
      <c r="AD77">
        <v>68257</v>
      </c>
      <c r="AE77">
        <v>701104</v>
      </c>
      <c r="AF77">
        <v>424649</v>
      </c>
      <c r="AG77">
        <v>0</v>
      </c>
      <c r="AH77">
        <v>0</v>
      </c>
      <c r="AI77">
        <v>1713423</v>
      </c>
      <c r="AJ77">
        <v>0</v>
      </c>
      <c r="AK77">
        <v>120906</v>
      </c>
      <c r="AM77">
        <v>1597507</v>
      </c>
      <c r="AN77">
        <v>43201</v>
      </c>
      <c r="AO77">
        <v>0</v>
      </c>
      <c r="AP77">
        <v>0</v>
      </c>
      <c r="AQ77">
        <v>0</v>
      </c>
      <c r="AR77">
        <v>401486</v>
      </c>
      <c r="AS77">
        <v>0</v>
      </c>
      <c r="AT77">
        <v>548316</v>
      </c>
      <c r="AU77">
        <v>0</v>
      </c>
      <c r="AV77">
        <v>453008</v>
      </c>
      <c r="AW77">
        <v>0</v>
      </c>
      <c r="AX77">
        <v>392061</v>
      </c>
      <c r="AY77">
        <v>425339</v>
      </c>
      <c r="AZ77">
        <v>62559</v>
      </c>
      <c r="BA77">
        <v>0</v>
      </c>
      <c r="BB77">
        <v>0</v>
      </c>
      <c r="BC77">
        <v>0</v>
      </c>
      <c r="BD77">
        <v>10522172</v>
      </c>
      <c r="BE77">
        <v>0</v>
      </c>
      <c r="BF77">
        <v>43247</v>
      </c>
      <c r="BG77">
        <v>0</v>
      </c>
      <c r="BH77">
        <v>0</v>
      </c>
      <c r="BI77">
        <v>0</v>
      </c>
      <c r="BJ77">
        <v>0</v>
      </c>
      <c r="BK77">
        <v>1510112</v>
      </c>
      <c r="BL77">
        <v>1359401</v>
      </c>
      <c r="BM77">
        <v>1868264</v>
      </c>
      <c r="BN77">
        <v>195246</v>
      </c>
      <c r="BO77">
        <v>807234</v>
      </c>
      <c r="BP77">
        <v>2936</v>
      </c>
      <c r="BQ77">
        <v>0</v>
      </c>
      <c r="BR77">
        <v>316220</v>
      </c>
      <c r="BS77">
        <v>0</v>
      </c>
      <c r="BT77">
        <v>115996</v>
      </c>
      <c r="BU77">
        <v>280676</v>
      </c>
      <c r="BV77">
        <v>0</v>
      </c>
      <c r="BW77">
        <v>1707735</v>
      </c>
      <c r="BX77">
        <v>58726</v>
      </c>
      <c r="BY77">
        <v>0</v>
      </c>
      <c r="BZ77">
        <v>518095</v>
      </c>
      <c r="CA77">
        <v>0</v>
      </c>
      <c r="CB77">
        <v>6244</v>
      </c>
      <c r="CD77">
        <v>0</v>
      </c>
    </row>
    <row r="78" spans="1:82" x14ac:dyDescent="0.3">
      <c r="A78" s="155">
        <v>333</v>
      </c>
      <c r="B78" t="s">
        <v>176</v>
      </c>
      <c r="D78">
        <v>97169</v>
      </c>
      <c r="E78">
        <v>153936</v>
      </c>
      <c r="F78">
        <v>776967</v>
      </c>
      <c r="G78">
        <v>4484976</v>
      </c>
      <c r="H78">
        <v>6013962</v>
      </c>
      <c r="I78">
        <v>4872760</v>
      </c>
      <c r="J78">
        <v>116594</v>
      </c>
      <c r="K78">
        <v>1002638</v>
      </c>
      <c r="L78">
        <v>1076012</v>
      </c>
      <c r="M78">
        <v>8615163</v>
      </c>
      <c r="N78">
        <v>620072</v>
      </c>
      <c r="O78">
        <v>5001158</v>
      </c>
      <c r="P78">
        <v>306966</v>
      </c>
      <c r="Q78">
        <v>45394938</v>
      </c>
      <c r="R78">
        <v>708062</v>
      </c>
      <c r="S78">
        <v>175268</v>
      </c>
      <c r="T78">
        <v>64116907</v>
      </c>
      <c r="U78">
        <v>10813453</v>
      </c>
      <c r="V78">
        <v>27769339</v>
      </c>
      <c r="W78">
        <v>32432344</v>
      </c>
      <c r="X78">
        <v>159736</v>
      </c>
      <c r="Y78">
        <v>15359372</v>
      </c>
      <c r="Z78">
        <v>1466150</v>
      </c>
      <c r="AA78">
        <v>16015017</v>
      </c>
      <c r="AB78">
        <v>1569031</v>
      </c>
      <c r="AC78">
        <v>2578198</v>
      </c>
      <c r="AD78">
        <v>1471330</v>
      </c>
      <c r="AE78">
        <v>3943770</v>
      </c>
      <c r="AF78">
        <v>15290909</v>
      </c>
      <c r="AG78">
        <v>6600522</v>
      </c>
      <c r="AH78">
        <v>1022469</v>
      </c>
      <c r="AI78">
        <v>22448687</v>
      </c>
      <c r="AJ78">
        <v>3612031</v>
      </c>
      <c r="AK78">
        <v>901053</v>
      </c>
      <c r="AM78">
        <v>11602166</v>
      </c>
      <c r="AN78">
        <v>593052</v>
      </c>
      <c r="AO78">
        <v>520977</v>
      </c>
      <c r="AP78">
        <v>70417</v>
      </c>
      <c r="AQ78">
        <v>7461672</v>
      </c>
      <c r="AR78">
        <v>20163660</v>
      </c>
      <c r="AS78">
        <v>700908</v>
      </c>
      <c r="AT78">
        <v>1690652</v>
      </c>
      <c r="AU78">
        <v>265860</v>
      </c>
      <c r="AV78">
        <v>28658431</v>
      </c>
      <c r="AW78">
        <v>3828267</v>
      </c>
      <c r="AX78">
        <v>823897</v>
      </c>
      <c r="AY78">
        <v>22200915</v>
      </c>
      <c r="AZ78">
        <v>2269324</v>
      </c>
      <c r="BA78">
        <v>853307</v>
      </c>
      <c r="BB78">
        <v>120922</v>
      </c>
      <c r="BC78">
        <v>476417</v>
      </c>
      <c r="BD78">
        <v>7203443</v>
      </c>
      <c r="BE78">
        <v>626070</v>
      </c>
      <c r="BF78">
        <v>769225</v>
      </c>
      <c r="BG78">
        <v>223870</v>
      </c>
      <c r="BH78">
        <v>328990</v>
      </c>
      <c r="BI78">
        <v>449011</v>
      </c>
      <c r="BJ78">
        <v>247980</v>
      </c>
      <c r="BK78">
        <v>2163911</v>
      </c>
      <c r="BL78">
        <v>432254</v>
      </c>
      <c r="BM78">
        <v>116435</v>
      </c>
      <c r="BN78">
        <v>6460039</v>
      </c>
      <c r="BO78">
        <v>1238015</v>
      </c>
      <c r="BP78">
        <v>2155832</v>
      </c>
      <c r="BQ78">
        <v>12525504</v>
      </c>
      <c r="BR78">
        <v>362888</v>
      </c>
      <c r="BS78">
        <v>26165429</v>
      </c>
      <c r="BT78">
        <v>543262</v>
      </c>
      <c r="BU78">
        <v>6526116</v>
      </c>
      <c r="BV78">
        <v>2275688</v>
      </c>
      <c r="BW78">
        <v>1177454</v>
      </c>
      <c r="BX78">
        <v>1793365</v>
      </c>
      <c r="BY78">
        <v>211452</v>
      </c>
      <c r="BZ78">
        <v>665014</v>
      </c>
      <c r="CA78">
        <v>172989</v>
      </c>
      <c r="CB78">
        <v>526196</v>
      </c>
      <c r="CD78">
        <v>388389</v>
      </c>
    </row>
    <row r="79" spans="1:82" x14ac:dyDescent="0.3">
      <c r="A79" s="155">
        <v>334</v>
      </c>
      <c r="B79" t="s">
        <v>261</v>
      </c>
      <c r="D79">
        <v>510288</v>
      </c>
      <c r="E79">
        <v>237086</v>
      </c>
      <c r="F79">
        <v>2072152</v>
      </c>
      <c r="G79">
        <v>7750095</v>
      </c>
      <c r="H79">
        <v>1899016</v>
      </c>
      <c r="I79">
        <v>5096732</v>
      </c>
      <c r="J79">
        <v>63968</v>
      </c>
      <c r="K79">
        <v>1142611</v>
      </c>
      <c r="L79">
        <v>634115</v>
      </c>
      <c r="M79">
        <v>95274631</v>
      </c>
      <c r="N79">
        <v>737777</v>
      </c>
      <c r="O79">
        <v>13713648</v>
      </c>
      <c r="P79">
        <v>244822</v>
      </c>
      <c r="Q79">
        <v>162854882</v>
      </c>
      <c r="R79">
        <v>6720503</v>
      </c>
      <c r="S79">
        <v>293148</v>
      </c>
      <c r="T79">
        <v>185281073</v>
      </c>
      <c r="U79">
        <v>53883837</v>
      </c>
      <c r="V79">
        <v>100140095</v>
      </c>
      <c r="W79">
        <v>159338916</v>
      </c>
      <c r="X79">
        <v>477299</v>
      </c>
      <c r="Y79">
        <v>49937848</v>
      </c>
      <c r="Z79">
        <v>3063835</v>
      </c>
      <c r="AA79">
        <v>32707675</v>
      </c>
      <c r="AB79">
        <v>10913355</v>
      </c>
      <c r="AC79">
        <v>6094450</v>
      </c>
      <c r="AD79">
        <v>0</v>
      </c>
      <c r="AE79">
        <v>7012815</v>
      </c>
      <c r="AF79">
        <v>110750447</v>
      </c>
      <c r="AG79">
        <v>12276797</v>
      </c>
      <c r="AH79">
        <v>3551207</v>
      </c>
      <c r="AI79">
        <v>92185738</v>
      </c>
      <c r="AJ79">
        <v>5542114</v>
      </c>
      <c r="AK79">
        <v>2709104</v>
      </c>
      <c r="AM79">
        <v>39613005</v>
      </c>
      <c r="AN79">
        <v>699381</v>
      </c>
      <c r="AO79">
        <v>759102</v>
      </c>
      <c r="AP79">
        <v>147732</v>
      </c>
      <c r="AQ79">
        <v>36363715</v>
      </c>
      <c r="AR79">
        <v>49389765</v>
      </c>
      <c r="AS79">
        <v>454530</v>
      </c>
      <c r="AT79">
        <v>3947660</v>
      </c>
      <c r="AU79">
        <v>444449</v>
      </c>
      <c r="AV79">
        <v>31599939</v>
      </c>
      <c r="AW79">
        <v>6688497</v>
      </c>
      <c r="AX79">
        <v>5797297</v>
      </c>
      <c r="AY79">
        <v>13206175</v>
      </c>
      <c r="AZ79">
        <v>3331554</v>
      </c>
      <c r="BA79">
        <v>1401199</v>
      </c>
      <c r="BB79">
        <v>0</v>
      </c>
      <c r="BC79">
        <v>25133</v>
      </c>
      <c r="BD79">
        <v>16996398</v>
      </c>
      <c r="BE79">
        <v>89074</v>
      </c>
      <c r="BF79">
        <v>388338</v>
      </c>
      <c r="BG79">
        <v>363051</v>
      </c>
      <c r="BH79">
        <v>172599</v>
      </c>
      <c r="BI79">
        <v>562574</v>
      </c>
      <c r="BJ79">
        <v>234978</v>
      </c>
      <c r="BK79">
        <v>10324309</v>
      </c>
      <c r="BL79">
        <v>879906</v>
      </c>
      <c r="BM79">
        <v>705776</v>
      </c>
      <c r="BN79">
        <v>9943269</v>
      </c>
      <c r="BO79">
        <v>2615436</v>
      </c>
      <c r="BP79">
        <v>5143931</v>
      </c>
      <c r="BQ79">
        <v>46094517</v>
      </c>
      <c r="BR79">
        <v>1996776</v>
      </c>
      <c r="BS79">
        <v>42073147</v>
      </c>
      <c r="BT79">
        <v>2570310</v>
      </c>
      <c r="BU79">
        <v>6276281</v>
      </c>
      <c r="BV79">
        <v>3283761</v>
      </c>
      <c r="BW79">
        <v>6841418</v>
      </c>
      <c r="BX79">
        <v>1011161</v>
      </c>
      <c r="BY79">
        <v>183210</v>
      </c>
      <c r="BZ79">
        <v>514166</v>
      </c>
      <c r="CA79">
        <v>112137</v>
      </c>
      <c r="CB79">
        <v>2196082</v>
      </c>
      <c r="CD79">
        <v>199375</v>
      </c>
    </row>
    <row r="80" spans="1:82" x14ac:dyDescent="0.3">
      <c r="A80" s="155">
        <v>335</v>
      </c>
      <c r="B80" t="s">
        <v>109</v>
      </c>
      <c r="D80">
        <v>0</v>
      </c>
      <c r="E80">
        <v>0</v>
      </c>
      <c r="F80">
        <v>0</v>
      </c>
      <c r="G80">
        <v>0</v>
      </c>
      <c r="H80">
        <v>0</v>
      </c>
      <c r="I80">
        <v>0</v>
      </c>
      <c r="J80">
        <v>0</v>
      </c>
      <c r="K80">
        <v>0</v>
      </c>
      <c r="L80">
        <v>0</v>
      </c>
      <c r="M80">
        <v>0</v>
      </c>
      <c r="N80">
        <v>0</v>
      </c>
      <c r="O80">
        <v>0</v>
      </c>
      <c r="P80">
        <v>0</v>
      </c>
      <c r="Q80">
        <v>2084</v>
      </c>
      <c r="R80">
        <v>0</v>
      </c>
      <c r="S80">
        <v>0</v>
      </c>
      <c r="T80">
        <v>471387</v>
      </c>
      <c r="U80">
        <v>25176</v>
      </c>
      <c r="V80">
        <v>0</v>
      </c>
      <c r="W80">
        <v>0</v>
      </c>
      <c r="X80">
        <v>0</v>
      </c>
      <c r="Y80">
        <v>69015</v>
      </c>
      <c r="Z80">
        <v>0</v>
      </c>
      <c r="AA80">
        <v>0</v>
      </c>
      <c r="AB80">
        <v>0</v>
      </c>
      <c r="AC80">
        <v>0</v>
      </c>
      <c r="AD80">
        <v>0</v>
      </c>
      <c r="AE80">
        <v>0</v>
      </c>
      <c r="AF80">
        <v>13402</v>
      </c>
      <c r="AG80">
        <v>0</v>
      </c>
      <c r="AH80">
        <v>0</v>
      </c>
      <c r="AI80">
        <v>0</v>
      </c>
      <c r="AJ80">
        <v>0</v>
      </c>
      <c r="AK80">
        <v>0</v>
      </c>
      <c r="AM80">
        <v>0</v>
      </c>
      <c r="AN80">
        <v>0</v>
      </c>
      <c r="AO80">
        <v>0</v>
      </c>
      <c r="AP80">
        <v>0</v>
      </c>
      <c r="AQ80">
        <v>0</v>
      </c>
      <c r="AR80">
        <v>0</v>
      </c>
      <c r="AS80">
        <v>0</v>
      </c>
      <c r="AT80">
        <v>0</v>
      </c>
      <c r="AU80">
        <v>0</v>
      </c>
      <c r="AV80">
        <v>0</v>
      </c>
      <c r="AW80">
        <v>0</v>
      </c>
      <c r="AX80">
        <v>0</v>
      </c>
      <c r="AY80">
        <v>0</v>
      </c>
      <c r="AZ80">
        <v>0</v>
      </c>
      <c r="BA80">
        <v>0</v>
      </c>
      <c r="BB80">
        <v>0</v>
      </c>
      <c r="BC80">
        <v>0</v>
      </c>
      <c r="BD80">
        <v>0</v>
      </c>
      <c r="BE80">
        <v>0</v>
      </c>
      <c r="BF80">
        <v>0</v>
      </c>
      <c r="BG80">
        <v>0</v>
      </c>
      <c r="BH80">
        <v>0</v>
      </c>
      <c r="BI80">
        <v>0</v>
      </c>
      <c r="BJ80">
        <v>0</v>
      </c>
      <c r="BK80">
        <v>0</v>
      </c>
      <c r="BL80">
        <v>0</v>
      </c>
      <c r="BM80">
        <v>0</v>
      </c>
      <c r="BN80">
        <v>16230</v>
      </c>
      <c r="BO80">
        <v>0</v>
      </c>
      <c r="BP80">
        <v>0</v>
      </c>
      <c r="BQ80">
        <v>0</v>
      </c>
      <c r="BR80">
        <v>0</v>
      </c>
      <c r="BS80">
        <v>0</v>
      </c>
      <c r="BT80">
        <v>0</v>
      </c>
      <c r="BU80">
        <v>0</v>
      </c>
      <c r="BV80">
        <v>0</v>
      </c>
      <c r="BW80">
        <v>0</v>
      </c>
      <c r="BX80">
        <v>0</v>
      </c>
      <c r="BY80">
        <v>0</v>
      </c>
      <c r="BZ80">
        <v>382790</v>
      </c>
      <c r="CA80">
        <v>0</v>
      </c>
      <c r="CB80">
        <v>0</v>
      </c>
      <c r="CD80">
        <v>0</v>
      </c>
    </row>
    <row r="81" spans="1:82" x14ac:dyDescent="0.3">
      <c r="A81" s="155">
        <v>336</v>
      </c>
      <c r="B81" t="s">
        <v>921</v>
      </c>
      <c r="D81">
        <v>71865</v>
      </c>
      <c r="E81">
        <v>6984</v>
      </c>
      <c r="F81">
        <v>35382</v>
      </c>
      <c r="G81">
        <v>107014</v>
      </c>
      <c r="H81">
        <v>62428</v>
      </c>
      <c r="I81">
        <v>18514</v>
      </c>
      <c r="J81">
        <v>322</v>
      </c>
      <c r="K81">
        <v>1996</v>
      </c>
      <c r="L81">
        <v>6482</v>
      </c>
      <c r="M81">
        <v>1218202</v>
      </c>
      <c r="N81">
        <v>39205</v>
      </c>
      <c r="O81">
        <v>472333</v>
      </c>
      <c r="P81">
        <v>2011</v>
      </c>
      <c r="Q81">
        <v>4411757</v>
      </c>
      <c r="R81">
        <v>143018</v>
      </c>
      <c r="S81">
        <v>4092</v>
      </c>
      <c r="T81">
        <v>15098330</v>
      </c>
      <c r="U81">
        <v>2135132</v>
      </c>
      <c r="V81">
        <v>5216381</v>
      </c>
      <c r="W81">
        <v>5316677</v>
      </c>
      <c r="X81">
        <v>22361</v>
      </c>
      <c r="Y81">
        <v>1225587</v>
      </c>
      <c r="Z81">
        <v>32504</v>
      </c>
      <c r="AA81">
        <v>1354991</v>
      </c>
      <c r="AB81">
        <v>232349</v>
      </c>
      <c r="AC81">
        <v>147229</v>
      </c>
      <c r="AD81">
        <v>42516</v>
      </c>
      <c r="AE81">
        <v>145396</v>
      </c>
      <c r="AF81">
        <v>4490072</v>
      </c>
      <c r="AG81">
        <v>347220</v>
      </c>
      <c r="AH81">
        <v>11958</v>
      </c>
      <c r="AI81">
        <v>11227336</v>
      </c>
      <c r="AJ81">
        <v>14310</v>
      </c>
      <c r="AK81">
        <v>9169</v>
      </c>
      <c r="AM81">
        <v>2054755</v>
      </c>
      <c r="AN81">
        <v>30258</v>
      </c>
      <c r="AO81">
        <v>30036</v>
      </c>
      <c r="AP81">
        <v>0</v>
      </c>
      <c r="AQ81">
        <v>786919</v>
      </c>
      <c r="AR81">
        <v>336605</v>
      </c>
      <c r="AS81">
        <v>20677</v>
      </c>
      <c r="AT81">
        <v>97184</v>
      </c>
      <c r="AU81">
        <v>16678</v>
      </c>
      <c r="AV81">
        <v>340036</v>
      </c>
      <c r="AW81">
        <v>306985</v>
      </c>
      <c r="AX81">
        <v>35409</v>
      </c>
      <c r="AY81">
        <v>2557824</v>
      </c>
      <c r="AZ81">
        <v>129621</v>
      </c>
      <c r="BA81">
        <v>78484</v>
      </c>
      <c r="BB81">
        <v>0</v>
      </c>
      <c r="BC81">
        <v>44927</v>
      </c>
      <c r="BD81">
        <v>750813</v>
      </c>
      <c r="BE81">
        <v>2846</v>
      </c>
      <c r="BF81">
        <v>2804</v>
      </c>
      <c r="BG81">
        <v>13361</v>
      </c>
      <c r="BH81">
        <v>1121</v>
      </c>
      <c r="BI81">
        <v>2862</v>
      </c>
      <c r="BJ81">
        <v>82516</v>
      </c>
      <c r="BK81">
        <v>973721</v>
      </c>
      <c r="BL81">
        <v>23815</v>
      </c>
      <c r="BM81">
        <v>126337</v>
      </c>
      <c r="BN81">
        <v>368823</v>
      </c>
      <c r="BO81">
        <v>105533</v>
      </c>
      <c r="BP81">
        <v>107062</v>
      </c>
      <c r="BQ81">
        <v>1314991</v>
      </c>
      <c r="BR81">
        <v>48334</v>
      </c>
      <c r="BS81">
        <v>2029900</v>
      </c>
      <c r="BT81">
        <v>26953</v>
      </c>
      <c r="BU81">
        <v>370047</v>
      </c>
      <c r="BV81">
        <v>50002</v>
      </c>
      <c r="BW81">
        <v>187489</v>
      </c>
      <c r="BX81">
        <v>49597</v>
      </c>
      <c r="BY81">
        <v>2229</v>
      </c>
      <c r="BZ81">
        <v>117574</v>
      </c>
      <c r="CA81">
        <v>8136</v>
      </c>
      <c r="CB81">
        <v>109860</v>
      </c>
      <c r="CD81">
        <v>20738</v>
      </c>
    </row>
    <row r="82" spans="1:82" x14ac:dyDescent="0.3">
      <c r="A82" s="155">
        <v>337</v>
      </c>
      <c r="B82" t="s">
        <v>245</v>
      </c>
      <c r="D82">
        <v>3664</v>
      </c>
      <c r="E82">
        <v>0</v>
      </c>
      <c r="F82">
        <v>0</v>
      </c>
      <c r="G82">
        <v>0</v>
      </c>
      <c r="H82">
        <v>0</v>
      </c>
      <c r="I82">
        <v>0</v>
      </c>
      <c r="J82">
        <v>0</v>
      </c>
      <c r="K82">
        <v>0</v>
      </c>
      <c r="L82">
        <v>0</v>
      </c>
      <c r="M82">
        <v>1549131</v>
      </c>
      <c r="N82">
        <v>23402</v>
      </c>
      <c r="O82">
        <v>1530979</v>
      </c>
      <c r="P82">
        <v>0</v>
      </c>
      <c r="Q82">
        <v>14243670</v>
      </c>
      <c r="R82">
        <v>947666</v>
      </c>
      <c r="S82">
        <v>0</v>
      </c>
      <c r="T82">
        <v>78178908</v>
      </c>
      <c r="U82">
        <v>11132300</v>
      </c>
      <c r="V82">
        <v>5327951</v>
      </c>
      <c r="W82">
        <v>27747858</v>
      </c>
      <c r="X82">
        <v>0</v>
      </c>
      <c r="Y82">
        <v>252000</v>
      </c>
      <c r="Z82">
        <v>0</v>
      </c>
      <c r="AA82">
        <v>8601918</v>
      </c>
      <c r="AB82">
        <v>46488</v>
      </c>
      <c r="AC82">
        <v>658417</v>
      </c>
      <c r="AD82">
        <v>0</v>
      </c>
      <c r="AE82">
        <v>1670826</v>
      </c>
      <c r="AF82">
        <v>10398958</v>
      </c>
      <c r="AG82">
        <v>0</v>
      </c>
      <c r="AH82">
        <v>180869</v>
      </c>
      <c r="AI82">
        <v>10860233</v>
      </c>
      <c r="AJ82">
        <v>0</v>
      </c>
      <c r="AK82">
        <v>0</v>
      </c>
      <c r="AM82">
        <v>8094202</v>
      </c>
      <c r="AN82">
        <v>0</v>
      </c>
      <c r="AO82">
        <v>184881</v>
      </c>
      <c r="AP82">
        <v>0</v>
      </c>
      <c r="AQ82">
        <v>14665817</v>
      </c>
      <c r="AR82">
        <v>780325</v>
      </c>
      <c r="AS82">
        <v>0</v>
      </c>
      <c r="AT82">
        <v>328625</v>
      </c>
      <c r="AU82">
        <v>0</v>
      </c>
      <c r="AV82">
        <v>8035153</v>
      </c>
      <c r="AW82">
        <v>1260000</v>
      </c>
      <c r="AX82">
        <v>0</v>
      </c>
      <c r="AY82">
        <v>8303288</v>
      </c>
      <c r="AZ82">
        <v>23275</v>
      </c>
      <c r="BA82">
        <v>0</v>
      </c>
      <c r="BB82">
        <v>0</v>
      </c>
      <c r="BC82">
        <v>0</v>
      </c>
      <c r="BD82">
        <v>1817537</v>
      </c>
      <c r="BE82">
        <v>0</v>
      </c>
      <c r="BF82">
        <v>0</v>
      </c>
      <c r="BG82">
        <v>80991</v>
      </c>
      <c r="BH82">
        <v>0</v>
      </c>
      <c r="BI82">
        <v>0</v>
      </c>
      <c r="BJ82">
        <v>36458</v>
      </c>
      <c r="BK82">
        <v>2142481</v>
      </c>
      <c r="BL82">
        <v>0</v>
      </c>
      <c r="BM82">
        <v>212517</v>
      </c>
      <c r="BN82">
        <v>1023026</v>
      </c>
      <c r="BO82">
        <v>790847</v>
      </c>
      <c r="BP82">
        <v>1615854</v>
      </c>
      <c r="BQ82">
        <v>0</v>
      </c>
      <c r="BR82">
        <v>252171</v>
      </c>
      <c r="BS82">
        <v>21000000</v>
      </c>
      <c r="BT82">
        <v>135770</v>
      </c>
      <c r="BU82">
        <v>351568</v>
      </c>
      <c r="BV82">
        <v>0</v>
      </c>
      <c r="BW82">
        <v>351650</v>
      </c>
      <c r="BX82">
        <v>17719</v>
      </c>
      <c r="BY82">
        <v>0</v>
      </c>
      <c r="BZ82">
        <v>0</v>
      </c>
      <c r="CA82">
        <v>0</v>
      </c>
      <c r="CB82">
        <v>549985</v>
      </c>
      <c r="CD82">
        <v>0</v>
      </c>
    </row>
    <row r="83" spans="1:82" x14ac:dyDescent="0.3">
      <c r="A83" s="155">
        <v>338</v>
      </c>
      <c r="B83" t="s">
        <v>108</v>
      </c>
      <c r="D83">
        <v>129384</v>
      </c>
      <c r="E83">
        <v>6984</v>
      </c>
      <c r="F83">
        <v>348448</v>
      </c>
      <c r="G83">
        <v>766904</v>
      </c>
      <c r="H83">
        <v>80876</v>
      </c>
      <c r="I83">
        <v>281061</v>
      </c>
      <c r="J83">
        <v>322</v>
      </c>
      <c r="K83">
        <v>29582</v>
      </c>
      <c r="L83">
        <v>6482</v>
      </c>
      <c r="M83">
        <v>12699010</v>
      </c>
      <c r="N83">
        <v>282973</v>
      </c>
      <c r="O83">
        <v>4636566</v>
      </c>
      <c r="P83">
        <v>2011</v>
      </c>
      <c r="Q83">
        <v>74903404</v>
      </c>
      <c r="R83">
        <v>1617829</v>
      </c>
      <c r="S83">
        <v>4092</v>
      </c>
      <c r="T83">
        <v>175337710</v>
      </c>
      <c r="U83">
        <v>23393707</v>
      </c>
      <c r="V83">
        <v>34796695</v>
      </c>
      <c r="W83">
        <v>47901831</v>
      </c>
      <c r="X83">
        <v>32700</v>
      </c>
      <c r="Y83">
        <v>7385622</v>
      </c>
      <c r="Z83">
        <v>377475</v>
      </c>
      <c r="AA83">
        <v>18317159</v>
      </c>
      <c r="AB83">
        <v>1803811</v>
      </c>
      <c r="AC83">
        <v>895373</v>
      </c>
      <c r="AD83">
        <v>817948</v>
      </c>
      <c r="AE83">
        <v>2728206</v>
      </c>
      <c r="AF83">
        <v>21644882</v>
      </c>
      <c r="AG83">
        <v>3380917</v>
      </c>
      <c r="AH83">
        <v>514933</v>
      </c>
      <c r="AI83">
        <v>83285411</v>
      </c>
      <c r="AJ83">
        <v>38252</v>
      </c>
      <c r="AK83">
        <v>409350</v>
      </c>
      <c r="AM83">
        <v>15894092</v>
      </c>
      <c r="AN83">
        <v>254696</v>
      </c>
      <c r="AO83">
        <v>377817</v>
      </c>
      <c r="AP83">
        <v>0</v>
      </c>
      <c r="AQ83">
        <v>16414865</v>
      </c>
      <c r="AR83">
        <v>51718836</v>
      </c>
      <c r="AS83">
        <v>416084</v>
      </c>
      <c r="AT83">
        <v>1393497</v>
      </c>
      <c r="AU83">
        <v>27809</v>
      </c>
      <c r="AV83">
        <v>15866490</v>
      </c>
      <c r="AW83">
        <v>1602654</v>
      </c>
      <c r="AX83">
        <v>577826</v>
      </c>
      <c r="AY83">
        <v>11714033</v>
      </c>
      <c r="AZ83">
        <v>407415</v>
      </c>
      <c r="BA83">
        <v>267155</v>
      </c>
      <c r="BB83">
        <v>0</v>
      </c>
      <c r="BC83">
        <v>48002</v>
      </c>
      <c r="BD83">
        <v>12562868</v>
      </c>
      <c r="BE83">
        <v>2846</v>
      </c>
      <c r="BF83">
        <v>57551</v>
      </c>
      <c r="BG83">
        <v>96430</v>
      </c>
      <c r="BH83">
        <v>1121</v>
      </c>
      <c r="BI83">
        <v>31290</v>
      </c>
      <c r="BJ83">
        <v>100978</v>
      </c>
      <c r="BK83">
        <v>5587252</v>
      </c>
      <c r="BL83">
        <v>335152</v>
      </c>
      <c r="BM83">
        <v>850019</v>
      </c>
      <c r="BN83">
        <v>2631116</v>
      </c>
      <c r="BO83">
        <v>1317169</v>
      </c>
      <c r="BP83">
        <v>1945920</v>
      </c>
      <c r="BQ83">
        <v>7599334</v>
      </c>
      <c r="BR83">
        <v>803498</v>
      </c>
      <c r="BS83">
        <v>31167225</v>
      </c>
      <c r="BT83">
        <v>358588</v>
      </c>
      <c r="BU83">
        <v>4496995</v>
      </c>
      <c r="BV83">
        <v>50002</v>
      </c>
      <c r="BW83">
        <v>1081684</v>
      </c>
      <c r="BX83">
        <v>966952</v>
      </c>
      <c r="BY83">
        <v>9257</v>
      </c>
      <c r="BZ83">
        <v>1184068</v>
      </c>
      <c r="CA83">
        <v>8480</v>
      </c>
      <c r="CB83">
        <v>950056</v>
      </c>
      <c r="CD83">
        <v>40460</v>
      </c>
    </row>
    <row r="84" spans="1:82" x14ac:dyDescent="0.3">
      <c r="A84" s="155">
        <v>339</v>
      </c>
      <c r="B84" t="s">
        <v>181</v>
      </c>
      <c r="D84">
        <v>43350</v>
      </c>
      <c r="E84">
        <v>12160</v>
      </c>
      <c r="F84">
        <v>230198</v>
      </c>
      <c r="G84">
        <v>22440</v>
      </c>
      <c r="H84">
        <v>0</v>
      </c>
      <c r="I84">
        <v>14475</v>
      </c>
      <c r="J84">
        <v>0</v>
      </c>
      <c r="K84">
        <v>5085</v>
      </c>
      <c r="L84">
        <v>3985</v>
      </c>
      <c r="M84">
        <v>0</v>
      </c>
      <c r="N84">
        <v>247200</v>
      </c>
      <c r="O84">
        <v>210519</v>
      </c>
      <c r="P84">
        <v>590</v>
      </c>
      <c r="Q84">
        <v>10310804</v>
      </c>
      <c r="R84">
        <v>68427</v>
      </c>
      <c r="S84">
        <v>0</v>
      </c>
      <c r="T84">
        <v>6232685</v>
      </c>
      <c r="U84">
        <v>2066960</v>
      </c>
      <c r="V84">
        <v>7703971</v>
      </c>
      <c r="W84">
        <v>2720674</v>
      </c>
      <c r="X84">
        <v>52219</v>
      </c>
      <c r="Y84">
        <v>817564</v>
      </c>
      <c r="Z84">
        <v>108317</v>
      </c>
      <c r="AA84">
        <v>1017307</v>
      </c>
      <c r="AB84">
        <v>669426</v>
      </c>
      <c r="AC84">
        <v>34296</v>
      </c>
      <c r="AD84">
        <v>318638</v>
      </c>
      <c r="AE84">
        <v>30872</v>
      </c>
      <c r="AF84">
        <v>457203</v>
      </c>
      <c r="AG84">
        <v>869477</v>
      </c>
      <c r="AH84">
        <v>4226</v>
      </c>
      <c r="AI84">
        <v>2016749</v>
      </c>
      <c r="AJ84">
        <v>6255</v>
      </c>
      <c r="AK84">
        <v>83828</v>
      </c>
      <c r="AM84">
        <v>1701593</v>
      </c>
      <c r="AN84">
        <v>49079</v>
      </c>
      <c r="AO84">
        <v>968</v>
      </c>
      <c r="AP84">
        <v>10456</v>
      </c>
      <c r="AQ84">
        <v>1184587</v>
      </c>
      <c r="AR84">
        <v>462813</v>
      </c>
      <c r="AS84">
        <v>261</v>
      </c>
      <c r="AT84">
        <v>164265</v>
      </c>
      <c r="AU84">
        <v>1000</v>
      </c>
      <c r="AV84">
        <v>2475519</v>
      </c>
      <c r="AW84">
        <v>47367</v>
      </c>
      <c r="AX84">
        <v>191248</v>
      </c>
      <c r="AY84">
        <v>3616172</v>
      </c>
      <c r="AZ84">
        <v>54011</v>
      </c>
      <c r="BA84">
        <v>128805</v>
      </c>
      <c r="BB84">
        <v>0</v>
      </c>
      <c r="BC84">
        <v>26305</v>
      </c>
      <c r="BD84">
        <v>2413513</v>
      </c>
      <c r="BE84">
        <v>24237</v>
      </c>
      <c r="BF84">
        <v>63148</v>
      </c>
      <c r="BG84">
        <v>0</v>
      </c>
      <c r="BH84">
        <v>0</v>
      </c>
      <c r="BI84">
        <v>33099</v>
      </c>
      <c r="BJ84">
        <v>5316</v>
      </c>
      <c r="BK84">
        <v>599247</v>
      </c>
      <c r="BL84">
        <v>118869</v>
      </c>
      <c r="BM84">
        <v>444250</v>
      </c>
      <c r="BN84">
        <v>895349</v>
      </c>
      <c r="BO84">
        <v>268537</v>
      </c>
      <c r="BP84">
        <v>31364</v>
      </c>
      <c r="BQ84">
        <v>1505250</v>
      </c>
      <c r="BR84">
        <v>151298</v>
      </c>
      <c r="BS84">
        <v>927828</v>
      </c>
      <c r="BT84">
        <v>128588</v>
      </c>
      <c r="BU84">
        <v>721009</v>
      </c>
      <c r="BV84">
        <v>87344</v>
      </c>
      <c r="BW84">
        <v>166107</v>
      </c>
      <c r="BX84">
        <v>47123</v>
      </c>
      <c r="BY84">
        <v>0</v>
      </c>
      <c r="BZ84">
        <v>0</v>
      </c>
      <c r="CA84">
        <v>20593</v>
      </c>
      <c r="CB84">
        <v>190666</v>
      </c>
      <c r="CD84">
        <v>0</v>
      </c>
    </row>
    <row r="85" spans="1:82" x14ac:dyDescent="0.3">
      <c r="A85" s="155">
        <v>341</v>
      </c>
      <c r="B85" t="s">
        <v>922</v>
      </c>
      <c r="D85">
        <v>255377</v>
      </c>
      <c r="E85">
        <v>53328</v>
      </c>
      <c r="F85">
        <v>668441</v>
      </c>
      <c r="G85">
        <v>2169791</v>
      </c>
      <c r="H85">
        <v>1873515</v>
      </c>
      <c r="I85">
        <v>4451356</v>
      </c>
      <c r="J85">
        <v>86772</v>
      </c>
      <c r="K85">
        <v>357438</v>
      </c>
      <c r="L85">
        <v>213042</v>
      </c>
      <c r="M85">
        <v>15103257</v>
      </c>
      <c r="N85">
        <v>298327</v>
      </c>
      <c r="O85">
        <v>4936610</v>
      </c>
      <c r="P85">
        <v>89450</v>
      </c>
      <c r="Q85">
        <v>39597108</v>
      </c>
      <c r="R85">
        <v>1635680</v>
      </c>
      <c r="S85">
        <v>26916</v>
      </c>
      <c r="T85">
        <v>67928839</v>
      </c>
      <c r="U85">
        <v>14003305</v>
      </c>
      <c r="V85">
        <v>19099504</v>
      </c>
      <c r="W85">
        <v>33713374</v>
      </c>
      <c r="X85">
        <v>232395</v>
      </c>
      <c r="Y85">
        <v>12952815</v>
      </c>
      <c r="Z85">
        <v>1040058</v>
      </c>
      <c r="AA85">
        <v>13706538</v>
      </c>
      <c r="AB85">
        <v>3742477</v>
      </c>
      <c r="AC85">
        <v>1402981</v>
      </c>
      <c r="AD85">
        <v>1605509</v>
      </c>
      <c r="AE85">
        <v>2488787</v>
      </c>
      <c r="AF85">
        <v>20140859</v>
      </c>
      <c r="AG85">
        <v>4618926</v>
      </c>
      <c r="AH85">
        <v>1087995</v>
      </c>
      <c r="AI85">
        <v>31700434</v>
      </c>
      <c r="AJ85">
        <v>912472</v>
      </c>
      <c r="AK85">
        <v>894127</v>
      </c>
      <c r="AM85">
        <v>13306061</v>
      </c>
      <c r="AN85">
        <v>554834</v>
      </c>
      <c r="AO85">
        <v>850946</v>
      </c>
      <c r="AP85">
        <v>4563</v>
      </c>
      <c r="AQ85">
        <v>8866119</v>
      </c>
      <c r="AR85">
        <v>6549146</v>
      </c>
      <c r="AS85">
        <v>451949</v>
      </c>
      <c r="AT85">
        <v>2333104</v>
      </c>
      <c r="AU85">
        <v>131638</v>
      </c>
      <c r="AV85">
        <v>15533823</v>
      </c>
      <c r="AW85">
        <v>1766847</v>
      </c>
      <c r="AX85">
        <v>1547231</v>
      </c>
      <c r="AY85">
        <v>8037634</v>
      </c>
      <c r="AZ85">
        <v>916901</v>
      </c>
      <c r="BA85">
        <v>910170</v>
      </c>
      <c r="BB85">
        <v>33689</v>
      </c>
      <c r="BC85">
        <v>264273</v>
      </c>
      <c r="BD85">
        <v>6874468</v>
      </c>
      <c r="BE85">
        <v>115073</v>
      </c>
      <c r="BF85">
        <v>342617</v>
      </c>
      <c r="BG85">
        <v>297820</v>
      </c>
      <c r="BH85">
        <v>78405</v>
      </c>
      <c r="BI85">
        <v>196108</v>
      </c>
      <c r="BJ85">
        <v>121787</v>
      </c>
      <c r="BK85">
        <v>2940496</v>
      </c>
      <c r="BL85">
        <v>622024</v>
      </c>
      <c r="BM85">
        <v>1580906</v>
      </c>
      <c r="BN85">
        <v>3727587</v>
      </c>
      <c r="BO85">
        <v>1050102</v>
      </c>
      <c r="BP85">
        <v>1542997</v>
      </c>
      <c r="BQ85">
        <v>18803582</v>
      </c>
      <c r="BR85">
        <v>731527</v>
      </c>
      <c r="BS85">
        <v>12757135</v>
      </c>
      <c r="BT85">
        <v>360245</v>
      </c>
      <c r="BU85">
        <v>4641263</v>
      </c>
      <c r="BV85">
        <v>604514</v>
      </c>
      <c r="BW85">
        <v>1821245</v>
      </c>
      <c r="BX85">
        <v>737512</v>
      </c>
      <c r="BY85">
        <v>50301</v>
      </c>
      <c r="BZ85">
        <v>153853</v>
      </c>
      <c r="CA85">
        <v>107397</v>
      </c>
      <c r="CB85">
        <v>993913</v>
      </c>
      <c r="CD85">
        <v>53761</v>
      </c>
    </row>
    <row r="86" spans="1:82" x14ac:dyDescent="0.3">
      <c r="A86" s="155">
        <v>343</v>
      </c>
      <c r="B86" t="s">
        <v>246</v>
      </c>
      <c r="D86">
        <v>1755</v>
      </c>
      <c r="E86">
        <v>0</v>
      </c>
      <c r="F86">
        <v>0</v>
      </c>
      <c r="G86">
        <v>0</v>
      </c>
      <c r="H86">
        <v>0</v>
      </c>
      <c r="I86">
        <v>0</v>
      </c>
      <c r="J86">
        <v>0</v>
      </c>
      <c r="K86">
        <v>0</v>
      </c>
      <c r="L86">
        <v>0</v>
      </c>
      <c r="M86">
        <v>822984</v>
      </c>
      <c r="N86">
        <v>22886</v>
      </c>
      <c r="O86">
        <v>263553</v>
      </c>
      <c r="P86">
        <v>0</v>
      </c>
      <c r="Q86">
        <v>1528555</v>
      </c>
      <c r="R86">
        <v>82867</v>
      </c>
      <c r="S86">
        <v>0</v>
      </c>
      <c r="T86">
        <v>3909239</v>
      </c>
      <c r="U86">
        <v>417991</v>
      </c>
      <c r="V86">
        <v>1341288</v>
      </c>
      <c r="W86">
        <v>2109798</v>
      </c>
      <c r="X86">
        <v>0</v>
      </c>
      <c r="Y86">
        <v>36000</v>
      </c>
      <c r="Z86">
        <v>0</v>
      </c>
      <c r="AA86">
        <v>1061819</v>
      </c>
      <c r="AB86">
        <v>29282</v>
      </c>
      <c r="AC86">
        <v>83373</v>
      </c>
      <c r="AD86">
        <v>0</v>
      </c>
      <c r="AE86">
        <v>41672</v>
      </c>
      <c r="AF86">
        <v>3816919</v>
      </c>
      <c r="AG86">
        <v>0</v>
      </c>
      <c r="AH86">
        <v>61229</v>
      </c>
      <c r="AI86">
        <v>1792171</v>
      </c>
      <c r="AJ86">
        <v>0</v>
      </c>
      <c r="AK86">
        <v>0</v>
      </c>
      <c r="AM86">
        <v>1029630</v>
      </c>
      <c r="AN86">
        <v>0</v>
      </c>
      <c r="AO86">
        <v>18643</v>
      </c>
      <c r="AP86">
        <v>0</v>
      </c>
      <c r="AQ86">
        <v>523705</v>
      </c>
      <c r="AR86">
        <v>148399</v>
      </c>
      <c r="AS86">
        <v>0</v>
      </c>
      <c r="AT86">
        <v>89437</v>
      </c>
      <c r="AU86">
        <v>0</v>
      </c>
      <c r="AV86">
        <v>1633628</v>
      </c>
      <c r="AW86">
        <v>180000</v>
      </c>
      <c r="AX86">
        <v>0</v>
      </c>
      <c r="AY86">
        <v>809960</v>
      </c>
      <c r="AZ86">
        <v>9686</v>
      </c>
      <c r="BA86">
        <v>0</v>
      </c>
      <c r="BB86">
        <v>0</v>
      </c>
      <c r="BC86">
        <v>0</v>
      </c>
      <c r="BD86">
        <v>70942</v>
      </c>
      <c r="BE86">
        <v>0</v>
      </c>
      <c r="BF86">
        <v>0</v>
      </c>
      <c r="BG86">
        <v>6778</v>
      </c>
      <c r="BH86">
        <v>0</v>
      </c>
      <c r="BI86">
        <v>0</v>
      </c>
      <c r="BJ86">
        <v>17542</v>
      </c>
      <c r="BK86">
        <v>206188</v>
      </c>
      <c r="BL86">
        <v>0</v>
      </c>
      <c r="BM86">
        <v>69612</v>
      </c>
      <c r="BN86">
        <v>124416</v>
      </c>
      <c r="BO86">
        <v>28454</v>
      </c>
      <c r="BP86">
        <v>115327</v>
      </c>
      <c r="BQ86">
        <v>141600</v>
      </c>
      <c r="BR86">
        <v>0</v>
      </c>
      <c r="BS86">
        <v>225000</v>
      </c>
      <c r="BT86">
        <v>80601</v>
      </c>
      <c r="BU86">
        <v>78424</v>
      </c>
      <c r="BV86">
        <v>0</v>
      </c>
      <c r="BW86">
        <v>82214</v>
      </c>
      <c r="BX86">
        <v>4445</v>
      </c>
      <c r="BY86">
        <v>0</v>
      </c>
      <c r="BZ86">
        <v>0</v>
      </c>
      <c r="CA86">
        <v>0</v>
      </c>
      <c r="CB86">
        <v>47222</v>
      </c>
      <c r="CD86">
        <v>0</v>
      </c>
    </row>
    <row r="87" spans="1:82" x14ac:dyDescent="0.3">
      <c r="A87" s="155">
        <v>344</v>
      </c>
      <c r="B87" t="s">
        <v>179</v>
      </c>
      <c r="D87">
        <v>169</v>
      </c>
      <c r="E87">
        <v>0</v>
      </c>
      <c r="F87">
        <v>2700</v>
      </c>
      <c r="G87">
        <v>11725</v>
      </c>
      <c r="H87">
        <v>0</v>
      </c>
      <c r="I87">
        <v>0</v>
      </c>
      <c r="J87">
        <v>0</v>
      </c>
      <c r="K87">
        <v>0</v>
      </c>
      <c r="L87">
        <v>0</v>
      </c>
      <c r="M87">
        <v>47274</v>
      </c>
      <c r="N87">
        <v>853</v>
      </c>
      <c r="O87">
        <v>13243</v>
      </c>
      <c r="P87">
        <v>0</v>
      </c>
      <c r="Q87">
        <v>504542</v>
      </c>
      <c r="R87">
        <v>31588</v>
      </c>
      <c r="S87">
        <v>0</v>
      </c>
      <c r="T87">
        <v>1774698</v>
      </c>
      <c r="U87">
        <v>393715</v>
      </c>
      <c r="V87">
        <v>93164</v>
      </c>
      <c r="W87">
        <v>833379</v>
      </c>
      <c r="X87">
        <v>0</v>
      </c>
      <c r="Y87">
        <v>0</v>
      </c>
      <c r="Z87">
        <v>0</v>
      </c>
      <c r="AA87">
        <v>311994</v>
      </c>
      <c r="AB87">
        <v>494</v>
      </c>
      <c r="AC87">
        <v>23939</v>
      </c>
      <c r="AD87">
        <v>0</v>
      </c>
      <c r="AE87">
        <v>71462</v>
      </c>
      <c r="AF87">
        <v>294342</v>
      </c>
      <c r="AG87">
        <v>0</v>
      </c>
      <c r="AH87">
        <v>6352</v>
      </c>
      <c r="AI87">
        <v>223485</v>
      </c>
      <c r="AJ87">
        <v>0</v>
      </c>
      <c r="AK87">
        <v>0</v>
      </c>
      <c r="AM87">
        <v>196972</v>
      </c>
      <c r="AN87">
        <v>0</v>
      </c>
      <c r="AO87">
        <v>1651</v>
      </c>
      <c r="AP87">
        <v>0</v>
      </c>
      <c r="AQ87">
        <v>487774</v>
      </c>
      <c r="AR87">
        <v>17661</v>
      </c>
      <c r="AS87">
        <v>0</v>
      </c>
      <c r="AT87">
        <v>13146</v>
      </c>
      <c r="AU87">
        <v>0</v>
      </c>
      <c r="AV87">
        <v>36756</v>
      </c>
      <c r="AW87">
        <v>0</v>
      </c>
      <c r="AX87">
        <v>0</v>
      </c>
      <c r="AY87">
        <v>276594</v>
      </c>
      <c r="AZ87">
        <v>1155</v>
      </c>
      <c r="BA87">
        <v>0</v>
      </c>
      <c r="BB87">
        <v>0</v>
      </c>
      <c r="BC87">
        <v>0</v>
      </c>
      <c r="BD87">
        <v>1</v>
      </c>
      <c r="BE87">
        <v>0</v>
      </c>
      <c r="BF87">
        <v>0</v>
      </c>
      <c r="BG87">
        <v>598</v>
      </c>
      <c r="BH87">
        <v>0</v>
      </c>
      <c r="BI87">
        <v>0</v>
      </c>
      <c r="BJ87">
        <v>1398</v>
      </c>
      <c r="BK87">
        <v>74552</v>
      </c>
      <c r="BL87">
        <v>0</v>
      </c>
      <c r="BM87">
        <v>6958</v>
      </c>
      <c r="BN87">
        <v>26871</v>
      </c>
      <c r="BO87">
        <v>17512</v>
      </c>
      <c r="BP87">
        <v>61394</v>
      </c>
      <c r="BQ87">
        <v>1467</v>
      </c>
      <c r="BR87">
        <v>0</v>
      </c>
      <c r="BS87">
        <v>141776</v>
      </c>
      <c r="BT87">
        <v>9165</v>
      </c>
      <c r="BU87">
        <v>7626</v>
      </c>
      <c r="BV87">
        <v>0</v>
      </c>
      <c r="BW87">
        <v>13693</v>
      </c>
      <c r="BX87">
        <v>1035</v>
      </c>
      <c r="BY87">
        <v>0</v>
      </c>
      <c r="BZ87">
        <v>0</v>
      </c>
      <c r="CA87">
        <v>0</v>
      </c>
      <c r="CB87">
        <v>24167</v>
      </c>
      <c r="CD87">
        <v>0</v>
      </c>
    </row>
    <row r="88" spans="1:82" x14ac:dyDescent="0.3">
      <c r="A88" s="155">
        <v>349</v>
      </c>
      <c r="B88" t="s">
        <v>114</v>
      </c>
      <c r="D88">
        <v>953624</v>
      </c>
      <c r="E88">
        <v>0</v>
      </c>
      <c r="F88">
        <v>1003317</v>
      </c>
      <c r="G88">
        <v>0</v>
      </c>
      <c r="H88">
        <v>0</v>
      </c>
      <c r="I88">
        <v>0</v>
      </c>
      <c r="J88">
        <v>416852</v>
      </c>
      <c r="K88">
        <v>0</v>
      </c>
      <c r="L88">
        <v>0</v>
      </c>
      <c r="M88">
        <v>0</v>
      </c>
      <c r="N88">
        <v>0</v>
      </c>
      <c r="O88">
        <v>5559608</v>
      </c>
      <c r="P88">
        <v>0</v>
      </c>
      <c r="Q88">
        <v>31751467</v>
      </c>
      <c r="R88">
        <v>381621</v>
      </c>
      <c r="S88">
        <v>0</v>
      </c>
      <c r="T88">
        <v>73602746</v>
      </c>
      <c r="U88">
        <v>16873774</v>
      </c>
      <c r="V88">
        <v>19989385</v>
      </c>
      <c r="W88">
        <v>0</v>
      </c>
      <c r="X88">
        <v>15142</v>
      </c>
      <c r="Y88">
        <v>7308021</v>
      </c>
      <c r="Z88">
        <v>4003250</v>
      </c>
      <c r="AA88">
        <v>6272246</v>
      </c>
      <c r="AB88">
        <v>7728667</v>
      </c>
      <c r="AC88">
        <v>742476</v>
      </c>
      <c r="AD88">
        <v>1941321</v>
      </c>
      <c r="AE88">
        <v>1617342</v>
      </c>
      <c r="AF88">
        <v>1632114</v>
      </c>
      <c r="AG88">
        <v>755136</v>
      </c>
      <c r="AH88">
        <v>0</v>
      </c>
      <c r="AI88">
        <v>24747246</v>
      </c>
      <c r="AJ88">
        <v>32360</v>
      </c>
      <c r="AK88">
        <v>939470</v>
      </c>
      <c r="AM88">
        <v>9969935</v>
      </c>
      <c r="AN88">
        <v>309585</v>
      </c>
      <c r="AO88">
        <v>1841350</v>
      </c>
      <c r="AP88">
        <v>0</v>
      </c>
      <c r="AQ88">
        <v>0</v>
      </c>
      <c r="AR88">
        <v>1837242</v>
      </c>
      <c r="AS88">
        <v>0</v>
      </c>
      <c r="AT88">
        <v>2171453</v>
      </c>
      <c r="AU88">
        <v>0</v>
      </c>
      <c r="AV88">
        <v>81142663</v>
      </c>
      <c r="AW88">
        <v>0</v>
      </c>
      <c r="AX88">
        <v>1183770</v>
      </c>
      <c r="AY88">
        <v>697793</v>
      </c>
      <c r="AZ88">
        <v>802169</v>
      </c>
      <c r="BA88">
        <v>202116</v>
      </c>
      <c r="BB88">
        <v>0</v>
      </c>
      <c r="BC88">
        <v>126074</v>
      </c>
      <c r="BD88">
        <v>21051877</v>
      </c>
      <c r="BE88">
        <v>0</v>
      </c>
      <c r="BF88">
        <v>512665</v>
      </c>
      <c r="BG88">
        <v>5856</v>
      </c>
      <c r="BH88">
        <v>0</v>
      </c>
      <c r="BI88">
        <v>97428</v>
      </c>
      <c r="BJ88">
        <v>0</v>
      </c>
      <c r="BK88">
        <v>3516842</v>
      </c>
      <c r="BL88">
        <v>2407144</v>
      </c>
      <c r="BM88">
        <v>1613121</v>
      </c>
      <c r="BN88">
        <v>2576774</v>
      </c>
      <c r="BO88">
        <v>3102773</v>
      </c>
      <c r="BP88">
        <v>117010</v>
      </c>
      <c r="BQ88">
        <v>0</v>
      </c>
      <c r="BR88">
        <v>1140983</v>
      </c>
      <c r="BS88">
        <v>0</v>
      </c>
      <c r="BT88">
        <v>1108300</v>
      </c>
      <c r="BU88">
        <v>2895855</v>
      </c>
      <c r="BV88">
        <v>0</v>
      </c>
      <c r="BW88">
        <v>3062048</v>
      </c>
      <c r="BX88">
        <v>168736</v>
      </c>
      <c r="BY88">
        <v>15489</v>
      </c>
      <c r="BZ88">
        <v>1227108</v>
      </c>
      <c r="CA88">
        <v>402329</v>
      </c>
      <c r="CB88">
        <v>1208179</v>
      </c>
      <c r="CD88">
        <v>0</v>
      </c>
    </row>
    <row r="89" spans="1:82" x14ac:dyDescent="0.3">
      <c r="A89" s="155">
        <v>350</v>
      </c>
      <c r="B89" t="s">
        <v>923</v>
      </c>
      <c r="D89">
        <v>8327</v>
      </c>
      <c r="E89">
        <v>0</v>
      </c>
      <c r="F89">
        <v>520</v>
      </c>
      <c r="G89">
        <v>0</v>
      </c>
      <c r="H89">
        <v>0</v>
      </c>
      <c r="I89">
        <v>0</v>
      </c>
      <c r="J89">
        <v>0</v>
      </c>
      <c r="K89">
        <v>0</v>
      </c>
      <c r="L89">
        <v>0</v>
      </c>
      <c r="M89">
        <v>0</v>
      </c>
      <c r="N89">
        <v>0</v>
      </c>
      <c r="O89">
        <v>6952</v>
      </c>
      <c r="P89">
        <v>0</v>
      </c>
      <c r="Q89">
        <v>194549</v>
      </c>
      <c r="R89">
        <v>35</v>
      </c>
      <c r="S89">
        <v>0</v>
      </c>
      <c r="T89">
        <v>6103666</v>
      </c>
      <c r="U89">
        <v>293254</v>
      </c>
      <c r="V89">
        <v>58037</v>
      </c>
      <c r="W89">
        <v>0</v>
      </c>
      <c r="X89">
        <v>718</v>
      </c>
      <c r="Y89">
        <v>6968</v>
      </c>
      <c r="Z89">
        <v>400</v>
      </c>
      <c r="AA89">
        <v>198257</v>
      </c>
      <c r="AB89">
        <v>459</v>
      </c>
      <c r="AC89">
        <v>2401</v>
      </c>
      <c r="AD89">
        <v>4453</v>
      </c>
      <c r="AE89">
        <v>37373</v>
      </c>
      <c r="AF89">
        <v>87173</v>
      </c>
      <c r="AG89">
        <v>6276</v>
      </c>
      <c r="AH89">
        <v>0</v>
      </c>
      <c r="AI89">
        <v>30510</v>
      </c>
      <c r="AJ89">
        <v>693</v>
      </c>
      <c r="AK89">
        <v>112</v>
      </c>
      <c r="AM89">
        <v>123249</v>
      </c>
      <c r="AN89">
        <v>789</v>
      </c>
      <c r="AO89">
        <v>1</v>
      </c>
      <c r="AP89">
        <v>0</v>
      </c>
      <c r="AQ89">
        <v>0</v>
      </c>
      <c r="AR89">
        <v>55415</v>
      </c>
      <c r="AS89">
        <v>0</v>
      </c>
      <c r="AT89">
        <v>692</v>
      </c>
      <c r="AU89">
        <v>0</v>
      </c>
      <c r="AV89">
        <v>854764</v>
      </c>
      <c r="AW89">
        <v>0</v>
      </c>
      <c r="AX89">
        <v>1103</v>
      </c>
      <c r="AY89">
        <v>106918</v>
      </c>
      <c r="AZ89">
        <v>21044</v>
      </c>
      <c r="BA89">
        <v>27</v>
      </c>
      <c r="BB89">
        <v>0</v>
      </c>
      <c r="BC89">
        <v>1798</v>
      </c>
      <c r="BD89">
        <v>22362</v>
      </c>
      <c r="BE89">
        <v>0</v>
      </c>
      <c r="BF89">
        <v>53</v>
      </c>
      <c r="BG89">
        <v>662355</v>
      </c>
      <c r="BH89">
        <v>0</v>
      </c>
      <c r="BI89">
        <v>214</v>
      </c>
      <c r="BJ89">
        <v>0</v>
      </c>
      <c r="BK89">
        <v>12386</v>
      </c>
      <c r="BL89">
        <v>0</v>
      </c>
      <c r="BM89">
        <v>0</v>
      </c>
      <c r="BN89">
        <v>81641</v>
      </c>
      <c r="BO89">
        <v>2775</v>
      </c>
      <c r="BP89">
        <v>1587</v>
      </c>
      <c r="BQ89">
        <v>0</v>
      </c>
      <c r="BR89">
        <v>34102</v>
      </c>
      <c r="BS89">
        <v>0</v>
      </c>
      <c r="BT89">
        <v>9332</v>
      </c>
      <c r="BU89">
        <v>656757</v>
      </c>
      <c r="BV89">
        <v>0</v>
      </c>
      <c r="BW89">
        <v>235</v>
      </c>
      <c r="BX89">
        <v>6999</v>
      </c>
      <c r="BY89">
        <v>0</v>
      </c>
      <c r="BZ89">
        <v>195</v>
      </c>
      <c r="CA89">
        <v>2</v>
      </c>
      <c r="CB89">
        <v>10226</v>
      </c>
      <c r="CD89">
        <v>0</v>
      </c>
    </row>
    <row r="90" spans="1:82" x14ac:dyDescent="0.3">
      <c r="A90" s="155">
        <v>351</v>
      </c>
      <c r="B90" t="s">
        <v>223</v>
      </c>
      <c r="D90">
        <v>18648</v>
      </c>
      <c r="E90">
        <v>0</v>
      </c>
      <c r="F90">
        <v>7421</v>
      </c>
      <c r="G90">
        <v>0</v>
      </c>
      <c r="H90">
        <v>0</v>
      </c>
      <c r="I90">
        <v>0</v>
      </c>
      <c r="J90">
        <v>7423</v>
      </c>
      <c r="K90">
        <v>0</v>
      </c>
      <c r="L90">
        <v>0</v>
      </c>
      <c r="M90">
        <v>0</v>
      </c>
      <c r="N90">
        <v>0</v>
      </c>
      <c r="O90">
        <v>43455</v>
      </c>
      <c r="P90">
        <v>0</v>
      </c>
      <c r="Q90">
        <v>1038392</v>
      </c>
      <c r="R90">
        <v>6975</v>
      </c>
      <c r="S90">
        <v>0</v>
      </c>
      <c r="T90">
        <v>2617209</v>
      </c>
      <c r="U90">
        <v>329618</v>
      </c>
      <c r="V90">
        <v>330676</v>
      </c>
      <c r="W90">
        <v>0</v>
      </c>
      <c r="X90">
        <v>0</v>
      </c>
      <c r="Y90">
        <v>223613</v>
      </c>
      <c r="Z90">
        <v>37741</v>
      </c>
      <c r="AA90">
        <v>83500</v>
      </c>
      <c r="AB90">
        <v>273751</v>
      </c>
      <c r="AC90">
        <v>15298</v>
      </c>
      <c r="AD90">
        <v>37142</v>
      </c>
      <c r="AE90">
        <v>0</v>
      </c>
      <c r="AF90">
        <v>690750</v>
      </c>
      <c r="AG90">
        <v>2486</v>
      </c>
      <c r="AH90">
        <v>3390382</v>
      </c>
      <c r="AI90">
        <v>572491</v>
      </c>
      <c r="AJ90">
        <v>0</v>
      </c>
      <c r="AK90">
        <v>37877</v>
      </c>
      <c r="AM90">
        <v>200900</v>
      </c>
      <c r="AN90">
        <v>14695</v>
      </c>
      <c r="AO90">
        <v>39510</v>
      </c>
      <c r="AP90">
        <v>0</v>
      </c>
      <c r="AQ90">
        <v>0</v>
      </c>
      <c r="AR90">
        <v>16104</v>
      </c>
      <c r="AS90">
        <v>0</v>
      </c>
      <c r="AT90">
        <v>40436</v>
      </c>
      <c r="AU90">
        <v>0</v>
      </c>
      <c r="AV90">
        <v>3092004</v>
      </c>
      <c r="AW90">
        <v>0</v>
      </c>
      <c r="AX90">
        <v>0</v>
      </c>
      <c r="AY90">
        <v>0</v>
      </c>
      <c r="AZ90">
        <v>31985</v>
      </c>
      <c r="BA90">
        <v>0</v>
      </c>
      <c r="BB90">
        <v>0</v>
      </c>
      <c r="BC90">
        <v>0</v>
      </c>
      <c r="BD90">
        <v>370686</v>
      </c>
      <c r="BE90">
        <v>0</v>
      </c>
      <c r="BF90">
        <v>0</v>
      </c>
      <c r="BG90">
        <v>0</v>
      </c>
      <c r="BH90">
        <v>0</v>
      </c>
      <c r="BI90">
        <v>0</v>
      </c>
      <c r="BJ90">
        <v>0</v>
      </c>
      <c r="BK90">
        <v>68721</v>
      </c>
      <c r="BL90">
        <v>55763</v>
      </c>
      <c r="BM90">
        <v>13504</v>
      </c>
      <c r="BN90">
        <v>102630</v>
      </c>
      <c r="BO90">
        <v>30806</v>
      </c>
      <c r="BP90">
        <v>0</v>
      </c>
      <c r="BQ90">
        <v>0</v>
      </c>
      <c r="BR90">
        <v>35605</v>
      </c>
      <c r="BS90">
        <v>0</v>
      </c>
      <c r="BT90">
        <v>26744</v>
      </c>
      <c r="BU90">
        <v>17268</v>
      </c>
      <c r="BV90">
        <v>0</v>
      </c>
      <c r="BW90">
        <v>88946</v>
      </c>
      <c r="BX90">
        <v>0</v>
      </c>
      <c r="BY90">
        <v>0</v>
      </c>
      <c r="BZ90">
        <v>28662</v>
      </c>
      <c r="CA90">
        <v>10711</v>
      </c>
      <c r="CB90">
        <v>8654</v>
      </c>
      <c r="CD90">
        <v>0</v>
      </c>
    </row>
    <row r="91" spans="1:82" x14ac:dyDescent="0.3">
      <c r="A91" s="155">
        <v>352</v>
      </c>
      <c r="B91" t="s">
        <v>225</v>
      </c>
      <c r="D91">
        <v>0</v>
      </c>
      <c r="E91">
        <v>0</v>
      </c>
      <c r="F91">
        <v>0</v>
      </c>
      <c r="G91">
        <v>0</v>
      </c>
      <c r="H91">
        <v>0</v>
      </c>
      <c r="I91">
        <v>0</v>
      </c>
      <c r="J91">
        <v>0</v>
      </c>
      <c r="K91">
        <v>0</v>
      </c>
      <c r="L91">
        <v>0</v>
      </c>
      <c r="M91">
        <v>0</v>
      </c>
      <c r="N91">
        <v>0</v>
      </c>
      <c r="O91">
        <v>0</v>
      </c>
      <c r="P91">
        <v>0</v>
      </c>
      <c r="Q91">
        <v>0</v>
      </c>
      <c r="R91">
        <v>0</v>
      </c>
      <c r="S91">
        <v>0</v>
      </c>
      <c r="T91">
        <v>750000</v>
      </c>
      <c r="U91">
        <v>0</v>
      </c>
      <c r="V91">
        <v>0</v>
      </c>
      <c r="W91">
        <v>0</v>
      </c>
      <c r="X91">
        <v>0</v>
      </c>
      <c r="Y91">
        <v>0</v>
      </c>
      <c r="Z91">
        <v>26425</v>
      </c>
      <c r="AA91">
        <v>0</v>
      </c>
      <c r="AB91">
        <v>0</v>
      </c>
      <c r="AC91">
        <v>0</v>
      </c>
      <c r="AD91">
        <v>0</v>
      </c>
      <c r="AE91">
        <v>0</v>
      </c>
      <c r="AF91">
        <v>0</v>
      </c>
      <c r="AG91">
        <v>0</v>
      </c>
      <c r="AH91">
        <v>0</v>
      </c>
      <c r="AI91">
        <v>0</v>
      </c>
      <c r="AJ91">
        <v>0</v>
      </c>
      <c r="AK91">
        <v>0</v>
      </c>
      <c r="AM91">
        <v>0</v>
      </c>
      <c r="AN91">
        <v>0</v>
      </c>
      <c r="AO91">
        <v>0</v>
      </c>
      <c r="AP91">
        <v>0</v>
      </c>
      <c r="AQ91">
        <v>0</v>
      </c>
      <c r="AR91">
        <v>0</v>
      </c>
      <c r="AS91">
        <v>0</v>
      </c>
      <c r="AT91">
        <v>23527</v>
      </c>
      <c r="AU91">
        <v>0</v>
      </c>
      <c r="AV91">
        <v>444298</v>
      </c>
      <c r="AW91">
        <v>0</v>
      </c>
      <c r="AX91">
        <v>0</v>
      </c>
      <c r="AY91">
        <v>0</v>
      </c>
      <c r="AZ91">
        <v>0</v>
      </c>
      <c r="BA91">
        <v>0</v>
      </c>
      <c r="BB91">
        <v>0</v>
      </c>
      <c r="BC91">
        <v>0</v>
      </c>
      <c r="BD91">
        <v>0</v>
      </c>
      <c r="BE91">
        <v>0</v>
      </c>
      <c r="BF91">
        <v>11275</v>
      </c>
      <c r="BG91">
        <v>0</v>
      </c>
      <c r="BH91">
        <v>0</v>
      </c>
      <c r="BI91">
        <v>0</v>
      </c>
      <c r="BJ91">
        <v>0</v>
      </c>
      <c r="BK91">
        <v>0</v>
      </c>
      <c r="BL91">
        <v>0</v>
      </c>
      <c r="BM91">
        <v>0</v>
      </c>
      <c r="BN91">
        <v>0</v>
      </c>
      <c r="BO91">
        <v>0</v>
      </c>
      <c r="BP91">
        <v>0</v>
      </c>
      <c r="BQ91">
        <v>0</v>
      </c>
      <c r="BR91">
        <v>0</v>
      </c>
      <c r="BS91">
        <v>0</v>
      </c>
      <c r="BT91">
        <v>0</v>
      </c>
      <c r="BU91">
        <v>2002784</v>
      </c>
      <c r="BV91">
        <v>0</v>
      </c>
      <c r="BW91">
        <v>0</v>
      </c>
      <c r="BX91">
        <v>0</v>
      </c>
      <c r="BY91">
        <v>0</v>
      </c>
      <c r="BZ91">
        <v>0</v>
      </c>
      <c r="CA91">
        <v>0</v>
      </c>
      <c r="CB91">
        <v>0</v>
      </c>
      <c r="CD91">
        <v>0</v>
      </c>
    </row>
    <row r="92" spans="1:82" x14ac:dyDescent="0.3">
      <c r="A92" s="155">
        <v>353</v>
      </c>
      <c r="B92" t="s">
        <v>226</v>
      </c>
      <c r="D92">
        <v>0</v>
      </c>
      <c r="E92">
        <v>0</v>
      </c>
      <c r="F92">
        <v>0</v>
      </c>
      <c r="G92">
        <v>0</v>
      </c>
      <c r="H92">
        <v>0</v>
      </c>
      <c r="I92">
        <v>0</v>
      </c>
      <c r="J92">
        <v>0</v>
      </c>
      <c r="K92">
        <v>0</v>
      </c>
      <c r="L92">
        <v>0</v>
      </c>
      <c r="M92">
        <v>0</v>
      </c>
      <c r="N92">
        <v>0</v>
      </c>
      <c r="O92">
        <v>0</v>
      </c>
      <c r="P92">
        <v>0</v>
      </c>
      <c r="Q92">
        <v>445182</v>
      </c>
      <c r="R92">
        <v>0</v>
      </c>
      <c r="S92">
        <v>0</v>
      </c>
      <c r="T92">
        <v>0</v>
      </c>
      <c r="U92">
        <v>160000</v>
      </c>
      <c r="V92">
        <v>0</v>
      </c>
      <c r="W92">
        <v>0</v>
      </c>
      <c r="X92">
        <v>0</v>
      </c>
      <c r="Y92">
        <v>13351</v>
      </c>
      <c r="Z92">
        <v>29071</v>
      </c>
      <c r="AA92">
        <v>0</v>
      </c>
      <c r="AB92">
        <v>0</v>
      </c>
      <c r="AC92">
        <v>0</v>
      </c>
      <c r="AD92">
        <v>0</v>
      </c>
      <c r="AE92">
        <v>0</v>
      </c>
      <c r="AF92">
        <v>0</v>
      </c>
      <c r="AG92">
        <v>101203</v>
      </c>
      <c r="AH92">
        <v>0</v>
      </c>
      <c r="AI92">
        <v>0</v>
      </c>
      <c r="AJ92">
        <v>500000</v>
      </c>
      <c r="AK92">
        <v>0</v>
      </c>
      <c r="AM92">
        <v>0</v>
      </c>
      <c r="AN92">
        <v>0</v>
      </c>
      <c r="AO92">
        <v>0</v>
      </c>
      <c r="AP92">
        <v>0</v>
      </c>
      <c r="AQ92">
        <v>0</v>
      </c>
      <c r="AR92">
        <v>0</v>
      </c>
      <c r="AS92">
        <v>0</v>
      </c>
      <c r="AT92">
        <v>84732</v>
      </c>
      <c r="AU92">
        <v>0</v>
      </c>
      <c r="AV92">
        <v>876298</v>
      </c>
      <c r="AW92">
        <v>0</v>
      </c>
      <c r="AX92">
        <v>0</v>
      </c>
      <c r="AY92">
        <v>0</v>
      </c>
      <c r="AZ92">
        <v>0</v>
      </c>
      <c r="BA92">
        <v>0</v>
      </c>
      <c r="BB92">
        <v>0</v>
      </c>
      <c r="BC92">
        <v>0</v>
      </c>
      <c r="BD92">
        <v>225975</v>
      </c>
      <c r="BE92">
        <v>0</v>
      </c>
      <c r="BG92">
        <v>0</v>
      </c>
      <c r="BH92">
        <v>0</v>
      </c>
      <c r="BI92">
        <v>0</v>
      </c>
      <c r="BJ92">
        <v>0</v>
      </c>
      <c r="BK92">
        <v>0</v>
      </c>
      <c r="BL92">
        <v>0</v>
      </c>
      <c r="BM92">
        <v>0</v>
      </c>
      <c r="BN92">
        <v>0</v>
      </c>
      <c r="BO92">
        <v>0</v>
      </c>
      <c r="BP92">
        <v>0</v>
      </c>
      <c r="BQ92">
        <v>0</v>
      </c>
      <c r="BR92">
        <v>0</v>
      </c>
      <c r="BS92">
        <v>0</v>
      </c>
      <c r="BT92">
        <v>0</v>
      </c>
      <c r="BU92">
        <v>2002784</v>
      </c>
      <c r="BV92">
        <v>0</v>
      </c>
      <c r="BW92">
        <v>0</v>
      </c>
      <c r="BX92">
        <v>0</v>
      </c>
      <c r="BY92">
        <v>0</v>
      </c>
      <c r="BZ92">
        <v>0</v>
      </c>
      <c r="CA92">
        <v>0</v>
      </c>
      <c r="CB92">
        <v>0</v>
      </c>
      <c r="CD92">
        <v>0</v>
      </c>
    </row>
    <row r="93" spans="1:82" x14ac:dyDescent="0.3">
      <c r="A93" s="155">
        <v>356</v>
      </c>
      <c r="B93" t="s">
        <v>307</v>
      </c>
      <c r="D93">
        <v>0</v>
      </c>
      <c r="E93">
        <v>0</v>
      </c>
      <c r="F93">
        <v>0</v>
      </c>
      <c r="G93">
        <v>0</v>
      </c>
      <c r="H93">
        <v>0</v>
      </c>
      <c r="I93">
        <v>0</v>
      </c>
      <c r="J93">
        <v>0</v>
      </c>
      <c r="K93">
        <v>0</v>
      </c>
      <c r="L93">
        <v>0</v>
      </c>
      <c r="M93">
        <v>0</v>
      </c>
      <c r="N93">
        <v>0</v>
      </c>
      <c r="O93">
        <v>0</v>
      </c>
      <c r="P93">
        <v>0</v>
      </c>
      <c r="Q93">
        <v>133363710</v>
      </c>
      <c r="R93">
        <v>0</v>
      </c>
      <c r="S93">
        <v>0</v>
      </c>
      <c r="T93">
        <v>0</v>
      </c>
      <c r="U93">
        <v>0</v>
      </c>
      <c r="V93">
        <v>28051202</v>
      </c>
      <c r="W93">
        <v>0</v>
      </c>
      <c r="X93">
        <v>0</v>
      </c>
      <c r="Y93">
        <v>0</v>
      </c>
      <c r="Z93">
        <v>0</v>
      </c>
      <c r="AA93">
        <v>0</v>
      </c>
      <c r="AB93">
        <v>0</v>
      </c>
      <c r="AC93">
        <v>0</v>
      </c>
      <c r="AD93">
        <v>0</v>
      </c>
      <c r="AE93">
        <v>0</v>
      </c>
      <c r="AF93">
        <v>0</v>
      </c>
      <c r="AG93">
        <v>0</v>
      </c>
      <c r="AH93">
        <v>0</v>
      </c>
      <c r="AI93">
        <v>77021364</v>
      </c>
      <c r="AJ93">
        <v>0</v>
      </c>
      <c r="AK93">
        <v>0</v>
      </c>
      <c r="AM93">
        <v>27804695</v>
      </c>
      <c r="AN93">
        <v>0</v>
      </c>
      <c r="AO93">
        <v>0</v>
      </c>
      <c r="AP93">
        <v>0</v>
      </c>
      <c r="AQ93">
        <v>0</v>
      </c>
      <c r="AR93">
        <v>0</v>
      </c>
      <c r="AS93">
        <v>0</v>
      </c>
      <c r="AT93">
        <v>0</v>
      </c>
      <c r="AU93">
        <v>275692</v>
      </c>
      <c r="AV93">
        <v>0</v>
      </c>
      <c r="AW93">
        <v>0</v>
      </c>
      <c r="AX93">
        <v>0</v>
      </c>
      <c r="AY93">
        <v>0</v>
      </c>
      <c r="AZ93">
        <v>0</v>
      </c>
      <c r="BA93">
        <v>0</v>
      </c>
      <c r="BB93">
        <v>0</v>
      </c>
      <c r="BC93">
        <v>0</v>
      </c>
      <c r="BD93">
        <v>0</v>
      </c>
      <c r="BE93">
        <v>0</v>
      </c>
      <c r="BF93">
        <v>0</v>
      </c>
      <c r="BG93">
        <v>0</v>
      </c>
      <c r="BH93">
        <v>0</v>
      </c>
      <c r="BI93">
        <v>0</v>
      </c>
      <c r="BJ93">
        <v>0</v>
      </c>
      <c r="BK93">
        <v>0</v>
      </c>
      <c r="BL93">
        <v>2101398</v>
      </c>
      <c r="BM93">
        <v>0</v>
      </c>
      <c r="BN93">
        <v>0</v>
      </c>
      <c r="BO93">
        <v>0</v>
      </c>
      <c r="BP93">
        <v>0</v>
      </c>
      <c r="BQ93">
        <v>0</v>
      </c>
      <c r="BR93">
        <v>1443875</v>
      </c>
      <c r="BS93">
        <v>19760188</v>
      </c>
      <c r="BT93">
        <v>0</v>
      </c>
      <c r="BU93">
        <v>0</v>
      </c>
      <c r="BV93">
        <v>0</v>
      </c>
      <c r="BW93">
        <v>0</v>
      </c>
      <c r="BX93">
        <v>0</v>
      </c>
      <c r="BY93">
        <v>0</v>
      </c>
      <c r="BZ93">
        <v>0</v>
      </c>
      <c r="CA93">
        <v>0</v>
      </c>
      <c r="CB93">
        <v>0</v>
      </c>
      <c r="CD93">
        <v>0</v>
      </c>
    </row>
    <row r="94" spans="1:82" x14ac:dyDescent="0.3">
      <c r="A94" s="155">
        <v>357</v>
      </c>
      <c r="B94" t="s">
        <v>308</v>
      </c>
      <c r="D94">
        <v>0</v>
      </c>
      <c r="E94">
        <v>0</v>
      </c>
      <c r="F94">
        <v>0</v>
      </c>
      <c r="G94">
        <v>0</v>
      </c>
      <c r="H94">
        <v>0</v>
      </c>
      <c r="I94">
        <v>0</v>
      </c>
      <c r="J94">
        <v>0</v>
      </c>
      <c r="K94">
        <v>0</v>
      </c>
      <c r="L94">
        <v>0</v>
      </c>
      <c r="M94">
        <v>0</v>
      </c>
      <c r="N94">
        <v>0</v>
      </c>
      <c r="O94">
        <v>0</v>
      </c>
      <c r="P94">
        <v>0</v>
      </c>
      <c r="Q94">
        <v>53627308</v>
      </c>
      <c r="R94">
        <v>0</v>
      </c>
      <c r="S94">
        <v>0</v>
      </c>
      <c r="T94">
        <v>0</v>
      </c>
      <c r="U94">
        <v>0</v>
      </c>
      <c r="V94">
        <v>17501739</v>
      </c>
      <c r="W94">
        <v>0</v>
      </c>
      <c r="X94">
        <v>0</v>
      </c>
      <c r="Y94">
        <v>0</v>
      </c>
      <c r="Z94">
        <v>0</v>
      </c>
      <c r="AA94">
        <v>0</v>
      </c>
      <c r="AB94">
        <v>0</v>
      </c>
      <c r="AC94">
        <v>0</v>
      </c>
      <c r="AD94">
        <v>0</v>
      </c>
      <c r="AE94">
        <v>0</v>
      </c>
      <c r="AF94">
        <v>0</v>
      </c>
      <c r="AG94">
        <v>0</v>
      </c>
      <c r="AH94">
        <v>0</v>
      </c>
      <c r="AI94">
        <v>51155127</v>
      </c>
      <c r="AJ94">
        <v>0</v>
      </c>
      <c r="AK94">
        <v>0</v>
      </c>
      <c r="AM94">
        <v>15399408</v>
      </c>
      <c r="AN94">
        <v>0</v>
      </c>
      <c r="AO94">
        <v>0</v>
      </c>
      <c r="AP94">
        <v>0</v>
      </c>
      <c r="AQ94">
        <v>0</v>
      </c>
      <c r="AR94">
        <v>0</v>
      </c>
      <c r="AS94">
        <v>0</v>
      </c>
      <c r="AT94">
        <v>0</v>
      </c>
      <c r="AU94">
        <v>225969</v>
      </c>
      <c r="AV94">
        <v>0</v>
      </c>
      <c r="AW94">
        <v>0</v>
      </c>
      <c r="AX94">
        <v>0</v>
      </c>
      <c r="AY94">
        <v>0</v>
      </c>
      <c r="AZ94">
        <v>0</v>
      </c>
      <c r="BA94">
        <v>0</v>
      </c>
      <c r="BB94">
        <v>0</v>
      </c>
      <c r="BC94">
        <v>0</v>
      </c>
      <c r="BD94">
        <v>0</v>
      </c>
      <c r="BE94">
        <v>0</v>
      </c>
      <c r="BF94">
        <v>0</v>
      </c>
      <c r="BG94">
        <v>0</v>
      </c>
      <c r="BH94">
        <v>0</v>
      </c>
      <c r="BI94">
        <v>0</v>
      </c>
      <c r="BJ94">
        <v>0</v>
      </c>
      <c r="BK94">
        <v>0</v>
      </c>
      <c r="BL94">
        <v>1596074</v>
      </c>
      <c r="BM94">
        <v>0</v>
      </c>
      <c r="BN94">
        <v>0</v>
      </c>
      <c r="BO94">
        <v>0</v>
      </c>
      <c r="BP94">
        <v>0</v>
      </c>
      <c r="BQ94">
        <v>0</v>
      </c>
      <c r="BR94">
        <v>1296512</v>
      </c>
      <c r="BS94">
        <v>10993740</v>
      </c>
      <c r="BT94">
        <v>0</v>
      </c>
      <c r="BU94">
        <v>0</v>
      </c>
      <c r="BV94">
        <v>0</v>
      </c>
      <c r="BW94">
        <v>0</v>
      </c>
      <c r="BX94">
        <v>0</v>
      </c>
      <c r="BY94">
        <v>0</v>
      </c>
      <c r="BZ94">
        <v>0</v>
      </c>
      <c r="CA94">
        <v>0</v>
      </c>
      <c r="CB94">
        <v>0</v>
      </c>
      <c r="CD94">
        <v>0</v>
      </c>
    </row>
    <row r="95" spans="1:82" x14ac:dyDescent="0.3">
      <c r="A95" s="155">
        <v>359</v>
      </c>
      <c r="B95" t="s">
        <v>247</v>
      </c>
      <c r="D95">
        <v>0</v>
      </c>
      <c r="E95">
        <v>0</v>
      </c>
      <c r="F95">
        <v>0</v>
      </c>
      <c r="G95">
        <v>0</v>
      </c>
      <c r="H95">
        <v>0</v>
      </c>
      <c r="I95">
        <v>0</v>
      </c>
      <c r="J95">
        <v>0</v>
      </c>
      <c r="K95">
        <v>0</v>
      </c>
      <c r="L95">
        <v>0</v>
      </c>
      <c r="M95">
        <v>0</v>
      </c>
      <c r="N95">
        <v>0</v>
      </c>
      <c r="O95">
        <v>0</v>
      </c>
      <c r="P95">
        <v>0</v>
      </c>
      <c r="Q95">
        <v>14632680</v>
      </c>
      <c r="R95">
        <v>0</v>
      </c>
      <c r="S95">
        <v>0</v>
      </c>
      <c r="T95">
        <v>0</v>
      </c>
      <c r="U95">
        <v>0</v>
      </c>
      <c r="V95">
        <v>629404</v>
      </c>
      <c r="W95">
        <v>0</v>
      </c>
      <c r="X95">
        <v>0</v>
      </c>
      <c r="Y95">
        <v>0</v>
      </c>
      <c r="Z95">
        <v>0</v>
      </c>
      <c r="AA95">
        <v>0</v>
      </c>
      <c r="AB95">
        <v>0</v>
      </c>
      <c r="AC95">
        <v>0</v>
      </c>
      <c r="AD95">
        <v>0</v>
      </c>
      <c r="AE95">
        <v>0</v>
      </c>
      <c r="AF95">
        <v>0</v>
      </c>
      <c r="AG95">
        <v>0</v>
      </c>
      <c r="AH95">
        <v>0</v>
      </c>
      <c r="AI95">
        <v>5352122</v>
      </c>
      <c r="AJ95">
        <v>0</v>
      </c>
      <c r="AK95">
        <v>0</v>
      </c>
      <c r="AM95">
        <v>4232620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19902</v>
      </c>
      <c r="BS95">
        <v>0</v>
      </c>
      <c r="BT95">
        <v>0</v>
      </c>
      <c r="BU95">
        <v>0</v>
      </c>
      <c r="BV95">
        <v>0</v>
      </c>
      <c r="BW95">
        <v>0</v>
      </c>
      <c r="BX95">
        <v>0</v>
      </c>
      <c r="BY95">
        <v>0</v>
      </c>
      <c r="BZ95">
        <v>0</v>
      </c>
      <c r="CA95">
        <v>0</v>
      </c>
      <c r="CB95">
        <v>0</v>
      </c>
      <c r="CD95">
        <v>0</v>
      </c>
    </row>
    <row r="96" spans="1:82" x14ac:dyDescent="0.3">
      <c r="A96" s="155">
        <v>360</v>
      </c>
      <c r="B96" t="s">
        <v>117</v>
      </c>
      <c r="D96">
        <v>0</v>
      </c>
      <c r="E96">
        <v>0</v>
      </c>
      <c r="F96">
        <v>0</v>
      </c>
      <c r="G96">
        <v>0</v>
      </c>
      <c r="H96">
        <v>0</v>
      </c>
      <c r="I96">
        <v>0</v>
      </c>
      <c r="J96">
        <v>0</v>
      </c>
      <c r="K96">
        <v>0</v>
      </c>
      <c r="L96">
        <v>0</v>
      </c>
      <c r="M96">
        <v>0</v>
      </c>
      <c r="N96">
        <v>0</v>
      </c>
      <c r="O96">
        <v>0</v>
      </c>
      <c r="P96">
        <v>0</v>
      </c>
      <c r="Q96">
        <v>24263193</v>
      </c>
      <c r="R96">
        <v>0</v>
      </c>
      <c r="S96">
        <v>0</v>
      </c>
      <c r="T96">
        <v>0</v>
      </c>
      <c r="U96">
        <v>0</v>
      </c>
      <c r="V96">
        <v>7172628</v>
      </c>
      <c r="W96">
        <v>0</v>
      </c>
      <c r="X96">
        <v>0</v>
      </c>
      <c r="Y96">
        <v>0</v>
      </c>
      <c r="Z96">
        <v>0</v>
      </c>
      <c r="AA96">
        <v>0</v>
      </c>
      <c r="AB96">
        <v>0</v>
      </c>
      <c r="AC96">
        <v>0</v>
      </c>
      <c r="AD96">
        <v>0</v>
      </c>
      <c r="AE96">
        <v>0</v>
      </c>
      <c r="AF96">
        <v>0</v>
      </c>
      <c r="AG96">
        <v>0</v>
      </c>
      <c r="AH96">
        <v>0</v>
      </c>
      <c r="AI96">
        <v>13953021</v>
      </c>
      <c r="AJ96">
        <v>0</v>
      </c>
      <c r="AK96">
        <v>0</v>
      </c>
      <c r="AM96">
        <v>6286843</v>
      </c>
      <c r="AN96">
        <v>0</v>
      </c>
      <c r="AO96">
        <v>0</v>
      </c>
      <c r="AP96">
        <v>0</v>
      </c>
      <c r="AQ96">
        <v>0</v>
      </c>
      <c r="AR96">
        <v>0</v>
      </c>
      <c r="AS96">
        <v>0</v>
      </c>
      <c r="AT96">
        <v>0</v>
      </c>
      <c r="AU96">
        <v>67602</v>
      </c>
      <c r="AV96">
        <v>0</v>
      </c>
      <c r="AW96">
        <v>0</v>
      </c>
      <c r="AX96">
        <v>0</v>
      </c>
      <c r="AY96">
        <v>0</v>
      </c>
      <c r="AZ96">
        <v>0</v>
      </c>
      <c r="BA96">
        <v>0</v>
      </c>
      <c r="BB96">
        <v>0</v>
      </c>
      <c r="BC96">
        <v>0</v>
      </c>
      <c r="BD96">
        <v>0</v>
      </c>
      <c r="BE96">
        <v>0</v>
      </c>
      <c r="BF96">
        <v>0</v>
      </c>
      <c r="BG96">
        <v>0</v>
      </c>
      <c r="BH96">
        <v>0</v>
      </c>
      <c r="BI96">
        <v>0</v>
      </c>
      <c r="BJ96">
        <v>0</v>
      </c>
      <c r="BK96">
        <v>0</v>
      </c>
      <c r="BL96">
        <v>404728</v>
      </c>
      <c r="BM96">
        <v>0</v>
      </c>
      <c r="BN96">
        <v>0</v>
      </c>
      <c r="BO96">
        <v>0</v>
      </c>
      <c r="BP96">
        <v>0</v>
      </c>
      <c r="BQ96">
        <v>0</v>
      </c>
      <c r="BR96">
        <v>415679</v>
      </c>
      <c r="BS96">
        <v>1539882</v>
      </c>
      <c r="BT96">
        <v>0</v>
      </c>
      <c r="BU96">
        <v>0</v>
      </c>
      <c r="BV96">
        <v>0</v>
      </c>
      <c r="BW96">
        <v>0</v>
      </c>
      <c r="BX96">
        <v>0</v>
      </c>
      <c r="BY96">
        <v>0</v>
      </c>
      <c r="BZ96">
        <v>0</v>
      </c>
      <c r="CA96">
        <v>0</v>
      </c>
      <c r="CB96">
        <v>0</v>
      </c>
      <c r="CD96">
        <v>0</v>
      </c>
    </row>
    <row r="97" spans="1:82" x14ac:dyDescent="0.3">
      <c r="A97" s="155">
        <v>361</v>
      </c>
      <c r="B97" t="s">
        <v>98</v>
      </c>
      <c r="D97">
        <v>0</v>
      </c>
      <c r="E97">
        <v>0</v>
      </c>
      <c r="F97">
        <v>0</v>
      </c>
      <c r="G97">
        <v>0</v>
      </c>
      <c r="H97">
        <v>0</v>
      </c>
      <c r="I97">
        <v>0</v>
      </c>
      <c r="J97">
        <v>0</v>
      </c>
      <c r="K97">
        <v>0</v>
      </c>
      <c r="L97">
        <v>0</v>
      </c>
      <c r="M97">
        <v>0</v>
      </c>
      <c r="N97">
        <v>0</v>
      </c>
      <c r="O97">
        <v>0</v>
      </c>
      <c r="P97">
        <v>0</v>
      </c>
      <c r="Q97">
        <v>84224429</v>
      </c>
      <c r="R97">
        <v>0</v>
      </c>
      <c r="S97">
        <v>0</v>
      </c>
      <c r="T97">
        <v>0</v>
      </c>
      <c r="U97">
        <v>0</v>
      </c>
      <c r="V97">
        <v>20877722</v>
      </c>
      <c r="W97">
        <v>0</v>
      </c>
      <c r="X97">
        <v>0</v>
      </c>
      <c r="Y97">
        <v>0</v>
      </c>
      <c r="Z97">
        <v>0</v>
      </c>
      <c r="AA97">
        <v>0</v>
      </c>
      <c r="AB97">
        <v>0</v>
      </c>
      <c r="AC97">
        <v>0</v>
      </c>
      <c r="AD97">
        <v>0</v>
      </c>
      <c r="AE97">
        <v>0</v>
      </c>
      <c r="AF97">
        <v>0</v>
      </c>
      <c r="AG97">
        <v>0</v>
      </c>
      <c r="AH97">
        <v>0</v>
      </c>
      <c r="AI97">
        <v>22143733</v>
      </c>
      <c r="AJ97">
        <v>0</v>
      </c>
      <c r="AK97">
        <v>0</v>
      </c>
      <c r="AM97">
        <v>11923790</v>
      </c>
      <c r="AN97">
        <v>0</v>
      </c>
      <c r="AO97">
        <v>0</v>
      </c>
      <c r="AP97">
        <v>0</v>
      </c>
      <c r="AQ97">
        <v>0</v>
      </c>
      <c r="AR97">
        <v>0</v>
      </c>
      <c r="AS97">
        <v>0</v>
      </c>
      <c r="AT97">
        <v>0</v>
      </c>
      <c r="AU97">
        <v>672089</v>
      </c>
      <c r="AV97">
        <v>0</v>
      </c>
      <c r="AW97">
        <v>0</v>
      </c>
      <c r="AX97">
        <v>0</v>
      </c>
      <c r="AY97">
        <v>0</v>
      </c>
      <c r="AZ97">
        <v>0</v>
      </c>
      <c r="BA97">
        <v>0</v>
      </c>
      <c r="BB97">
        <v>0</v>
      </c>
      <c r="BC97">
        <v>0</v>
      </c>
      <c r="BD97">
        <v>0</v>
      </c>
      <c r="BE97">
        <v>0</v>
      </c>
      <c r="BF97">
        <v>0</v>
      </c>
      <c r="BG97">
        <v>0</v>
      </c>
      <c r="BH97">
        <v>0</v>
      </c>
      <c r="BI97">
        <v>0</v>
      </c>
      <c r="BJ97">
        <v>0</v>
      </c>
      <c r="BK97">
        <v>0</v>
      </c>
      <c r="BL97">
        <v>268422</v>
      </c>
      <c r="BM97">
        <v>0</v>
      </c>
      <c r="BN97">
        <v>0</v>
      </c>
      <c r="BO97">
        <v>0</v>
      </c>
      <c r="BP97">
        <v>0</v>
      </c>
      <c r="BQ97">
        <v>0</v>
      </c>
      <c r="BR97">
        <v>1382290</v>
      </c>
      <c r="BS97">
        <v>5552420</v>
      </c>
      <c r="BT97">
        <v>0</v>
      </c>
      <c r="BU97">
        <v>0</v>
      </c>
      <c r="BV97">
        <v>0</v>
      </c>
      <c r="BW97">
        <v>0</v>
      </c>
      <c r="BX97">
        <v>0</v>
      </c>
      <c r="BY97">
        <v>0</v>
      </c>
      <c r="BZ97">
        <v>0</v>
      </c>
      <c r="CA97">
        <v>0</v>
      </c>
      <c r="CB97">
        <v>0</v>
      </c>
      <c r="CD97">
        <v>0</v>
      </c>
    </row>
    <row r="98" spans="1:82" x14ac:dyDescent="0.3">
      <c r="A98" s="155">
        <v>362</v>
      </c>
      <c r="B98" t="s">
        <v>99</v>
      </c>
      <c r="D98">
        <v>0</v>
      </c>
      <c r="E98">
        <v>0</v>
      </c>
      <c r="F98">
        <v>0</v>
      </c>
      <c r="G98">
        <v>0</v>
      </c>
      <c r="H98">
        <v>0</v>
      </c>
      <c r="I98">
        <v>0</v>
      </c>
      <c r="J98">
        <v>0</v>
      </c>
      <c r="K98">
        <v>0</v>
      </c>
      <c r="L98">
        <v>0</v>
      </c>
      <c r="M98">
        <v>0</v>
      </c>
      <c r="N98">
        <v>0</v>
      </c>
      <c r="O98">
        <v>0</v>
      </c>
      <c r="P98">
        <v>0</v>
      </c>
      <c r="Q98">
        <v>158697571</v>
      </c>
      <c r="R98">
        <v>0</v>
      </c>
      <c r="S98">
        <v>0</v>
      </c>
      <c r="T98">
        <v>0</v>
      </c>
      <c r="U98">
        <v>0</v>
      </c>
      <c r="V98">
        <v>31363347</v>
      </c>
      <c r="W98">
        <v>0</v>
      </c>
      <c r="X98">
        <v>0</v>
      </c>
      <c r="Y98">
        <v>0</v>
      </c>
      <c r="Z98">
        <v>0</v>
      </c>
      <c r="AA98">
        <v>0</v>
      </c>
      <c r="AB98">
        <v>0</v>
      </c>
      <c r="AC98">
        <v>0</v>
      </c>
      <c r="AD98">
        <v>0</v>
      </c>
      <c r="AE98">
        <v>0</v>
      </c>
      <c r="AF98">
        <v>0</v>
      </c>
      <c r="AG98">
        <v>0</v>
      </c>
      <c r="AH98">
        <v>0</v>
      </c>
      <c r="AI98">
        <v>52709725</v>
      </c>
      <c r="AJ98">
        <v>0</v>
      </c>
      <c r="AK98">
        <v>0</v>
      </c>
      <c r="AM98">
        <v>21181363</v>
      </c>
      <c r="AN98">
        <v>0</v>
      </c>
      <c r="AO98">
        <v>0</v>
      </c>
      <c r="AP98">
        <v>0</v>
      </c>
      <c r="AQ98">
        <v>0</v>
      </c>
      <c r="AR98">
        <v>0</v>
      </c>
      <c r="AS98">
        <v>0</v>
      </c>
      <c r="AT98">
        <v>0</v>
      </c>
      <c r="AU98">
        <v>729217</v>
      </c>
      <c r="AV98">
        <v>0</v>
      </c>
      <c r="AW98">
        <v>0</v>
      </c>
      <c r="AX98">
        <v>0</v>
      </c>
      <c r="AY98">
        <v>0</v>
      </c>
      <c r="AZ98">
        <v>0</v>
      </c>
      <c r="BA98">
        <v>0</v>
      </c>
      <c r="BB98">
        <v>0</v>
      </c>
      <c r="BC98">
        <v>0</v>
      </c>
      <c r="BD98">
        <v>0</v>
      </c>
      <c r="BE98">
        <v>0</v>
      </c>
      <c r="BF98">
        <v>0</v>
      </c>
      <c r="BG98">
        <v>0</v>
      </c>
      <c r="BH98">
        <v>0</v>
      </c>
      <c r="BI98">
        <v>0</v>
      </c>
      <c r="BJ98">
        <v>0</v>
      </c>
      <c r="BK98">
        <v>0</v>
      </c>
      <c r="BL98">
        <v>1853224</v>
      </c>
      <c r="BM98">
        <v>0</v>
      </c>
      <c r="BN98">
        <v>0</v>
      </c>
      <c r="BO98">
        <v>0</v>
      </c>
      <c r="BP98">
        <v>0</v>
      </c>
      <c r="BQ98">
        <v>0</v>
      </c>
      <c r="BR98">
        <v>1521351</v>
      </c>
      <c r="BS98">
        <v>21955452</v>
      </c>
      <c r="BT98">
        <v>0</v>
      </c>
      <c r="BU98">
        <v>0</v>
      </c>
      <c r="BV98">
        <v>0</v>
      </c>
      <c r="BW98">
        <v>0</v>
      </c>
      <c r="BX98">
        <v>0</v>
      </c>
      <c r="BY98">
        <v>0</v>
      </c>
      <c r="BZ98">
        <v>0</v>
      </c>
      <c r="CA98">
        <v>0</v>
      </c>
      <c r="CB98">
        <v>0</v>
      </c>
      <c r="CD98">
        <v>0</v>
      </c>
    </row>
    <row r="99" spans="1:82" x14ac:dyDescent="0.3">
      <c r="A99" s="155">
        <v>363</v>
      </c>
      <c r="B99" t="s">
        <v>233</v>
      </c>
      <c r="D99">
        <v>0</v>
      </c>
      <c r="E99">
        <v>0</v>
      </c>
      <c r="F99">
        <v>0</v>
      </c>
      <c r="G99">
        <v>0</v>
      </c>
      <c r="H99">
        <v>0</v>
      </c>
      <c r="I99">
        <v>0</v>
      </c>
      <c r="J99">
        <v>0</v>
      </c>
      <c r="K99">
        <v>0</v>
      </c>
      <c r="L99">
        <v>0</v>
      </c>
      <c r="M99">
        <v>0</v>
      </c>
      <c r="N99">
        <v>0</v>
      </c>
      <c r="O99">
        <v>0</v>
      </c>
      <c r="P99">
        <v>0</v>
      </c>
      <c r="Q99">
        <v>281743</v>
      </c>
      <c r="R99">
        <v>0</v>
      </c>
      <c r="S99">
        <v>0</v>
      </c>
      <c r="T99">
        <v>0</v>
      </c>
      <c r="U99">
        <v>0</v>
      </c>
      <c r="V99">
        <v>11380</v>
      </c>
      <c r="W99">
        <v>0</v>
      </c>
      <c r="X99">
        <v>0</v>
      </c>
      <c r="Y99">
        <v>0</v>
      </c>
      <c r="Z99">
        <v>0</v>
      </c>
      <c r="AA99">
        <v>0</v>
      </c>
      <c r="AB99">
        <v>0</v>
      </c>
      <c r="AC99">
        <v>0</v>
      </c>
      <c r="AD99">
        <v>0</v>
      </c>
      <c r="AE99">
        <v>0</v>
      </c>
      <c r="AF99">
        <v>0</v>
      </c>
      <c r="AG99">
        <v>0</v>
      </c>
      <c r="AH99">
        <v>0</v>
      </c>
      <c r="AI99">
        <v>38547</v>
      </c>
      <c r="AJ99">
        <v>0</v>
      </c>
      <c r="AK99">
        <v>0</v>
      </c>
      <c r="AM99">
        <v>3715627</v>
      </c>
      <c r="AN99">
        <v>0</v>
      </c>
      <c r="AO99">
        <v>0</v>
      </c>
      <c r="AP99">
        <v>0</v>
      </c>
      <c r="AQ99">
        <v>0</v>
      </c>
      <c r="AR99">
        <v>0</v>
      </c>
      <c r="AS99">
        <v>0</v>
      </c>
      <c r="AT99">
        <v>0</v>
      </c>
      <c r="AU99">
        <v>7239</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169664</v>
      </c>
      <c r="BS99">
        <v>2315010</v>
      </c>
      <c r="BT99">
        <v>0</v>
      </c>
      <c r="BU99">
        <v>0</v>
      </c>
      <c r="BV99">
        <v>0</v>
      </c>
      <c r="BW99">
        <v>0</v>
      </c>
      <c r="BX99">
        <v>0</v>
      </c>
      <c r="BY99">
        <v>0</v>
      </c>
      <c r="BZ99">
        <v>0</v>
      </c>
      <c r="CA99">
        <v>0</v>
      </c>
      <c r="CB99">
        <v>0</v>
      </c>
      <c r="CD99">
        <v>0</v>
      </c>
    </row>
    <row r="100" spans="1:82" x14ac:dyDescent="0.3">
      <c r="A100" s="155">
        <v>364</v>
      </c>
      <c r="B100" t="s">
        <v>234</v>
      </c>
      <c r="D100">
        <v>0</v>
      </c>
      <c r="E100">
        <v>0</v>
      </c>
      <c r="F100">
        <v>0</v>
      </c>
      <c r="G100">
        <v>0</v>
      </c>
      <c r="H100">
        <v>0</v>
      </c>
      <c r="I100">
        <v>0</v>
      </c>
      <c r="J100">
        <v>0</v>
      </c>
      <c r="K100">
        <v>0</v>
      </c>
      <c r="L100">
        <v>0</v>
      </c>
      <c r="M100">
        <v>0</v>
      </c>
      <c r="N100">
        <v>0</v>
      </c>
      <c r="O100">
        <v>0</v>
      </c>
      <c r="P100">
        <v>0</v>
      </c>
      <c r="Q100">
        <v>1072441</v>
      </c>
      <c r="R100">
        <v>0</v>
      </c>
      <c r="S100">
        <v>0</v>
      </c>
      <c r="T100">
        <v>0</v>
      </c>
      <c r="U100">
        <v>0</v>
      </c>
      <c r="V100">
        <v>4141</v>
      </c>
      <c r="W100">
        <v>0</v>
      </c>
      <c r="X100">
        <v>0</v>
      </c>
      <c r="Y100">
        <v>0</v>
      </c>
      <c r="Z100">
        <v>0</v>
      </c>
      <c r="AA100">
        <v>0</v>
      </c>
      <c r="AB100">
        <v>0</v>
      </c>
      <c r="AC100">
        <v>0</v>
      </c>
      <c r="AD100">
        <v>0</v>
      </c>
      <c r="AE100">
        <v>0</v>
      </c>
      <c r="AF100">
        <v>0</v>
      </c>
      <c r="AG100">
        <v>0</v>
      </c>
      <c r="AH100">
        <v>0</v>
      </c>
      <c r="AI100">
        <v>127017</v>
      </c>
      <c r="AJ100">
        <v>0</v>
      </c>
      <c r="AK100">
        <v>0</v>
      </c>
      <c r="AM100">
        <v>869848</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7535</v>
      </c>
      <c r="BM100">
        <v>0</v>
      </c>
      <c r="BN100">
        <v>0</v>
      </c>
      <c r="BO100">
        <v>0</v>
      </c>
      <c r="BP100">
        <v>0</v>
      </c>
      <c r="BQ100">
        <v>0</v>
      </c>
      <c r="BR100">
        <v>6354</v>
      </c>
      <c r="BS100">
        <v>0</v>
      </c>
      <c r="BT100">
        <v>0</v>
      </c>
      <c r="BU100">
        <v>0</v>
      </c>
      <c r="BV100">
        <v>0</v>
      </c>
      <c r="BW100">
        <v>0</v>
      </c>
      <c r="BX100">
        <v>0</v>
      </c>
      <c r="BY100">
        <v>0</v>
      </c>
      <c r="BZ100">
        <v>0</v>
      </c>
      <c r="CA100">
        <v>0</v>
      </c>
      <c r="CB100">
        <v>0</v>
      </c>
      <c r="CD100">
        <v>0</v>
      </c>
    </row>
    <row r="101" spans="1:82" x14ac:dyDescent="0.3">
      <c r="A101" s="155">
        <v>365</v>
      </c>
      <c r="B101" t="s">
        <v>236</v>
      </c>
      <c r="D101">
        <v>0</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c r="AG101">
        <v>0</v>
      </c>
      <c r="AH101">
        <v>0</v>
      </c>
      <c r="AI101">
        <v>0</v>
      </c>
      <c r="AJ101">
        <v>0</v>
      </c>
      <c r="AK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D101">
        <v>0</v>
      </c>
    </row>
    <row r="102" spans="1:82" x14ac:dyDescent="0.3">
      <c r="A102" s="155">
        <v>366</v>
      </c>
      <c r="B102" t="s">
        <v>924</v>
      </c>
      <c r="D102">
        <v>0</v>
      </c>
      <c r="E102">
        <v>0</v>
      </c>
      <c r="F102">
        <v>0</v>
      </c>
      <c r="G102">
        <v>0</v>
      </c>
      <c r="H102">
        <v>0</v>
      </c>
      <c r="I102">
        <v>0</v>
      </c>
      <c r="J102">
        <v>0</v>
      </c>
      <c r="K102">
        <v>0</v>
      </c>
      <c r="L102">
        <v>0</v>
      </c>
      <c r="M102">
        <v>0</v>
      </c>
      <c r="N102">
        <v>0</v>
      </c>
      <c r="O102">
        <v>0</v>
      </c>
      <c r="P102">
        <v>0</v>
      </c>
      <c r="Q102">
        <v>940821</v>
      </c>
      <c r="R102">
        <v>0</v>
      </c>
      <c r="S102">
        <v>0</v>
      </c>
      <c r="T102">
        <v>0</v>
      </c>
      <c r="U102">
        <v>0</v>
      </c>
      <c r="V102">
        <v>764199</v>
      </c>
      <c r="W102">
        <v>0</v>
      </c>
      <c r="X102">
        <v>0</v>
      </c>
      <c r="Y102">
        <v>0</v>
      </c>
      <c r="Z102">
        <v>0</v>
      </c>
      <c r="AA102">
        <v>0</v>
      </c>
      <c r="AB102">
        <v>0</v>
      </c>
      <c r="AC102">
        <v>0</v>
      </c>
      <c r="AD102">
        <v>0</v>
      </c>
      <c r="AE102">
        <v>0</v>
      </c>
      <c r="AF102">
        <v>0</v>
      </c>
      <c r="AG102">
        <v>0</v>
      </c>
      <c r="AH102">
        <v>0</v>
      </c>
      <c r="AI102">
        <v>2637550</v>
      </c>
      <c r="AJ102">
        <v>0</v>
      </c>
      <c r="AK102">
        <v>0</v>
      </c>
      <c r="AM102">
        <v>536000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375000</v>
      </c>
      <c r="BS102">
        <v>30852</v>
      </c>
      <c r="BT102">
        <v>0</v>
      </c>
      <c r="BU102">
        <v>0</v>
      </c>
      <c r="BV102">
        <v>0</v>
      </c>
      <c r="BW102">
        <v>0</v>
      </c>
      <c r="BX102">
        <v>0</v>
      </c>
      <c r="BY102">
        <v>0</v>
      </c>
      <c r="BZ102">
        <v>0</v>
      </c>
      <c r="CA102">
        <v>0</v>
      </c>
      <c r="CB102">
        <v>0</v>
      </c>
      <c r="CD102">
        <v>0</v>
      </c>
    </row>
    <row r="103" spans="1:82" x14ac:dyDescent="0.3">
      <c r="A103" s="155">
        <v>368</v>
      </c>
      <c r="B103" t="s">
        <v>191</v>
      </c>
      <c r="D103">
        <v>0</v>
      </c>
      <c r="E103">
        <v>0</v>
      </c>
      <c r="F103">
        <v>0</v>
      </c>
      <c r="G103">
        <v>0</v>
      </c>
      <c r="H103">
        <v>0</v>
      </c>
      <c r="I103">
        <v>0</v>
      </c>
      <c r="J103">
        <v>0</v>
      </c>
      <c r="K103">
        <v>0</v>
      </c>
      <c r="L103">
        <v>0</v>
      </c>
      <c r="M103">
        <v>203748</v>
      </c>
      <c r="N103">
        <v>0</v>
      </c>
      <c r="O103">
        <v>0</v>
      </c>
      <c r="P103">
        <v>0</v>
      </c>
      <c r="Q103">
        <v>114352</v>
      </c>
      <c r="R103">
        <v>0</v>
      </c>
      <c r="S103">
        <v>0</v>
      </c>
      <c r="T103">
        <v>44124</v>
      </c>
      <c r="U103">
        <v>0</v>
      </c>
      <c r="V103">
        <v>0</v>
      </c>
      <c r="W103">
        <v>0</v>
      </c>
      <c r="X103">
        <v>0</v>
      </c>
      <c r="Y103">
        <v>341210</v>
      </c>
      <c r="Z103">
        <v>0</v>
      </c>
      <c r="AA103">
        <v>83775</v>
      </c>
      <c r="AB103">
        <v>0</v>
      </c>
      <c r="AC103">
        <v>31930</v>
      </c>
      <c r="AD103">
        <v>0</v>
      </c>
      <c r="AE103">
        <v>0</v>
      </c>
      <c r="AF103">
        <v>4300</v>
      </c>
      <c r="AG103">
        <v>0</v>
      </c>
      <c r="AH103">
        <v>0</v>
      </c>
      <c r="AI103">
        <v>0</v>
      </c>
      <c r="AJ103">
        <v>0</v>
      </c>
      <c r="AK103">
        <v>0</v>
      </c>
      <c r="AM103">
        <v>32340</v>
      </c>
      <c r="AN103">
        <v>0</v>
      </c>
      <c r="AO103">
        <v>0</v>
      </c>
      <c r="AP103">
        <v>0</v>
      </c>
      <c r="AQ103">
        <v>0</v>
      </c>
      <c r="AR103">
        <v>0</v>
      </c>
      <c r="AS103">
        <v>0</v>
      </c>
      <c r="AT103">
        <v>0</v>
      </c>
      <c r="AU103">
        <v>0</v>
      </c>
      <c r="AV103">
        <v>25239</v>
      </c>
      <c r="AW103">
        <v>12905</v>
      </c>
      <c r="AX103">
        <v>33000</v>
      </c>
      <c r="AY103">
        <v>1529419</v>
      </c>
      <c r="AZ103">
        <v>0</v>
      </c>
      <c r="BA103">
        <v>0</v>
      </c>
      <c r="BB103">
        <v>0</v>
      </c>
      <c r="BC103">
        <v>3075</v>
      </c>
      <c r="BD103">
        <v>0</v>
      </c>
      <c r="BE103">
        <v>0</v>
      </c>
      <c r="BF103">
        <v>0</v>
      </c>
      <c r="BG103">
        <v>0</v>
      </c>
      <c r="BH103">
        <v>0</v>
      </c>
      <c r="BI103">
        <v>0</v>
      </c>
      <c r="BJ103">
        <v>0</v>
      </c>
      <c r="BK103">
        <v>0</v>
      </c>
      <c r="BL103">
        <v>0</v>
      </c>
      <c r="BM103">
        <v>0</v>
      </c>
      <c r="BN103">
        <v>26000</v>
      </c>
      <c r="BO103">
        <v>0</v>
      </c>
      <c r="BP103">
        <v>0</v>
      </c>
      <c r="BQ103">
        <v>0</v>
      </c>
      <c r="BR103">
        <v>0</v>
      </c>
      <c r="BS103">
        <v>0</v>
      </c>
      <c r="BT103">
        <v>0</v>
      </c>
      <c r="BU103">
        <v>863875</v>
      </c>
      <c r="BV103">
        <v>0</v>
      </c>
      <c r="BW103">
        <v>0</v>
      </c>
      <c r="BX103">
        <v>0</v>
      </c>
      <c r="BY103">
        <v>0</v>
      </c>
      <c r="BZ103">
        <v>0</v>
      </c>
      <c r="CA103">
        <v>0</v>
      </c>
      <c r="CB103">
        <v>0</v>
      </c>
      <c r="CD103">
        <v>0</v>
      </c>
    </row>
    <row r="104" spans="1:82" x14ac:dyDescent="0.3">
      <c r="A104" s="155">
        <v>369</v>
      </c>
      <c r="B104" t="s">
        <v>196</v>
      </c>
      <c r="D104">
        <v>102574</v>
      </c>
      <c r="E104">
        <v>29576</v>
      </c>
      <c r="F104">
        <v>520156</v>
      </c>
      <c r="G104">
        <v>940161</v>
      </c>
      <c r="H104">
        <v>1638289</v>
      </c>
      <c r="I104">
        <v>1653477</v>
      </c>
      <c r="J104">
        <v>8422</v>
      </c>
      <c r="K104">
        <v>274760</v>
      </c>
      <c r="L104">
        <v>105393</v>
      </c>
      <c r="M104">
        <v>5304703</v>
      </c>
      <c r="N104">
        <v>289971</v>
      </c>
      <c r="O104">
        <v>1220332</v>
      </c>
      <c r="P104">
        <v>32295</v>
      </c>
      <c r="Q104">
        <v>15720928</v>
      </c>
      <c r="R104">
        <v>336103</v>
      </c>
      <c r="S104">
        <v>5125</v>
      </c>
      <c r="T104">
        <v>23889997</v>
      </c>
      <c r="U104">
        <v>7554233</v>
      </c>
      <c r="V104">
        <v>3762157</v>
      </c>
      <c r="W104">
        <v>11472336</v>
      </c>
      <c r="X104">
        <v>169608</v>
      </c>
      <c r="Y104">
        <v>5622281</v>
      </c>
      <c r="Z104">
        <v>571542</v>
      </c>
      <c r="AA104">
        <v>5330029</v>
      </c>
      <c r="AB104">
        <v>1787483</v>
      </c>
      <c r="AC104">
        <v>818463</v>
      </c>
      <c r="AD104">
        <v>898791</v>
      </c>
      <c r="AE104">
        <v>1427723</v>
      </c>
      <c r="AF104">
        <v>2254067</v>
      </c>
      <c r="AG104">
        <v>2089861</v>
      </c>
      <c r="AH104">
        <v>1211358</v>
      </c>
      <c r="AI104">
        <v>13994570</v>
      </c>
      <c r="AJ104">
        <v>416793</v>
      </c>
      <c r="AK104">
        <v>625117</v>
      </c>
      <c r="AM104">
        <v>2041608</v>
      </c>
      <c r="AN104">
        <v>320284</v>
      </c>
      <c r="AO104">
        <v>571942</v>
      </c>
      <c r="AP104">
        <v>34474</v>
      </c>
      <c r="AQ104">
        <v>2362389</v>
      </c>
      <c r="AR104">
        <v>2718446</v>
      </c>
      <c r="AS104">
        <v>531747</v>
      </c>
      <c r="AT104">
        <v>958731</v>
      </c>
      <c r="AU104">
        <v>64842</v>
      </c>
      <c r="AV104">
        <v>4118161</v>
      </c>
      <c r="AW104">
        <v>875670</v>
      </c>
      <c r="AX104">
        <v>911642</v>
      </c>
      <c r="AY104">
        <v>2488673</v>
      </c>
      <c r="AZ104">
        <v>450450</v>
      </c>
      <c r="BA104">
        <v>417888</v>
      </c>
      <c r="BB104">
        <v>33689</v>
      </c>
      <c r="BC104">
        <v>21868</v>
      </c>
      <c r="BD104">
        <v>1152563</v>
      </c>
      <c r="BE104">
        <v>80579</v>
      </c>
      <c r="BF104">
        <v>59394</v>
      </c>
      <c r="BG104">
        <v>54207</v>
      </c>
      <c r="BH104">
        <v>44149</v>
      </c>
      <c r="BI104">
        <v>150671</v>
      </c>
      <c r="BJ104">
        <v>88440</v>
      </c>
      <c r="BK104">
        <v>635296</v>
      </c>
      <c r="BL104">
        <v>352493</v>
      </c>
      <c r="BM104">
        <v>915547</v>
      </c>
      <c r="BN104">
        <v>1269916</v>
      </c>
      <c r="BO104">
        <v>387870</v>
      </c>
      <c r="BP104">
        <v>1179367</v>
      </c>
      <c r="BQ104">
        <v>7724396</v>
      </c>
      <c r="BR104">
        <v>513973</v>
      </c>
      <c r="BS104">
        <v>6225023</v>
      </c>
      <c r="BT104">
        <v>401652</v>
      </c>
      <c r="BU104">
        <v>584482</v>
      </c>
      <c r="BV104">
        <v>346012</v>
      </c>
      <c r="BW104">
        <v>1033899</v>
      </c>
      <c r="BX104">
        <v>652520</v>
      </c>
      <c r="BY104">
        <v>57273</v>
      </c>
      <c r="BZ104">
        <v>105768</v>
      </c>
      <c r="CA104">
        <v>84293</v>
      </c>
      <c r="CB104">
        <v>386438</v>
      </c>
      <c r="CD104">
        <v>46691</v>
      </c>
    </row>
    <row r="105" spans="1:82" x14ac:dyDescent="0.3">
      <c r="A105" s="155">
        <v>370</v>
      </c>
      <c r="B105" t="s">
        <v>198</v>
      </c>
      <c r="D105">
        <v>1924</v>
      </c>
      <c r="E105">
        <v>3600</v>
      </c>
      <c r="F105">
        <v>13783</v>
      </c>
      <c r="G105">
        <v>51377</v>
      </c>
      <c r="H105">
        <v>0</v>
      </c>
      <c r="I105">
        <v>0</v>
      </c>
      <c r="J105">
        <v>0</v>
      </c>
      <c r="K105">
        <v>0</v>
      </c>
      <c r="L105">
        <v>0</v>
      </c>
      <c r="M105">
        <v>870629</v>
      </c>
      <c r="N105">
        <v>24652</v>
      </c>
      <c r="O105">
        <v>276796</v>
      </c>
      <c r="P105">
        <v>0</v>
      </c>
      <c r="Q105">
        <v>1774267</v>
      </c>
      <c r="R105">
        <v>18295</v>
      </c>
      <c r="S105">
        <v>0</v>
      </c>
      <c r="T105">
        <v>6671239</v>
      </c>
      <c r="U105">
        <v>811706</v>
      </c>
      <c r="V105">
        <v>1434452</v>
      </c>
      <c r="W105">
        <v>3143829</v>
      </c>
      <c r="X105">
        <v>0</v>
      </c>
      <c r="Y105">
        <v>36000</v>
      </c>
      <c r="Z105">
        <v>0</v>
      </c>
      <c r="AA105">
        <v>1337445</v>
      </c>
      <c r="AB105">
        <v>29775</v>
      </c>
      <c r="AC105">
        <v>104617</v>
      </c>
      <c r="AD105">
        <v>0</v>
      </c>
      <c r="AE105">
        <v>113929</v>
      </c>
      <c r="AF105">
        <v>4157696</v>
      </c>
      <c r="AG105">
        <v>32525</v>
      </c>
      <c r="AH105">
        <v>48047</v>
      </c>
      <c r="AI105">
        <v>2013750</v>
      </c>
      <c r="AJ105">
        <v>0</v>
      </c>
      <c r="AK105">
        <v>0</v>
      </c>
      <c r="AM105">
        <v>1235007</v>
      </c>
      <c r="AN105">
        <v>0</v>
      </c>
      <c r="AO105">
        <v>20295</v>
      </c>
      <c r="AP105">
        <v>0</v>
      </c>
      <c r="AQ105">
        <v>117022</v>
      </c>
      <c r="AR105">
        <v>166061</v>
      </c>
      <c r="AS105">
        <v>0</v>
      </c>
      <c r="AT105">
        <v>102583</v>
      </c>
      <c r="AU105">
        <v>0</v>
      </c>
      <c r="AV105">
        <v>1670384</v>
      </c>
      <c r="AW105">
        <v>266400</v>
      </c>
      <c r="AX105">
        <v>0</v>
      </c>
      <c r="AY105">
        <v>955620</v>
      </c>
      <c r="AZ105">
        <v>10840</v>
      </c>
      <c r="BA105">
        <v>0</v>
      </c>
      <c r="BB105">
        <v>0</v>
      </c>
      <c r="BC105">
        <v>0</v>
      </c>
      <c r="BD105">
        <v>70942</v>
      </c>
      <c r="BE105">
        <v>0</v>
      </c>
      <c r="BF105">
        <v>0</v>
      </c>
      <c r="BG105">
        <v>0</v>
      </c>
      <c r="BH105">
        <v>0</v>
      </c>
      <c r="BI105">
        <v>0</v>
      </c>
      <c r="BJ105">
        <v>18940</v>
      </c>
      <c r="BK105">
        <v>280740</v>
      </c>
      <c r="BL105">
        <v>0</v>
      </c>
      <c r="BM105">
        <v>76569</v>
      </c>
      <c r="BN105">
        <v>153039</v>
      </c>
      <c r="BO105">
        <v>45966</v>
      </c>
      <c r="BP105">
        <v>176721</v>
      </c>
      <c r="BQ105">
        <v>144748</v>
      </c>
      <c r="BR105">
        <v>9060</v>
      </c>
      <c r="BS105">
        <v>228150</v>
      </c>
      <c r="BT105">
        <v>89766</v>
      </c>
      <c r="BU105">
        <v>86049</v>
      </c>
      <c r="BV105">
        <v>0</v>
      </c>
      <c r="BW105">
        <v>95907</v>
      </c>
      <c r="BX105">
        <v>5693</v>
      </c>
      <c r="BY105">
        <v>0</v>
      </c>
      <c r="BZ105">
        <v>0</v>
      </c>
      <c r="CA105">
        <v>0</v>
      </c>
      <c r="CB105">
        <v>71389</v>
      </c>
      <c r="CD105">
        <v>0</v>
      </c>
    </row>
    <row r="106" spans="1:82" x14ac:dyDescent="0.3">
      <c r="A106" s="155">
        <v>371</v>
      </c>
      <c r="B106" t="s">
        <v>248</v>
      </c>
      <c r="D106">
        <v>0</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0</v>
      </c>
      <c r="AI106">
        <v>0</v>
      </c>
      <c r="AJ106">
        <v>0</v>
      </c>
      <c r="AK106">
        <v>0</v>
      </c>
      <c r="AM106">
        <v>0</v>
      </c>
      <c r="AN106">
        <v>0</v>
      </c>
      <c r="AO106">
        <v>0</v>
      </c>
      <c r="AP106">
        <v>0</v>
      </c>
      <c r="AQ106">
        <v>0</v>
      </c>
      <c r="AR106">
        <v>0</v>
      </c>
      <c r="AS106">
        <v>0</v>
      </c>
      <c r="AT106">
        <v>0</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0</v>
      </c>
      <c r="BY106">
        <v>0</v>
      </c>
      <c r="BZ106">
        <v>0</v>
      </c>
      <c r="CA106">
        <v>0</v>
      </c>
      <c r="CB106">
        <v>0</v>
      </c>
      <c r="CD106">
        <v>0</v>
      </c>
    </row>
    <row r="107" spans="1:82" x14ac:dyDescent="0.3">
      <c r="A107" s="155">
        <v>373</v>
      </c>
      <c r="B107" t="s">
        <v>304</v>
      </c>
      <c r="D107">
        <v>441143</v>
      </c>
      <c r="E107">
        <v>85476</v>
      </c>
      <c r="F107">
        <v>1092619</v>
      </c>
      <c r="G107">
        <v>2133651</v>
      </c>
      <c r="H107">
        <v>543375</v>
      </c>
      <c r="I107">
        <v>1607758</v>
      </c>
      <c r="J107">
        <v>56329</v>
      </c>
      <c r="K107">
        <v>292994</v>
      </c>
      <c r="L107">
        <v>337208</v>
      </c>
      <c r="M107">
        <v>25568950</v>
      </c>
      <c r="N107">
        <v>370038</v>
      </c>
      <c r="O107">
        <v>8100753</v>
      </c>
      <c r="P107">
        <v>87491</v>
      </c>
      <c r="Q107">
        <v>88352121</v>
      </c>
      <c r="R107">
        <v>1385446</v>
      </c>
      <c r="S107">
        <v>194865</v>
      </c>
      <c r="T107">
        <v>94987625</v>
      </c>
      <c r="U107">
        <v>15841140</v>
      </c>
      <c r="V107">
        <v>83142201</v>
      </c>
      <c r="W107">
        <v>50727511</v>
      </c>
      <c r="X107">
        <v>285191</v>
      </c>
      <c r="Y107">
        <v>32872558</v>
      </c>
      <c r="Z107">
        <v>1661994</v>
      </c>
      <c r="AA107">
        <v>12697214</v>
      </c>
      <c r="AB107">
        <v>8172392</v>
      </c>
      <c r="AC107">
        <v>3200234</v>
      </c>
      <c r="AD107">
        <v>0</v>
      </c>
      <c r="AE107">
        <v>3766987</v>
      </c>
      <c r="AF107">
        <v>77316725</v>
      </c>
      <c r="AG107">
        <v>7807302</v>
      </c>
      <c r="AH107">
        <v>1462587</v>
      </c>
      <c r="AI107">
        <v>45481703</v>
      </c>
      <c r="AJ107">
        <v>1207319</v>
      </c>
      <c r="AK107">
        <v>1184692</v>
      </c>
      <c r="AM107">
        <v>23230971</v>
      </c>
      <c r="AN107">
        <v>554611</v>
      </c>
      <c r="AO107">
        <v>538413</v>
      </c>
      <c r="AP107">
        <v>110716</v>
      </c>
      <c r="AQ107">
        <v>12470153</v>
      </c>
      <c r="AR107">
        <v>12758177</v>
      </c>
      <c r="AS107">
        <v>382228</v>
      </c>
      <c r="AT107">
        <v>2486863</v>
      </c>
      <c r="AU107">
        <v>249997</v>
      </c>
      <c r="AV107">
        <v>15432494</v>
      </c>
      <c r="AW107">
        <v>2501400</v>
      </c>
      <c r="AX107">
        <v>2762329</v>
      </c>
      <c r="AY107">
        <v>4925591</v>
      </c>
      <c r="AZ107">
        <v>1709812</v>
      </c>
      <c r="BA107">
        <v>627899</v>
      </c>
      <c r="BB107">
        <v>0</v>
      </c>
      <c r="BC107">
        <v>21204</v>
      </c>
      <c r="BD107">
        <v>12512875</v>
      </c>
      <c r="BE107">
        <v>19038</v>
      </c>
      <c r="BF107">
        <v>275648</v>
      </c>
      <c r="BG107">
        <v>218951</v>
      </c>
      <c r="BH107">
        <v>130353</v>
      </c>
      <c r="BI107">
        <v>382625</v>
      </c>
      <c r="BJ107">
        <v>34956</v>
      </c>
      <c r="BK107">
        <v>4518723</v>
      </c>
      <c r="BL107">
        <v>671018</v>
      </c>
      <c r="BM107">
        <v>1755795</v>
      </c>
      <c r="BN107">
        <v>4949412</v>
      </c>
      <c r="BO107">
        <v>1623031</v>
      </c>
      <c r="BP107">
        <v>2635432</v>
      </c>
      <c r="BQ107">
        <v>25581135</v>
      </c>
      <c r="BR107">
        <v>1510229</v>
      </c>
      <c r="BS107">
        <v>18323724</v>
      </c>
      <c r="BT107">
        <v>1740631</v>
      </c>
      <c r="BU107">
        <v>2593140</v>
      </c>
      <c r="BV107">
        <v>1070580</v>
      </c>
      <c r="BW107">
        <v>4433762</v>
      </c>
      <c r="BX107">
        <v>619323</v>
      </c>
      <c r="BY107">
        <v>71932</v>
      </c>
      <c r="BZ107">
        <v>245748</v>
      </c>
      <c r="CA107">
        <v>59535</v>
      </c>
      <c r="CB107">
        <v>1506941</v>
      </c>
      <c r="CD107">
        <v>137375</v>
      </c>
    </row>
    <row r="108" spans="1:82" x14ac:dyDescent="0.3">
      <c r="A108" s="155">
        <v>375</v>
      </c>
      <c r="B108" t="s">
        <v>213</v>
      </c>
      <c r="D108">
        <v>0</v>
      </c>
      <c r="E108">
        <v>0</v>
      </c>
      <c r="F108">
        <v>665137</v>
      </c>
      <c r="G108">
        <v>0</v>
      </c>
      <c r="H108">
        <v>0</v>
      </c>
      <c r="I108">
        <v>0</v>
      </c>
      <c r="J108">
        <v>57291</v>
      </c>
      <c r="K108">
        <v>0</v>
      </c>
      <c r="L108">
        <v>0</v>
      </c>
      <c r="M108">
        <v>0</v>
      </c>
      <c r="N108">
        <v>0</v>
      </c>
      <c r="O108">
        <v>-66887</v>
      </c>
      <c r="P108">
        <v>0</v>
      </c>
      <c r="Q108">
        <v>40342669</v>
      </c>
      <c r="R108">
        <v>864772</v>
      </c>
      <c r="S108">
        <v>0</v>
      </c>
      <c r="T108">
        <v>46013743</v>
      </c>
      <c r="U108">
        <v>7102223</v>
      </c>
      <c r="V108">
        <v>15841382</v>
      </c>
      <c r="W108">
        <v>0</v>
      </c>
      <c r="X108">
        <v>245081</v>
      </c>
      <c r="Y108">
        <v>5167233</v>
      </c>
      <c r="Z108">
        <v>1619586</v>
      </c>
      <c r="AA108">
        <v>12539762</v>
      </c>
      <c r="AB108">
        <v>506384</v>
      </c>
      <c r="AC108">
        <v>962709</v>
      </c>
      <c r="AD108">
        <v>872674</v>
      </c>
      <c r="AE108">
        <v>1957782</v>
      </c>
      <c r="AF108">
        <v>4039525</v>
      </c>
      <c r="AG108">
        <v>369537</v>
      </c>
      <c r="AH108">
        <v>0</v>
      </c>
      <c r="AI108">
        <v>21449072</v>
      </c>
      <c r="AJ108">
        <v>343379</v>
      </c>
      <c r="AK108">
        <v>511801</v>
      </c>
      <c r="AM108">
        <v>2898665</v>
      </c>
      <c r="AN108">
        <v>52897</v>
      </c>
      <c r="AO108">
        <v>-24579</v>
      </c>
      <c r="AP108">
        <v>0</v>
      </c>
      <c r="AQ108">
        <v>0</v>
      </c>
      <c r="AR108">
        <v>4156096</v>
      </c>
      <c r="AS108">
        <v>0</v>
      </c>
      <c r="AT108">
        <v>440176</v>
      </c>
      <c r="AU108">
        <v>0</v>
      </c>
      <c r="AV108">
        <v>33769695</v>
      </c>
      <c r="AW108">
        <v>0</v>
      </c>
      <c r="AX108">
        <v>2110034</v>
      </c>
      <c r="AY108">
        <v>5993161</v>
      </c>
      <c r="AZ108">
        <v>985479</v>
      </c>
      <c r="BA108">
        <v>154321</v>
      </c>
      <c r="BB108">
        <v>0</v>
      </c>
      <c r="BC108">
        <v>-44938</v>
      </c>
      <c r="BD108">
        <v>8759628</v>
      </c>
      <c r="BE108">
        <v>0</v>
      </c>
      <c r="BF108">
        <v>102466</v>
      </c>
      <c r="BG108">
        <v>116825</v>
      </c>
      <c r="BH108">
        <v>0</v>
      </c>
      <c r="BI108">
        <v>307227</v>
      </c>
      <c r="BJ108">
        <v>0</v>
      </c>
      <c r="BK108">
        <v>995254</v>
      </c>
      <c r="BL108">
        <v>413339</v>
      </c>
      <c r="BM108">
        <v>-650677</v>
      </c>
      <c r="BN108">
        <v>896952</v>
      </c>
      <c r="BO108">
        <v>-528339</v>
      </c>
      <c r="BP108">
        <v>1043336</v>
      </c>
      <c r="BQ108">
        <v>0</v>
      </c>
      <c r="BR108">
        <v>413434</v>
      </c>
      <c r="BS108">
        <v>0</v>
      </c>
      <c r="BT108">
        <v>555770</v>
      </c>
      <c r="BU108">
        <v>339091</v>
      </c>
      <c r="BV108">
        <v>0</v>
      </c>
      <c r="BW108">
        <v>714733</v>
      </c>
      <c r="BX108">
        <v>1183947</v>
      </c>
      <c r="BY108">
        <v>882</v>
      </c>
      <c r="BZ108">
        <v>-280795</v>
      </c>
      <c r="CA108">
        <v>39934</v>
      </c>
      <c r="CB108">
        <v>407713</v>
      </c>
      <c r="CD108">
        <v>27349</v>
      </c>
    </row>
    <row r="109" spans="1:82" x14ac:dyDescent="0.3">
      <c r="A109" s="155">
        <v>376</v>
      </c>
      <c r="B109" t="s">
        <v>100</v>
      </c>
      <c r="D109">
        <v>0</v>
      </c>
      <c r="E109">
        <v>0</v>
      </c>
      <c r="F109">
        <v>0</v>
      </c>
      <c r="G109">
        <v>0</v>
      </c>
      <c r="H109">
        <v>1</v>
      </c>
      <c r="I109">
        <v>2824</v>
      </c>
      <c r="J109">
        <v>-1</v>
      </c>
      <c r="K109">
        <v>0</v>
      </c>
      <c r="L109">
        <v>0</v>
      </c>
      <c r="M109">
        <v>638174</v>
      </c>
      <c r="N109">
        <v>0</v>
      </c>
      <c r="O109">
        <v>2</v>
      </c>
      <c r="P109">
        <v>0</v>
      </c>
      <c r="Q109">
        <v>0</v>
      </c>
      <c r="R109">
        <v>0</v>
      </c>
      <c r="S109">
        <v>0</v>
      </c>
      <c r="T109">
        <v>1042404</v>
      </c>
      <c r="U109">
        <v>0</v>
      </c>
      <c r="V109">
        <v>-2190934</v>
      </c>
      <c r="W109">
        <v>0</v>
      </c>
      <c r="X109">
        <v>0</v>
      </c>
      <c r="Y109">
        <v>0</v>
      </c>
      <c r="Z109">
        <v>0</v>
      </c>
      <c r="AA109">
        <v>0</v>
      </c>
      <c r="AB109">
        <v>0</v>
      </c>
      <c r="AC109">
        <v>0</v>
      </c>
      <c r="AD109">
        <v>0</v>
      </c>
      <c r="AE109">
        <v>0</v>
      </c>
      <c r="AF109">
        <v>0</v>
      </c>
      <c r="AG109">
        <v>0</v>
      </c>
      <c r="AH109">
        <v>0</v>
      </c>
      <c r="AI109">
        <v>0</v>
      </c>
      <c r="AJ109">
        <v>0</v>
      </c>
      <c r="AK109">
        <v>0</v>
      </c>
      <c r="AM109">
        <v>0</v>
      </c>
      <c r="AN109">
        <v>0</v>
      </c>
      <c r="AO109">
        <v>0</v>
      </c>
      <c r="AP109">
        <v>0</v>
      </c>
      <c r="AQ109">
        <v>0</v>
      </c>
      <c r="AR109">
        <v>0</v>
      </c>
      <c r="AS109">
        <v>0</v>
      </c>
      <c r="AT109">
        <v>0</v>
      </c>
      <c r="AU109">
        <v>0</v>
      </c>
      <c r="AV109">
        <v>0</v>
      </c>
      <c r="AW109">
        <v>0</v>
      </c>
      <c r="AX109">
        <v>-1</v>
      </c>
      <c r="AY109">
        <v>0</v>
      </c>
      <c r="AZ109">
        <v>0</v>
      </c>
      <c r="BA109">
        <v>0</v>
      </c>
      <c r="BB109">
        <v>0</v>
      </c>
      <c r="BC109">
        <v>-1</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D109">
        <v>0</v>
      </c>
    </row>
    <row r="110" spans="1:82" x14ac:dyDescent="0.3">
      <c r="A110" s="155">
        <v>377</v>
      </c>
      <c r="B110" t="s">
        <v>101</v>
      </c>
      <c r="D110">
        <v>0</v>
      </c>
      <c r="E110">
        <v>0</v>
      </c>
      <c r="F110">
        <v>0</v>
      </c>
      <c r="G110">
        <v>0</v>
      </c>
      <c r="H110">
        <v>0</v>
      </c>
      <c r="I110">
        <v>0</v>
      </c>
      <c r="J110">
        <v>0</v>
      </c>
      <c r="K110">
        <v>0</v>
      </c>
      <c r="L110">
        <v>0</v>
      </c>
      <c r="M110">
        <v>0</v>
      </c>
      <c r="N110">
        <v>0</v>
      </c>
      <c r="O110">
        <v>0</v>
      </c>
      <c r="P110">
        <v>0</v>
      </c>
      <c r="Q110">
        <v>0</v>
      </c>
      <c r="R110">
        <v>0</v>
      </c>
      <c r="S110">
        <v>0</v>
      </c>
      <c r="T110">
        <v>102881</v>
      </c>
      <c r="U110">
        <v>0</v>
      </c>
      <c r="V110">
        <v>-431318</v>
      </c>
      <c r="W110">
        <v>0</v>
      </c>
      <c r="X110">
        <v>0</v>
      </c>
      <c r="Y110">
        <v>24595</v>
      </c>
      <c r="Z110">
        <v>0</v>
      </c>
      <c r="AA110">
        <v>0</v>
      </c>
      <c r="AB110">
        <v>0</v>
      </c>
      <c r="AC110">
        <v>0</v>
      </c>
      <c r="AD110">
        <v>0</v>
      </c>
      <c r="AE110">
        <v>-144166</v>
      </c>
      <c r="AF110">
        <v>0</v>
      </c>
      <c r="AG110">
        <v>-324472</v>
      </c>
      <c r="AH110">
        <v>0</v>
      </c>
      <c r="AI110">
        <v>0</v>
      </c>
      <c r="AJ110">
        <v>0</v>
      </c>
      <c r="AK110">
        <v>1</v>
      </c>
      <c r="AM110">
        <v>0</v>
      </c>
      <c r="AN110">
        <v>0</v>
      </c>
      <c r="AO110">
        <v>0</v>
      </c>
      <c r="AP110">
        <v>0</v>
      </c>
      <c r="AQ110">
        <v>0</v>
      </c>
      <c r="AR110">
        <v>0</v>
      </c>
      <c r="AS110">
        <v>0</v>
      </c>
      <c r="AT110">
        <v>325000</v>
      </c>
      <c r="AU110">
        <v>0</v>
      </c>
      <c r="AV110">
        <v>0</v>
      </c>
      <c r="AW110">
        <v>0</v>
      </c>
      <c r="AX110">
        <v>2</v>
      </c>
      <c r="AY110">
        <v>0</v>
      </c>
      <c r="AZ110">
        <v>0</v>
      </c>
      <c r="BA110">
        <v>0</v>
      </c>
      <c r="BB110">
        <v>0</v>
      </c>
      <c r="BC110">
        <v>1</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0</v>
      </c>
      <c r="BY110">
        <v>0</v>
      </c>
      <c r="BZ110">
        <v>0</v>
      </c>
      <c r="CA110">
        <v>0</v>
      </c>
      <c r="CB110">
        <v>0</v>
      </c>
      <c r="CD110">
        <v>18986</v>
      </c>
    </row>
    <row r="111" spans="1:82" x14ac:dyDescent="0.3">
      <c r="A111" s="155">
        <v>378</v>
      </c>
      <c r="B111" t="s">
        <v>102</v>
      </c>
      <c r="D111">
        <v>0</v>
      </c>
      <c r="E111">
        <v>0</v>
      </c>
      <c r="F111">
        <v>0</v>
      </c>
      <c r="G111">
        <v>0</v>
      </c>
      <c r="H111">
        <v>0</v>
      </c>
      <c r="I111">
        <v>0</v>
      </c>
      <c r="J111">
        <v>0</v>
      </c>
      <c r="K111">
        <v>0</v>
      </c>
      <c r="L111">
        <v>0</v>
      </c>
      <c r="M111">
        <v>0</v>
      </c>
      <c r="N111">
        <v>0</v>
      </c>
      <c r="O111">
        <v>0</v>
      </c>
      <c r="P111">
        <v>0</v>
      </c>
      <c r="Q111">
        <v>0</v>
      </c>
      <c r="R111">
        <v>0</v>
      </c>
      <c r="S111">
        <v>0</v>
      </c>
      <c r="T111">
        <v>0</v>
      </c>
      <c r="U111">
        <v>0</v>
      </c>
      <c r="V111">
        <v>-242617</v>
      </c>
      <c r="W111">
        <v>0</v>
      </c>
      <c r="X111">
        <v>0</v>
      </c>
      <c r="Y111">
        <v>0</v>
      </c>
      <c r="Z111">
        <v>0</v>
      </c>
      <c r="AA111">
        <v>0</v>
      </c>
      <c r="AB111">
        <v>0</v>
      </c>
      <c r="AC111">
        <v>0</v>
      </c>
      <c r="AD111">
        <v>0</v>
      </c>
      <c r="AE111">
        <v>0</v>
      </c>
      <c r="AF111">
        <v>0</v>
      </c>
      <c r="AG111">
        <v>0</v>
      </c>
      <c r="AH111">
        <v>0</v>
      </c>
      <c r="AI111">
        <v>0</v>
      </c>
      <c r="AJ111">
        <v>0</v>
      </c>
      <c r="AK111">
        <v>0</v>
      </c>
      <c r="AM111">
        <v>0</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0</v>
      </c>
      <c r="BY111">
        <v>0</v>
      </c>
      <c r="BZ111">
        <v>0</v>
      </c>
      <c r="CA111">
        <v>0</v>
      </c>
      <c r="CB111">
        <v>0</v>
      </c>
      <c r="CD111">
        <v>0</v>
      </c>
    </row>
    <row r="112" spans="1:82" x14ac:dyDescent="0.3">
      <c r="A112" s="155">
        <v>379</v>
      </c>
      <c r="B112" t="s">
        <v>110</v>
      </c>
      <c r="D112">
        <v>211747</v>
      </c>
      <c r="E112">
        <v>196895</v>
      </c>
      <c r="F112">
        <v>1031800</v>
      </c>
      <c r="G112">
        <v>5228079</v>
      </c>
      <c r="H112">
        <v>6287156</v>
      </c>
      <c r="I112">
        <v>5273115</v>
      </c>
      <c r="J112">
        <v>130639</v>
      </c>
      <c r="K112">
        <v>1065265</v>
      </c>
      <c r="L112">
        <v>1109828</v>
      </c>
      <c r="M112">
        <v>11351033</v>
      </c>
      <c r="N112">
        <v>784994</v>
      </c>
      <c r="O112">
        <v>7986699</v>
      </c>
      <c r="P112">
        <v>321082</v>
      </c>
      <c r="Q112">
        <v>41791972</v>
      </c>
      <c r="R112">
        <v>781486</v>
      </c>
      <c r="S112">
        <v>191682</v>
      </c>
      <c r="T112">
        <v>85787624</v>
      </c>
      <c r="U112">
        <v>12533497</v>
      </c>
      <c r="V112">
        <v>27361483</v>
      </c>
      <c r="W112">
        <v>34830420</v>
      </c>
      <c r="X112">
        <v>381086</v>
      </c>
      <c r="Y112">
        <v>16568819</v>
      </c>
      <c r="Z112">
        <v>1779368</v>
      </c>
      <c r="AA112">
        <v>17838801</v>
      </c>
      <c r="AB112">
        <v>2006185</v>
      </c>
      <c r="AC112">
        <v>2543461</v>
      </c>
      <c r="AD112">
        <v>1888585</v>
      </c>
      <c r="AE112">
        <v>3987571</v>
      </c>
      <c r="AF112">
        <v>20510788</v>
      </c>
      <c r="AG112">
        <v>6618573</v>
      </c>
      <c r="AH112">
        <v>1607840</v>
      </c>
      <c r="AI112">
        <v>29186364</v>
      </c>
      <c r="AJ112">
        <v>3783900</v>
      </c>
      <c r="AK112">
        <v>1013655</v>
      </c>
      <c r="AM112">
        <v>14111039</v>
      </c>
      <c r="AN112">
        <v>771843</v>
      </c>
      <c r="AO112">
        <v>774217</v>
      </c>
      <c r="AP112">
        <v>101725</v>
      </c>
      <c r="AQ112">
        <v>4555219</v>
      </c>
      <c r="AR112">
        <v>54034632</v>
      </c>
      <c r="AS112">
        <v>1158916</v>
      </c>
      <c r="AT112">
        <v>2324224</v>
      </c>
      <c r="AU112">
        <v>349922</v>
      </c>
      <c r="AV112">
        <v>17730866</v>
      </c>
      <c r="AW112">
        <v>4072131</v>
      </c>
      <c r="AX112">
        <v>1176392</v>
      </c>
      <c r="AY112">
        <v>22735651</v>
      </c>
      <c r="AZ112">
        <v>2409436</v>
      </c>
      <c r="BA112">
        <v>1460422</v>
      </c>
      <c r="BB112">
        <v>120922</v>
      </c>
      <c r="BC112">
        <v>633419</v>
      </c>
      <c r="BD112">
        <v>8348322</v>
      </c>
      <c r="BE112">
        <v>667912</v>
      </c>
      <c r="BF112">
        <v>927095</v>
      </c>
      <c r="BG112">
        <v>298639</v>
      </c>
      <c r="BH112">
        <v>336368</v>
      </c>
      <c r="BI112">
        <v>538032</v>
      </c>
      <c r="BJ112">
        <v>343371</v>
      </c>
      <c r="BK112">
        <v>2792016</v>
      </c>
      <c r="BL112">
        <v>695973</v>
      </c>
      <c r="BM112">
        <v>785927</v>
      </c>
      <c r="BN112">
        <v>3460811</v>
      </c>
      <c r="BO112">
        <v>1469941</v>
      </c>
      <c r="BP112">
        <v>2628059</v>
      </c>
      <c r="BQ112">
        <v>14631698</v>
      </c>
      <c r="BR112">
        <v>781705</v>
      </c>
      <c r="BS112">
        <v>22040135</v>
      </c>
      <c r="BT112">
        <v>893017</v>
      </c>
      <c r="BU112">
        <v>7196461</v>
      </c>
      <c r="BV112">
        <v>1153338</v>
      </c>
      <c r="BW112">
        <v>1841679</v>
      </c>
      <c r="BX112">
        <v>2168070</v>
      </c>
      <c r="BY112">
        <v>349904</v>
      </c>
      <c r="BZ112">
        <v>926409</v>
      </c>
      <c r="CA112">
        <v>190089</v>
      </c>
      <c r="CB112">
        <v>685403</v>
      </c>
      <c r="CD112">
        <v>410758</v>
      </c>
    </row>
    <row r="113" spans="1:82" x14ac:dyDescent="0.3">
      <c r="A113" s="155">
        <v>380</v>
      </c>
      <c r="B113" t="s">
        <v>113</v>
      </c>
      <c r="D113">
        <v>31196</v>
      </c>
      <c r="E113">
        <v>1020</v>
      </c>
      <c r="F113">
        <v>23684</v>
      </c>
      <c r="G113">
        <v>44121</v>
      </c>
      <c r="H113">
        <v>13681</v>
      </c>
      <c r="I113">
        <v>48236</v>
      </c>
      <c r="J113">
        <v>2792</v>
      </c>
      <c r="K113">
        <v>558</v>
      </c>
      <c r="L113">
        <v>1555</v>
      </c>
      <c r="M113">
        <v>149064</v>
      </c>
      <c r="N113">
        <v>1542</v>
      </c>
      <c r="O113">
        <v>68570</v>
      </c>
      <c r="P113">
        <v>579</v>
      </c>
      <c r="Q113">
        <v>839689</v>
      </c>
      <c r="R113">
        <v>0</v>
      </c>
      <c r="S113">
        <v>0</v>
      </c>
      <c r="T113">
        <v>0</v>
      </c>
      <c r="U113">
        <v>0</v>
      </c>
      <c r="V113">
        <v>275407</v>
      </c>
      <c r="W113">
        <v>6490</v>
      </c>
      <c r="X113">
        <v>58722</v>
      </c>
      <c r="Y113">
        <v>195935</v>
      </c>
      <c r="Z113">
        <v>70535</v>
      </c>
      <c r="AA113">
        <v>123147</v>
      </c>
      <c r="AB113">
        <v>118558</v>
      </c>
      <c r="AC113">
        <v>20432</v>
      </c>
      <c r="AD113">
        <v>87355</v>
      </c>
      <c r="AE113">
        <v>98413</v>
      </c>
      <c r="AF113">
        <v>4971</v>
      </c>
      <c r="AG113">
        <v>257800</v>
      </c>
      <c r="AH113">
        <v>24271</v>
      </c>
      <c r="AI113">
        <v>237934</v>
      </c>
      <c r="AJ113">
        <v>1652</v>
      </c>
      <c r="AK113">
        <v>3044</v>
      </c>
      <c r="AM113">
        <v>339197</v>
      </c>
      <c r="AN113">
        <v>15692</v>
      </c>
      <c r="AO113">
        <v>34993</v>
      </c>
      <c r="AP113">
        <v>0</v>
      </c>
      <c r="AQ113">
        <v>49114</v>
      </c>
      <c r="AR113">
        <v>33722749</v>
      </c>
      <c r="AS113">
        <v>13944</v>
      </c>
      <c r="AT113">
        <v>40590</v>
      </c>
      <c r="AU113">
        <v>33645</v>
      </c>
      <c r="AV113">
        <v>97181</v>
      </c>
      <c r="AW113">
        <v>8136</v>
      </c>
      <c r="AX113">
        <v>44033</v>
      </c>
      <c r="AY113">
        <v>0</v>
      </c>
      <c r="AZ113">
        <v>8547</v>
      </c>
      <c r="BA113">
        <v>43191</v>
      </c>
      <c r="BB113">
        <v>0</v>
      </c>
      <c r="BC113">
        <v>1368</v>
      </c>
      <c r="BD113">
        <v>138961</v>
      </c>
      <c r="BE113">
        <v>0</v>
      </c>
      <c r="BF113">
        <v>31283</v>
      </c>
      <c r="BG113">
        <v>50612</v>
      </c>
      <c r="BH113">
        <v>372</v>
      </c>
      <c r="BI113">
        <v>17018</v>
      </c>
      <c r="BJ113">
        <v>4116</v>
      </c>
      <c r="BK113">
        <v>112295</v>
      </c>
      <c r="BL113">
        <v>0</v>
      </c>
      <c r="BM113">
        <v>11536</v>
      </c>
      <c r="BN113">
        <v>64524</v>
      </c>
      <c r="BO113">
        <v>1171</v>
      </c>
      <c r="BP113">
        <v>4514</v>
      </c>
      <c r="BQ113">
        <v>27839</v>
      </c>
      <c r="BR113">
        <v>47117</v>
      </c>
      <c r="BS113">
        <v>105046</v>
      </c>
      <c r="BT113">
        <v>10355</v>
      </c>
      <c r="BU113">
        <v>79424</v>
      </c>
      <c r="BV113">
        <v>7489</v>
      </c>
      <c r="BW113">
        <v>246576</v>
      </c>
      <c r="BX113">
        <v>40040</v>
      </c>
      <c r="BY113">
        <v>158</v>
      </c>
      <c r="BZ113">
        <v>17366</v>
      </c>
      <c r="CA113">
        <v>1122</v>
      </c>
      <c r="CB113">
        <v>4921</v>
      </c>
      <c r="CD113">
        <v>2648</v>
      </c>
    </row>
    <row r="114" spans="1:82" x14ac:dyDescent="0.3">
      <c r="A114" s="155">
        <v>381</v>
      </c>
      <c r="B114" t="s">
        <v>105</v>
      </c>
      <c r="D114">
        <v>2590726</v>
      </c>
      <c r="E114">
        <v>0</v>
      </c>
      <c r="F114">
        <v>6759369</v>
      </c>
      <c r="G114">
        <v>0</v>
      </c>
      <c r="H114">
        <v>0</v>
      </c>
      <c r="I114">
        <v>0</v>
      </c>
      <c r="J114">
        <v>2389144</v>
      </c>
      <c r="K114">
        <v>0</v>
      </c>
      <c r="L114">
        <v>0</v>
      </c>
      <c r="M114">
        <v>0</v>
      </c>
      <c r="N114">
        <v>0</v>
      </c>
      <c r="O114">
        <v>19115612</v>
      </c>
      <c r="P114">
        <v>0</v>
      </c>
      <c r="Q114">
        <v>153415373</v>
      </c>
      <c r="R114">
        <v>2330622</v>
      </c>
      <c r="S114">
        <v>0</v>
      </c>
      <c r="T114">
        <v>213255636</v>
      </c>
      <c r="U114">
        <v>63053333</v>
      </c>
      <c r="V114">
        <v>82157012</v>
      </c>
      <c r="W114">
        <v>0</v>
      </c>
      <c r="X114">
        <v>3362399</v>
      </c>
      <c r="Y114">
        <v>48212669</v>
      </c>
      <c r="Z114">
        <v>13913373</v>
      </c>
      <c r="AA114">
        <v>42099852</v>
      </c>
      <c r="AB114">
        <v>26094953</v>
      </c>
      <c r="AC114">
        <v>4533833</v>
      </c>
      <c r="AD114">
        <v>7402221</v>
      </c>
      <c r="AE114">
        <v>14692955</v>
      </c>
      <c r="AF114">
        <v>10726052</v>
      </c>
      <c r="AG114">
        <v>8635188</v>
      </c>
      <c r="AH114">
        <v>0</v>
      </c>
      <c r="AI114">
        <v>134629145</v>
      </c>
      <c r="AJ114">
        <v>1828859</v>
      </c>
      <c r="AK114">
        <v>4632138</v>
      </c>
      <c r="AM114">
        <v>33761788</v>
      </c>
      <c r="AN114">
        <v>1028345</v>
      </c>
      <c r="AO114">
        <v>2690668</v>
      </c>
      <c r="AP114">
        <v>0</v>
      </c>
      <c r="AQ114">
        <v>0</v>
      </c>
      <c r="AR114">
        <v>21518226</v>
      </c>
      <c r="AS114">
        <v>0</v>
      </c>
      <c r="AT114">
        <v>12392725</v>
      </c>
      <c r="AU114">
        <v>0</v>
      </c>
      <c r="AV114">
        <v>134476990</v>
      </c>
      <c r="AW114">
        <v>0</v>
      </c>
      <c r="AX114">
        <v>7832201</v>
      </c>
      <c r="AY114">
        <v>12599584</v>
      </c>
      <c r="AZ114">
        <v>6748106</v>
      </c>
      <c r="BA114">
        <v>1397813</v>
      </c>
      <c r="BB114">
        <v>0</v>
      </c>
      <c r="BC114">
        <v>693622</v>
      </c>
      <c r="BD114">
        <v>57352589</v>
      </c>
      <c r="BE114">
        <v>0</v>
      </c>
      <c r="BF114">
        <v>3176954</v>
      </c>
      <c r="BG114">
        <v>2965316</v>
      </c>
      <c r="BH114">
        <v>0</v>
      </c>
      <c r="BI114">
        <v>3180857</v>
      </c>
      <c r="BJ114">
        <v>0</v>
      </c>
      <c r="BK114">
        <v>18529756</v>
      </c>
      <c r="BL114">
        <v>10559204</v>
      </c>
      <c r="BM114">
        <v>8519751</v>
      </c>
      <c r="BN114">
        <v>4382556</v>
      </c>
      <c r="BO114">
        <v>4897914</v>
      </c>
      <c r="BP114">
        <v>1686766</v>
      </c>
      <c r="BQ114">
        <v>0</v>
      </c>
      <c r="BR114">
        <v>6012591</v>
      </c>
      <c r="BS114">
        <v>0</v>
      </c>
      <c r="BT114">
        <v>7171836</v>
      </c>
      <c r="BU114">
        <v>17637093</v>
      </c>
      <c r="BV114">
        <v>0</v>
      </c>
      <c r="BW114">
        <v>14104571</v>
      </c>
      <c r="BX114">
        <v>3426488</v>
      </c>
      <c r="BY114">
        <v>629459</v>
      </c>
      <c r="BZ114">
        <v>5100215</v>
      </c>
      <c r="CA114">
        <v>4587697</v>
      </c>
      <c r="CB114">
        <v>4112999</v>
      </c>
      <c r="CD114">
        <v>789674</v>
      </c>
    </row>
    <row r="115" spans="1:82" x14ac:dyDescent="0.3">
      <c r="A115" s="155">
        <v>382</v>
      </c>
      <c r="B115" t="s">
        <v>106</v>
      </c>
      <c r="D115">
        <v>0</v>
      </c>
      <c r="E115">
        <v>0</v>
      </c>
      <c r="F115">
        <v>0</v>
      </c>
      <c r="G115">
        <v>0</v>
      </c>
      <c r="H115">
        <v>0</v>
      </c>
      <c r="I115">
        <v>0</v>
      </c>
      <c r="J115">
        <v>0</v>
      </c>
      <c r="K115">
        <v>0</v>
      </c>
      <c r="L115">
        <v>0</v>
      </c>
      <c r="M115">
        <v>0</v>
      </c>
      <c r="N115">
        <v>0</v>
      </c>
      <c r="O115">
        <v>0</v>
      </c>
      <c r="P115">
        <v>0</v>
      </c>
      <c r="Q115">
        <v>182960764</v>
      </c>
      <c r="R115">
        <v>0</v>
      </c>
      <c r="S115">
        <v>0</v>
      </c>
      <c r="T115">
        <v>0</v>
      </c>
      <c r="U115">
        <v>0</v>
      </c>
      <c r="V115">
        <v>38535975</v>
      </c>
      <c r="W115">
        <v>0</v>
      </c>
      <c r="X115">
        <v>0</v>
      </c>
      <c r="Y115">
        <v>0</v>
      </c>
      <c r="Z115">
        <v>0</v>
      </c>
      <c r="AA115">
        <v>0</v>
      </c>
      <c r="AB115">
        <v>0</v>
      </c>
      <c r="AC115">
        <v>0</v>
      </c>
      <c r="AD115">
        <v>0</v>
      </c>
      <c r="AE115">
        <v>0</v>
      </c>
      <c r="AF115">
        <v>0</v>
      </c>
      <c r="AG115">
        <v>0</v>
      </c>
      <c r="AH115">
        <v>0</v>
      </c>
      <c r="AI115">
        <v>66662746</v>
      </c>
      <c r="AJ115">
        <v>0</v>
      </c>
      <c r="AK115">
        <v>0</v>
      </c>
      <c r="AM115">
        <v>27468206</v>
      </c>
      <c r="AN115">
        <v>0</v>
      </c>
      <c r="AO115">
        <v>0</v>
      </c>
      <c r="AP115">
        <v>0</v>
      </c>
      <c r="AQ115">
        <v>0</v>
      </c>
      <c r="AR115">
        <v>0</v>
      </c>
      <c r="AS115">
        <v>0</v>
      </c>
      <c r="AT115">
        <v>0</v>
      </c>
      <c r="AU115">
        <v>796819</v>
      </c>
      <c r="AV115">
        <v>0</v>
      </c>
      <c r="AW115">
        <v>0</v>
      </c>
      <c r="AX115">
        <v>0</v>
      </c>
      <c r="AY115">
        <v>0</v>
      </c>
      <c r="AZ115">
        <v>0</v>
      </c>
      <c r="BA115">
        <v>0</v>
      </c>
      <c r="BB115">
        <v>0</v>
      </c>
      <c r="BC115">
        <v>0</v>
      </c>
      <c r="BD115">
        <v>0</v>
      </c>
      <c r="BE115">
        <v>0</v>
      </c>
      <c r="BF115">
        <v>0</v>
      </c>
      <c r="BG115">
        <v>0</v>
      </c>
      <c r="BH115">
        <v>0</v>
      </c>
      <c r="BI115">
        <v>0</v>
      </c>
      <c r="BJ115">
        <v>0</v>
      </c>
      <c r="BK115">
        <v>0</v>
      </c>
      <c r="BL115">
        <v>2257952</v>
      </c>
      <c r="BM115">
        <v>0</v>
      </c>
      <c r="BN115">
        <v>0</v>
      </c>
      <c r="BO115">
        <v>0</v>
      </c>
      <c r="BP115">
        <v>0</v>
      </c>
      <c r="BQ115">
        <v>0</v>
      </c>
      <c r="BR115">
        <v>1937030</v>
      </c>
      <c r="BS115">
        <v>23495334</v>
      </c>
      <c r="BT115">
        <v>0</v>
      </c>
      <c r="BU115">
        <v>0</v>
      </c>
      <c r="BV115">
        <v>0</v>
      </c>
      <c r="BW115">
        <v>0</v>
      </c>
      <c r="BX115">
        <v>0</v>
      </c>
      <c r="BY115">
        <v>0</v>
      </c>
      <c r="BZ115">
        <v>0</v>
      </c>
      <c r="CA115">
        <v>0</v>
      </c>
      <c r="CB115">
        <v>0</v>
      </c>
      <c r="CD115">
        <v>0</v>
      </c>
    </row>
    <row r="116" spans="1:82" x14ac:dyDescent="0.3">
      <c r="A116" s="155">
        <v>383</v>
      </c>
      <c r="B116" t="s">
        <v>212</v>
      </c>
      <c r="D116">
        <v>0</v>
      </c>
      <c r="E116">
        <v>0</v>
      </c>
      <c r="F116">
        <v>0</v>
      </c>
      <c r="G116">
        <v>0</v>
      </c>
      <c r="H116">
        <v>0</v>
      </c>
      <c r="I116">
        <v>0</v>
      </c>
      <c r="J116">
        <v>0</v>
      </c>
      <c r="K116">
        <v>0</v>
      </c>
      <c r="L116">
        <v>0</v>
      </c>
      <c r="M116">
        <v>0</v>
      </c>
      <c r="N116">
        <v>0</v>
      </c>
      <c r="O116">
        <v>0</v>
      </c>
      <c r="P116">
        <v>0</v>
      </c>
      <c r="Q116">
        <v>0</v>
      </c>
      <c r="R116">
        <v>0</v>
      </c>
      <c r="S116">
        <v>0</v>
      </c>
      <c r="T116">
        <v>0</v>
      </c>
      <c r="U116">
        <v>0</v>
      </c>
      <c r="V116">
        <v>0</v>
      </c>
      <c r="W116">
        <v>0</v>
      </c>
      <c r="X116">
        <v>0</v>
      </c>
      <c r="Y116">
        <v>37100</v>
      </c>
      <c r="Z116">
        <v>0</v>
      </c>
      <c r="AA116">
        <v>0</v>
      </c>
      <c r="AB116">
        <v>0</v>
      </c>
      <c r="AC116">
        <v>0</v>
      </c>
      <c r="AD116">
        <v>0</v>
      </c>
      <c r="AE116">
        <v>0</v>
      </c>
      <c r="AF116">
        <v>0</v>
      </c>
      <c r="AG116">
        <v>0</v>
      </c>
      <c r="AH116">
        <v>0</v>
      </c>
      <c r="AI116">
        <v>0</v>
      </c>
      <c r="AJ116">
        <v>0</v>
      </c>
      <c r="AK116">
        <v>0</v>
      </c>
      <c r="AM116">
        <v>0</v>
      </c>
      <c r="AN116">
        <v>0</v>
      </c>
      <c r="AO116">
        <v>0</v>
      </c>
      <c r="AP116">
        <v>0</v>
      </c>
      <c r="AQ116">
        <v>0</v>
      </c>
      <c r="AR116">
        <v>0</v>
      </c>
      <c r="AS116">
        <v>0</v>
      </c>
      <c r="AT116">
        <v>53327</v>
      </c>
      <c r="AU116">
        <v>0</v>
      </c>
      <c r="AV116">
        <v>51281</v>
      </c>
      <c r="AW116">
        <v>0</v>
      </c>
      <c r="AX116">
        <v>0</v>
      </c>
      <c r="AY116">
        <v>0</v>
      </c>
      <c r="AZ116">
        <v>0</v>
      </c>
      <c r="BA116">
        <v>0</v>
      </c>
      <c r="BB116">
        <v>0</v>
      </c>
      <c r="BC116">
        <v>0</v>
      </c>
      <c r="BD116">
        <v>815297</v>
      </c>
      <c r="BE116">
        <v>0</v>
      </c>
      <c r="BF116">
        <v>0</v>
      </c>
      <c r="BG116">
        <v>0</v>
      </c>
      <c r="BH116">
        <v>0</v>
      </c>
      <c r="BI116">
        <v>0</v>
      </c>
      <c r="BJ116">
        <v>0</v>
      </c>
      <c r="BK116">
        <v>0</v>
      </c>
      <c r="BL116">
        <v>0</v>
      </c>
      <c r="BM116">
        <v>0</v>
      </c>
      <c r="BN116">
        <v>16230</v>
      </c>
      <c r="BO116">
        <v>1544</v>
      </c>
      <c r="BP116">
        <v>11056</v>
      </c>
      <c r="BQ116">
        <v>0</v>
      </c>
      <c r="BR116">
        <v>0</v>
      </c>
      <c r="BS116">
        <v>0</v>
      </c>
      <c r="BT116">
        <v>0</v>
      </c>
      <c r="BU116">
        <v>0</v>
      </c>
      <c r="BV116">
        <v>0</v>
      </c>
      <c r="BW116">
        <v>0</v>
      </c>
      <c r="BX116">
        <v>0</v>
      </c>
      <c r="BY116">
        <v>0</v>
      </c>
      <c r="BZ116">
        <v>0</v>
      </c>
      <c r="CA116">
        <v>6404</v>
      </c>
      <c r="CB116">
        <v>0</v>
      </c>
      <c r="CD116">
        <v>0</v>
      </c>
    </row>
    <row r="117" spans="1:82" x14ac:dyDescent="0.3">
      <c r="A117" s="155">
        <v>384</v>
      </c>
      <c r="B117" t="s">
        <v>116</v>
      </c>
      <c r="D117">
        <v>0</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c r="AG117">
        <v>0</v>
      </c>
      <c r="AH117">
        <v>0</v>
      </c>
      <c r="AI117">
        <v>0</v>
      </c>
      <c r="AJ117">
        <v>0</v>
      </c>
      <c r="AK117">
        <v>0</v>
      </c>
      <c r="AM117">
        <v>0</v>
      </c>
      <c r="AN117">
        <v>0</v>
      </c>
      <c r="AO117">
        <v>0</v>
      </c>
      <c r="AP117">
        <v>0</v>
      </c>
      <c r="AQ117">
        <v>0</v>
      </c>
      <c r="AR117">
        <v>0</v>
      </c>
      <c r="AS117">
        <v>0</v>
      </c>
      <c r="AT117">
        <v>0</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0</v>
      </c>
      <c r="BP117">
        <v>0</v>
      </c>
      <c r="BQ117">
        <v>0</v>
      </c>
      <c r="BR117">
        <v>0</v>
      </c>
      <c r="BS117">
        <v>0</v>
      </c>
      <c r="BT117">
        <v>0</v>
      </c>
      <c r="BU117">
        <v>0</v>
      </c>
      <c r="BV117">
        <v>0</v>
      </c>
      <c r="BW117">
        <v>0</v>
      </c>
      <c r="BX117">
        <v>0</v>
      </c>
      <c r="BY117">
        <v>0</v>
      </c>
      <c r="BZ117">
        <v>0</v>
      </c>
      <c r="CA117">
        <v>0</v>
      </c>
      <c r="CB117">
        <v>0</v>
      </c>
      <c r="CD117">
        <v>0</v>
      </c>
    </row>
    <row r="118" spans="1:82" x14ac:dyDescent="0.3">
      <c r="A118" s="155">
        <v>385</v>
      </c>
      <c r="B118" t="s">
        <v>107</v>
      </c>
      <c r="D118">
        <v>360380</v>
      </c>
      <c r="E118">
        <v>357695</v>
      </c>
      <c r="F118">
        <v>2237128</v>
      </c>
      <c r="G118">
        <v>11775739</v>
      </c>
      <c r="H118">
        <v>9139619</v>
      </c>
      <c r="I118">
        <v>11388607</v>
      </c>
      <c r="J118">
        <v>139279</v>
      </c>
      <c r="K118">
        <v>2762207</v>
      </c>
      <c r="L118">
        <v>1443848</v>
      </c>
      <c r="M118">
        <v>89950808</v>
      </c>
      <c r="N118">
        <v>1344064</v>
      </c>
      <c r="O118">
        <v>15996879</v>
      </c>
      <c r="P118">
        <v>480196</v>
      </c>
      <c r="Q118">
        <v>157282282</v>
      </c>
      <c r="R118">
        <v>7594627</v>
      </c>
      <c r="S118">
        <v>314966</v>
      </c>
      <c r="T118">
        <v>279897966</v>
      </c>
      <c r="U118">
        <v>70939771</v>
      </c>
      <c r="V118">
        <v>70420190</v>
      </c>
      <c r="W118">
        <v>219437693</v>
      </c>
      <c r="X118">
        <v>649116</v>
      </c>
      <c r="Y118">
        <v>45888479</v>
      </c>
      <c r="Z118">
        <v>3608465</v>
      </c>
      <c r="AA118">
        <v>50635615</v>
      </c>
      <c r="AB118">
        <v>6547991</v>
      </c>
      <c r="AC118">
        <v>6361598</v>
      </c>
      <c r="AD118">
        <v>3275282</v>
      </c>
      <c r="AE118">
        <v>8168951</v>
      </c>
      <c r="AF118">
        <v>73838430</v>
      </c>
      <c r="AG118">
        <v>15556315</v>
      </c>
      <c r="AH118">
        <v>3866644</v>
      </c>
      <c r="AI118">
        <v>117281979</v>
      </c>
      <c r="AJ118">
        <v>8502697</v>
      </c>
      <c r="AK118">
        <v>3800234</v>
      </c>
      <c r="AM118">
        <v>37498439</v>
      </c>
      <c r="AN118">
        <v>1161167</v>
      </c>
      <c r="AO118">
        <v>1266859</v>
      </c>
      <c r="AP118">
        <v>193193</v>
      </c>
      <c r="AQ118">
        <v>42154093</v>
      </c>
      <c r="AR118">
        <v>97699480</v>
      </c>
      <c r="AS118">
        <v>1336643</v>
      </c>
      <c r="AT118">
        <v>5548319</v>
      </c>
      <c r="AU118">
        <v>564787</v>
      </c>
      <c r="AV118">
        <v>62946250</v>
      </c>
      <c r="AW118">
        <v>12261587</v>
      </c>
      <c r="AX118">
        <v>5081731</v>
      </c>
      <c r="AY118">
        <v>44562280</v>
      </c>
      <c r="AZ118">
        <v>4457826</v>
      </c>
      <c r="BA118">
        <v>4657909</v>
      </c>
      <c r="BB118">
        <v>170853</v>
      </c>
      <c r="BC118">
        <v>912699</v>
      </c>
      <c r="BD118">
        <v>17091358</v>
      </c>
      <c r="BE118">
        <v>737948</v>
      </c>
      <c r="BF118">
        <v>1086431</v>
      </c>
      <c r="BG118">
        <v>456100</v>
      </c>
      <c r="BH118">
        <v>426685</v>
      </c>
      <c r="BI118">
        <v>821224</v>
      </c>
      <c r="BJ118">
        <v>749600</v>
      </c>
      <c r="BK118">
        <v>10964706</v>
      </c>
      <c r="BL118">
        <v>1170805</v>
      </c>
      <c r="BM118">
        <v>3308678</v>
      </c>
      <c r="BN118">
        <v>15344063</v>
      </c>
      <c r="BO118">
        <v>2715249</v>
      </c>
      <c r="BP118">
        <v>5700667</v>
      </c>
      <c r="BQ118">
        <v>44798779</v>
      </c>
      <c r="BR118">
        <v>1665838</v>
      </c>
      <c r="BS118">
        <v>82104540</v>
      </c>
      <c r="BT118">
        <v>2077289</v>
      </c>
      <c r="BU118">
        <v>14563697</v>
      </c>
      <c r="BV118">
        <v>5673107</v>
      </c>
      <c r="BW118">
        <v>5179569</v>
      </c>
      <c r="BX118">
        <v>2811336</v>
      </c>
      <c r="BY118">
        <v>672533</v>
      </c>
      <c r="BZ118">
        <v>2067020</v>
      </c>
      <c r="CA118">
        <v>250343</v>
      </c>
      <c r="CB118">
        <v>1928605</v>
      </c>
      <c r="CD118">
        <v>492480</v>
      </c>
    </row>
    <row r="119" spans="1:82" x14ac:dyDescent="0.3">
      <c r="A119" s="155">
        <v>386</v>
      </c>
      <c r="B119" t="s">
        <v>185</v>
      </c>
      <c r="D119">
        <v>0</v>
      </c>
      <c r="E119">
        <v>0</v>
      </c>
      <c r="F119">
        <v>0</v>
      </c>
      <c r="G119">
        <v>0</v>
      </c>
      <c r="H119">
        <v>0</v>
      </c>
      <c r="I119">
        <v>0</v>
      </c>
      <c r="J119">
        <v>0</v>
      </c>
      <c r="K119">
        <v>0</v>
      </c>
      <c r="L119">
        <v>0</v>
      </c>
      <c r="M119">
        <v>0</v>
      </c>
      <c r="N119">
        <v>0</v>
      </c>
      <c r="O119">
        <v>0</v>
      </c>
      <c r="P119">
        <v>0</v>
      </c>
      <c r="Q119">
        <v>7249417</v>
      </c>
      <c r="R119">
        <v>0</v>
      </c>
      <c r="S119">
        <v>0</v>
      </c>
      <c r="T119">
        <v>1447202</v>
      </c>
      <c r="U119">
        <v>0</v>
      </c>
      <c r="V119">
        <v>784199</v>
      </c>
      <c r="W119">
        <v>0</v>
      </c>
      <c r="X119">
        <v>0</v>
      </c>
      <c r="Y119">
        <v>13351</v>
      </c>
      <c r="Z119">
        <v>29071</v>
      </c>
      <c r="AA119">
        <v>0</v>
      </c>
      <c r="AB119">
        <v>0</v>
      </c>
      <c r="AC119">
        <v>0</v>
      </c>
      <c r="AD119">
        <v>0</v>
      </c>
      <c r="AE119">
        <v>0</v>
      </c>
      <c r="AF119">
        <v>0</v>
      </c>
      <c r="AG119">
        <v>92477</v>
      </c>
      <c r="AH119">
        <v>0</v>
      </c>
      <c r="AI119">
        <v>3413610</v>
      </c>
      <c r="AJ119">
        <v>500000</v>
      </c>
      <c r="AK119">
        <v>0</v>
      </c>
      <c r="AM119">
        <v>536000</v>
      </c>
      <c r="AN119">
        <v>0</v>
      </c>
      <c r="AO119">
        <v>0</v>
      </c>
      <c r="AP119">
        <v>0</v>
      </c>
      <c r="AQ119">
        <v>0</v>
      </c>
      <c r="AR119">
        <v>0</v>
      </c>
      <c r="AS119">
        <v>0</v>
      </c>
      <c r="AT119">
        <v>61205</v>
      </c>
      <c r="AU119">
        <v>0</v>
      </c>
      <c r="AV119">
        <v>245000</v>
      </c>
      <c r="AW119">
        <v>0</v>
      </c>
      <c r="AX119">
        <v>0</v>
      </c>
      <c r="AY119">
        <v>0</v>
      </c>
      <c r="AZ119">
        <v>0</v>
      </c>
      <c r="BA119">
        <v>0</v>
      </c>
      <c r="BB119">
        <v>0</v>
      </c>
      <c r="BC119">
        <v>0</v>
      </c>
      <c r="BD119">
        <v>225975</v>
      </c>
      <c r="BE119">
        <v>0</v>
      </c>
      <c r="BF119">
        <v>0</v>
      </c>
      <c r="BG119">
        <v>0</v>
      </c>
      <c r="BH119">
        <v>0</v>
      </c>
      <c r="BI119">
        <v>0</v>
      </c>
      <c r="BJ119">
        <v>0</v>
      </c>
      <c r="BK119">
        <v>0</v>
      </c>
      <c r="BL119">
        <v>0</v>
      </c>
      <c r="BM119">
        <v>0</v>
      </c>
      <c r="BN119">
        <v>0</v>
      </c>
      <c r="BO119">
        <v>0</v>
      </c>
      <c r="BP119">
        <v>0</v>
      </c>
      <c r="BQ119">
        <v>0</v>
      </c>
      <c r="BR119">
        <v>375000</v>
      </c>
      <c r="BS119">
        <v>41277</v>
      </c>
      <c r="BT119">
        <v>0</v>
      </c>
      <c r="BU119">
        <v>0</v>
      </c>
      <c r="BV119">
        <v>0</v>
      </c>
      <c r="BW119">
        <v>0</v>
      </c>
      <c r="BX119">
        <v>0</v>
      </c>
      <c r="BY119">
        <v>0</v>
      </c>
      <c r="BZ119">
        <v>0</v>
      </c>
      <c r="CA119">
        <v>0</v>
      </c>
      <c r="CB119">
        <v>0</v>
      </c>
      <c r="CD119">
        <v>0</v>
      </c>
    </row>
    <row r="120" spans="1:82" x14ac:dyDescent="0.3">
      <c r="A120" s="155">
        <v>387</v>
      </c>
      <c r="B120" t="s">
        <v>186</v>
      </c>
      <c r="D120">
        <v>0</v>
      </c>
      <c r="E120">
        <v>0</v>
      </c>
      <c r="F120">
        <v>0</v>
      </c>
      <c r="G120">
        <v>0</v>
      </c>
      <c r="H120">
        <v>0</v>
      </c>
      <c r="I120">
        <v>0</v>
      </c>
      <c r="J120">
        <v>0</v>
      </c>
      <c r="K120">
        <v>0</v>
      </c>
      <c r="L120">
        <v>0</v>
      </c>
      <c r="M120">
        <v>0</v>
      </c>
      <c r="N120">
        <v>0</v>
      </c>
      <c r="O120">
        <v>0</v>
      </c>
      <c r="P120">
        <v>0</v>
      </c>
      <c r="Q120">
        <v>6441440</v>
      </c>
      <c r="R120">
        <v>0</v>
      </c>
      <c r="S120">
        <v>0</v>
      </c>
      <c r="T120">
        <v>0</v>
      </c>
      <c r="U120">
        <v>0</v>
      </c>
      <c r="V120">
        <v>0</v>
      </c>
      <c r="W120">
        <v>0</v>
      </c>
      <c r="X120">
        <v>0</v>
      </c>
      <c r="Y120">
        <v>472141</v>
      </c>
      <c r="Z120">
        <v>26425</v>
      </c>
      <c r="AA120">
        <v>0</v>
      </c>
      <c r="AB120">
        <v>40000</v>
      </c>
      <c r="AC120">
        <v>0</v>
      </c>
      <c r="AD120">
        <v>0</v>
      </c>
      <c r="AE120">
        <v>0</v>
      </c>
      <c r="AF120">
        <v>0</v>
      </c>
      <c r="AG120">
        <v>0</v>
      </c>
      <c r="AH120">
        <v>0</v>
      </c>
      <c r="AI120">
        <v>776060</v>
      </c>
      <c r="AJ120">
        <v>0</v>
      </c>
      <c r="AK120">
        <v>0</v>
      </c>
      <c r="AM120">
        <v>0</v>
      </c>
      <c r="AN120">
        <v>0</v>
      </c>
      <c r="AO120">
        <v>0</v>
      </c>
      <c r="AP120">
        <v>0</v>
      </c>
      <c r="AQ120">
        <v>0</v>
      </c>
      <c r="AR120">
        <v>0</v>
      </c>
      <c r="AS120">
        <v>0</v>
      </c>
      <c r="AT120">
        <v>0</v>
      </c>
      <c r="AU120">
        <v>0</v>
      </c>
      <c r="AV120">
        <v>0</v>
      </c>
      <c r="AW120">
        <v>0</v>
      </c>
      <c r="AX120">
        <v>0</v>
      </c>
      <c r="AY120">
        <v>0</v>
      </c>
      <c r="AZ120">
        <v>0</v>
      </c>
      <c r="BA120">
        <v>0</v>
      </c>
      <c r="BB120">
        <v>0</v>
      </c>
      <c r="BC120">
        <v>0</v>
      </c>
      <c r="BD120">
        <v>0</v>
      </c>
      <c r="BE120">
        <v>0</v>
      </c>
      <c r="BF120">
        <v>11275</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D120">
        <v>0</v>
      </c>
    </row>
    <row r="121" spans="1:82" x14ac:dyDescent="0.3">
      <c r="A121" s="155">
        <v>388</v>
      </c>
      <c r="B121" t="s">
        <v>180</v>
      </c>
      <c r="D121">
        <v>323551</v>
      </c>
      <c r="E121">
        <v>48604</v>
      </c>
      <c r="F121">
        <v>916979</v>
      </c>
      <c r="G121">
        <v>1975287</v>
      </c>
      <c r="H121">
        <v>1054725</v>
      </c>
      <c r="I121">
        <v>3861511</v>
      </c>
      <c r="J121">
        <v>76116</v>
      </c>
      <c r="K121">
        <v>295639</v>
      </c>
      <c r="L121">
        <v>196555</v>
      </c>
      <c r="M121">
        <v>17674502</v>
      </c>
      <c r="N121">
        <v>556851</v>
      </c>
      <c r="O121">
        <v>5728588</v>
      </c>
      <c r="P121">
        <v>106338</v>
      </c>
      <c r="Q121">
        <v>49154964</v>
      </c>
      <c r="R121">
        <v>1700004</v>
      </c>
      <c r="S121">
        <v>38667</v>
      </c>
      <c r="T121">
        <v>64029622</v>
      </c>
      <c r="U121">
        <v>17268557</v>
      </c>
      <c r="V121">
        <v>26676149</v>
      </c>
      <c r="W121">
        <v>53393415</v>
      </c>
      <c r="X121">
        <v>275680</v>
      </c>
      <c r="Y121">
        <v>13717554</v>
      </c>
      <c r="Z121">
        <v>1153347</v>
      </c>
      <c r="AA121">
        <v>13087875</v>
      </c>
      <c r="AB121">
        <v>4448584</v>
      </c>
      <c r="AC121">
        <v>1778163</v>
      </c>
      <c r="AD121">
        <v>2113545</v>
      </c>
      <c r="AE121">
        <v>2726767</v>
      </c>
      <c r="AF121">
        <v>24445566</v>
      </c>
      <c r="AG121">
        <v>6588488</v>
      </c>
      <c r="AH121">
        <v>1123300</v>
      </c>
      <c r="AI121">
        <v>44447944</v>
      </c>
      <c r="AJ121">
        <v>422866</v>
      </c>
      <c r="AK121">
        <v>990848</v>
      </c>
      <c r="AM121">
        <v>14572329</v>
      </c>
      <c r="AN121">
        <v>704434</v>
      </c>
      <c r="AO121">
        <v>653087</v>
      </c>
      <c r="AP121">
        <v>38641</v>
      </c>
      <c r="AQ121">
        <v>11054985</v>
      </c>
      <c r="AR121">
        <v>7372571</v>
      </c>
      <c r="AS121">
        <v>543209</v>
      </c>
      <c r="AT121">
        <v>2375926</v>
      </c>
      <c r="AU121">
        <v>194042</v>
      </c>
      <c r="AV121">
        <v>28696982</v>
      </c>
      <c r="AW121">
        <v>1600569</v>
      </c>
      <c r="AX121">
        <v>2081494</v>
      </c>
      <c r="AY121">
        <v>11418442</v>
      </c>
      <c r="AZ121">
        <v>1129623</v>
      </c>
      <c r="BA121">
        <v>1136297</v>
      </c>
      <c r="BB121">
        <v>23140</v>
      </c>
      <c r="BC121">
        <v>223337</v>
      </c>
      <c r="BD121">
        <v>10564877</v>
      </c>
      <c r="BE121">
        <v>266436</v>
      </c>
      <c r="BF121">
        <v>349344</v>
      </c>
      <c r="BG121">
        <v>314359</v>
      </c>
      <c r="BH121">
        <v>69855</v>
      </c>
      <c r="BI121">
        <v>256815</v>
      </c>
      <c r="BJ121">
        <v>105900</v>
      </c>
      <c r="BK121">
        <v>3657596</v>
      </c>
      <c r="BL121">
        <v>701575</v>
      </c>
      <c r="BM121">
        <v>1953453</v>
      </c>
      <c r="BN121">
        <v>4933462</v>
      </c>
      <c r="BO121">
        <v>1184389</v>
      </c>
      <c r="BP121">
        <v>1515384</v>
      </c>
      <c r="BQ121">
        <v>19667437</v>
      </c>
      <c r="BR121">
        <v>1444680</v>
      </c>
      <c r="BS121">
        <v>10476759</v>
      </c>
      <c r="BT121">
        <v>775529</v>
      </c>
      <c r="BU121">
        <v>4968347</v>
      </c>
      <c r="BV121">
        <v>733627</v>
      </c>
      <c r="BW121">
        <v>2480238</v>
      </c>
      <c r="BX121">
        <v>900496</v>
      </c>
      <c r="BY121">
        <v>81900</v>
      </c>
      <c r="BZ121">
        <v>232792</v>
      </c>
      <c r="CA121">
        <v>154021</v>
      </c>
      <c r="CB121">
        <v>1053607</v>
      </c>
      <c r="CD121">
        <v>54400</v>
      </c>
    </row>
    <row r="122" spans="1:82" x14ac:dyDescent="0.3">
      <c r="A122" s="155">
        <v>389</v>
      </c>
      <c r="B122" t="s">
        <v>187</v>
      </c>
      <c r="D122">
        <v>0</v>
      </c>
      <c r="E122">
        <v>0</v>
      </c>
      <c r="F122">
        <v>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0</v>
      </c>
      <c r="AF122">
        <v>0</v>
      </c>
      <c r="AG122">
        <v>0</v>
      </c>
      <c r="AH122">
        <v>0</v>
      </c>
      <c r="AI122">
        <v>0</v>
      </c>
      <c r="AJ122">
        <v>0</v>
      </c>
      <c r="AK122">
        <v>0</v>
      </c>
      <c r="AM122">
        <v>0</v>
      </c>
      <c r="AN122">
        <v>0</v>
      </c>
      <c r="AO122">
        <v>0</v>
      </c>
      <c r="AP122">
        <v>0</v>
      </c>
      <c r="AQ122">
        <v>0</v>
      </c>
      <c r="AR122">
        <v>0</v>
      </c>
      <c r="AS122">
        <v>0</v>
      </c>
      <c r="AT122">
        <v>0</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0</v>
      </c>
      <c r="BY122">
        <v>0</v>
      </c>
      <c r="BZ122">
        <v>0</v>
      </c>
      <c r="CA122">
        <v>0</v>
      </c>
      <c r="CB122">
        <v>0</v>
      </c>
      <c r="CD122">
        <v>0</v>
      </c>
    </row>
    <row r="123" spans="1:82" x14ac:dyDescent="0.3">
      <c r="A123" s="155">
        <v>391</v>
      </c>
      <c r="B123" t="s">
        <v>192</v>
      </c>
      <c r="D123">
        <v>15932</v>
      </c>
      <c r="E123">
        <v>4627</v>
      </c>
      <c r="F123">
        <v>80285</v>
      </c>
      <c r="G123">
        <v>356666</v>
      </c>
      <c r="H123">
        <v>259513</v>
      </c>
      <c r="I123">
        <v>347158</v>
      </c>
      <c r="J123">
        <v>11253</v>
      </c>
      <c r="K123">
        <v>62069</v>
      </c>
      <c r="L123">
        <v>14797</v>
      </c>
      <c r="M123">
        <v>2252834</v>
      </c>
      <c r="N123">
        <v>68775</v>
      </c>
      <c r="O123">
        <v>1916956</v>
      </c>
      <c r="P123">
        <v>13537</v>
      </c>
      <c r="Q123">
        <v>5615860</v>
      </c>
      <c r="R123">
        <v>176459</v>
      </c>
      <c r="S123">
        <v>4691</v>
      </c>
      <c r="T123">
        <v>10138939</v>
      </c>
      <c r="U123">
        <v>3356971</v>
      </c>
      <c r="V123">
        <v>2216423</v>
      </c>
      <c r="W123">
        <v>5498323</v>
      </c>
      <c r="X123">
        <v>43886</v>
      </c>
      <c r="Y123">
        <v>2358623</v>
      </c>
      <c r="Z123">
        <v>170388</v>
      </c>
      <c r="AA123">
        <v>1239641</v>
      </c>
      <c r="AB123">
        <v>705879</v>
      </c>
      <c r="AC123">
        <v>201165</v>
      </c>
      <c r="AD123">
        <v>661423</v>
      </c>
      <c r="AE123">
        <v>62169</v>
      </c>
      <c r="AF123">
        <v>5102787</v>
      </c>
      <c r="AG123">
        <v>577654</v>
      </c>
      <c r="AH123">
        <v>223837</v>
      </c>
      <c r="AI123">
        <v>14316843</v>
      </c>
      <c r="AJ123">
        <v>73476</v>
      </c>
      <c r="AK123">
        <v>103781</v>
      </c>
      <c r="AM123">
        <v>2752304</v>
      </c>
      <c r="AN123">
        <v>59545</v>
      </c>
      <c r="AO123">
        <v>90891</v>
      </c>
      <c r="AP123">
        <v>31308</v>
      </c>
      <c r="AQ123">
        <v>649420</v>
      </c>
      <c r="AR123">
        <v>1018474</v>
      </c>
      <c r="AS123">
        <v>94833</v>
      </c>
      <c r="AT123">
        <v>380565</v>
      </c>
      <c r="AU123">
        <v>12846</v>
      </c>
      <c r="AV123">
        <v>433211</v>
      </c>
      <c r="AW123">
        <v>220563</v>
      </c>
      <c r="AX123">
        <v>180780</v>
      </c>
      <c r="AY123">
        <v>242785</v>
      </c>
      <c r="AZ123">
        <v>67738</v>
      </c>
      <c r="BA123">
        <v>75551</v>
      </c>
      <c r="BB123">
        <v>0</v>
      </c>
      <c r="BC123">
        <v>149591</v>
      </c>
      <c r="BD123">
        <v>827934</v>
      </c>
      <c r="BE123">
        <v>5430</v>
      </c>
      <c r="BF123">
        <v>97764</v>
      </c>
      <c r="BG123">
        <v>13581</v>
      </c>
      <c r="BH123">
        <v>7006</v>
      </c>
      <c r="BI123">
        <v>33341</v>
      </c>
      <c r="BJ123">
        <v>17262</v>
      </c>
      <c r="BK123">
        <v>424707</v>
      </c>
      <c r="BL123">
        <v>47634</v>
      </c>
      <c r="BM123">
        <v>577060</v>
      </c>
      <c r="BN123">
        <v>589790</v>
      </c>
      <c r="BO123">
        <v>88626</v>
      </c>
      <c r="BP123">
        <v>246283</v>
      </c>
      <c r="BQ123">
        <v>2624890</v>
      </c>
      <c r="BR123">
        <v>123727</v>
      </c>
      <c r="BS123">
        <v>822368</v>
      </c>
      <c r="BT123">
        <v>171100</v>
      </c>
      <c r="BU123">
        <v>483017</v>
      </c>
      <c r="BV123">
        <v>71696</v>
      </c>
      <c r="BW123">
        <v>395665</v>
      </c>
      <c r="BX123">
        <v>124723</v>
      </c>
      <c r="BY123">
        <v>20413</v>
      </c>
      <c r="BZ123">
        <v>390941</v>
      </c>
      <c r="CA123">
        <v>7521</v>
      </c>
      <c r="CB123">
        <v>96262</v>
      </c>
      <c r="CD123">
        <v>1085</v>
      </c>
    </row>
    <row r="124" spans="1:82" x14ac:dyDescent="0.3">
      <c r="A124" s="155">
        <v>500</v>
      </c>
      <c r="B124" t="s">
        <v>175</v>
      </c>
      <c r="D124">
        <v>67450</v>
      </c>
      <c r="E124">
        <v>37312</v>
      </c>
      <c r="F124">
        <v>150864</v>
      </c>
      <c r="G124">
        <v>342316</v>
      </c>
      <c r="H124">
        <v>0</v>
      </c>
      <c r="I124">
        <v>0</v>
      </c>
      <c r="J124">
        <v>0</v>
      </c>
      <c r="K124">
        <v>0</v>
      </c>
      <c r="L124">
        <v>17464</v>
      </c>
      <c r="M124">
        <v>967215</v>
      </c>
      <c r="N124">
        <v>107543</v>
      </c>
      <c r="O124">
        <v>1000014</v>
      </c>
      <c r="P124">
        <v>0</v>
      </c>
      <c r="Q124">
        <v>2813801</v>
      </c>
      <c r="R124">
        <v>47844</v>
      </c>
      <c r="S124">
        <v>0</v>
      </c>
      <c r="T124">
        <v>48013960</v>
      </c>
      <c r="U124">
        <v>762690</v>
      </c>
      <c r="V124">
        <v>2254673</v>
      </c>
      <c r="W124">
        <v>10747412</v>
      </c>
      <c r="X124">
        <v>118742</v>
      </c>
      <c r="Y124">
        <v>1531108</v>
      </c>
      <c r="Z124">
        <v>85839</v>
      </c>
      <c r="AA124">
        <v>2121790</v>
      </c>
      <c r="AB124">
        <v>299367</v>
      </c>
      <c r="AC124">
        <v>73183</v>
      </c>
      <c r="AD124">
        <v>68874</v>
      </c>
      <c r="AE124">
        <v>390541</v>
      </c>
      <c r="AF124">
        <v>6863757</v>
      </c>
      <c r="AG124">
        <v>528869</v>
      </c>
      <c r="AH124">
        <v>337263</v>
      </c>
      <c r="AI124">
        <v>1288233</v>
      </c>
      <c r="AJ124">
        <v>171759</v>
      </c>
      <c r="AK124">
        <v>926</v>
      </c>
      <c r="AM124">
        <v>1636463</v>
      </c>
      <c r="AN124">
        <v>103554</v>
      </c>
      <c r="AO124">
        <v>127356</v>
      </c>
      <c r="AP124">
        <v>0</v>
      </c>
      <c r="AQ124">
        <v>5036576</v>
      </c>
      <c r="AR124">
        <v>103561</v>
      </c>
      <c r="AS124">
        <v>349231</v>
      </c>
      <c r="AT124">
        <v>212417</v>
      </c>
      <c r="AU124">
        <v>37571</v>
      </c>
      <c r="AV124">
        <v>5870288</v>
      </c>
      <c r="AW124">
        <v>15165</v>
      </c>
      <c r="AX124">
        <v>127683</v>
      </c>
      <c r="AY124">
        <v>1641228</v>
      </c>
      <c r="AZ124">
        <v>63826</v>
      </c>
      <c r="BA124">
        <v>488373</v>
      </c>
      <c r="BB124">
        <v>0</v>
      </c>
      <c r="BC124">
        <v>231863</v>
      </c>
      <c r="BD124">
        <v>241122</v>
      </c>
      <c r="BE124">
        <v>36412</v>
      </c>
      <c r="BF124">
        <v>28823</v>
      </c>
      <c r="BG124">
        <v>29555</v>
      </c>
      <c r="BH124">
        <v>0</v>
      </c>
      <c r="BI124">
        <v>38662</v>
      </c>
      <c r="BJ124">
        <v>72539</v>
      </c>
      <c r="BK124">
        <v>547714</v>
      </c>
      <c r="BL124">
        <v>160773</v>
      </c>
      <c r="BM124">
        <v>87448</v>
      </c>
      <c r="BN124">
        <v>115887</v>
      </c>
      <c r="BO124">
        <v>173399</v>
      </c>
      <c r="BP124">
        <v>221430</v>
      </c>
      <c r="BQ124">
        <v>0</v>
      </c>
      <c r="BR124">
        <v>247973</v>
      </c>
      <c r="BS124">
        <v>16151151</v>
      </c>
      <c r="BT124">
        <v>440042</v>
      </c>
      <c r="BU124">
        <v>1147411</v>
      </c>
      <c r="BV124">
        <v>0</v>
      </c>
      <c r="BW124">
        <v>21984</v>
      </c>
      <c r="BX124">
        <v>209942</v>
      </c>
      <c r="BY124">
        <v>117881</v>
      </c>
      <c r="BZ124">
        <v>34759</v>
      </c>
      <c r="CA124">
        <v>8457</v>
      </c>
      <c r="CB124">
        <v>59332</v>
      </c>
      <c r="CD124">
        <v>18636</v>
      </c>
    </row>
    <row r="125" spans="1:82" x14ac:dyDescent="0.3">
      <c r="A125" s="155">
        <v>502</v>
      </c>
      <c r="B125" t="s">
        <v>177</v>
      </c>
      <c r="D125">
        <v>159792</v>
      </c>
      <c r="E125">
        <v>0</v>
      </c>
      <c r="F125">
        <v>626309</v>
      </c>
      <c r="G125">
        <v>0</v>
      </c>
      <c r="H125">
        <v>0</v>
      </c>
      <c r="I125">
        <v>0</v>
      </c>
      <c r="J125">
        <v>8312</v>
      </c>
      <c r="K125">
        <v>0</v>
      </c>
      <c r="L125">
        <v>0</v>
      </c>
      <c r="M125">
        <v>0</v>
      </c>
      <c r="N125">
        <v>0</v>
      </c>
      <c r="O125">
        <v>640606</v>
      </c>
      <c r="P125">
        <v>0</v>
      </c>
      <c r="Q125">
        <v>166963678</v>
      </c>
      <c r="R125">
        <v>827925</v>
      </c>
      <c r="S125">
        <v>0</v>
      </c>
      <c r="T125">
        <v>48008771</v>
      </c>
      <c r="U125">
        <v>7976631</v>
      </c>
      <c r="V125">
        <v>41548234</v>
      </c>
      <c r="W125">
        <v>1866684</v>
      </c>
      <c r="X125">
        <v>243135</v>
      </c>
      <c r="Y125">
        <v>4382145</v>
      </c>
      <c r="Z125">
        <v>1423433</v>
      </c>
      <c r="AA125">
        <v>12968587</v>
      </c>
      <c r="AB125">
        <v>899654</v>
      </c>
      <c r="AC125">
        <v>908603</v>
      </c>
      <c r="AD125">
        <v>805080</v>
      </c>
      <c r="AE125">
        <v>2951914</v>
      </c>
      <c r="AF125">
        <v>4157164</v>
      </c>
      <c r="AG125">
        <v>666972</v>
      </c>
      <c r="AH125">
        <v>0</v>
      </c>
      <c r="AI125">
        <v>38480576</v>
      </c>
      <c r="AJ125">
        <v>356220</v>
      </c>
      <c r="AK125">
        <v>473268</v>
      </c>
      <c r="AM125">
        <v>13215037</v>
      </c>
      <c r="AN125">
        <v>9702</v>
      </c>
      <c r="AO125">
        <v>58030</v>
      </c>
      <c r="AP125">
        <v>0</v>
      </c>
      <c r="AQ125">
        <v>0</v>
      </c>
      <c r="AR125">
        <v>4805820</v>
      </c>
      <c r="AS125">
        <v>0</v>
      </c>
      <c r="AT125">
        <v>262246</v>
      </c>
      <c r="AU125">
        <v>634286</v>
      </c>
      <c r="AV125">
        <v>32700239</v>
      </c>
      <c r="AW125">
        <v>0</v>
      </c>
      <c r="AX125">
        <v>1713638</v>
      </c>
      <c r="AY125">
        <v>5522053</v>
      </c>
      <c r="AZ125">
        <v>961745</v>
      </c>
      <c r="BA125">
        <v>220685</v>
      </c>
      <c r="BB125">
        <v>0</v>
      </c>
      <c r="BC125">
        <v>65618</v>
      </c>
      <c r="BD125">
        <v>11289517</v>
      </c>
      <c r="BE125">
        <v>0</v>
      </c>
      <c r="BF125">
        <v>142368</v>
      </c>
      <c r="BG125">
        <v>97175</v>
      </c>
      <c r="BH125">
        <v>0</v>
      </c>
      <c r="BI125">
        <v>292295</v>
      </c>
      <c r="BJ125">
        <v>0</v>
      </c>
      <c r="BK125">
        <v>2198526</v>
      </c>
      <c r="BL125">
        <v>1905061</v>
      </c>
      <c r="BM125">
        <v>48416</v>
      </c>
      <c r="BN125">
        <v>790283</v>
      </c>
      <c r="BO125">
        <v>1888312</v>
      </c>
      <c r="BP125">
        <v>1054128</v>
      </c>
      <c r="BQ125">
        <v>0</v>
      </c>
      <c r="BR125">
        <v>0</v>
      </c>
      <c r="BS125">
        <v>6644230</v>
      </c>
      <c r="BT125">
        <v>529649</v>
      </c>
      <c r="BU125">
        <v>4762428</v>
      </c>
      <c r="BV125">
        <v>0</v>
      </c>
      <c r="BW125">
        <v>431792</v>
      </c>
      <c r="BX125">
        <v>1217470</v>
      </c>
      <c r="BY125">
        <v>3129</v>
      </c>
      <c r="BZ125">
        <v>317687</v>
      </c>
      <c r="CA125">
        <v>25537</v>
      </c>
      <c r="CB125">
        <v>330291</v>
      </c>
      <c r="CD125">
        <v>3868</v>
      </c>
    </row>
    <row r="126" spans="1:82" x14ac:dyDescent="0.3">
      <c r="A126" s="155">
        <v>503</v>
      </c>
      <c r="B126" t="s">
        <v>178</v>
      </c>
      <c r="D126">
        <v>50097</v>
      </c>
      <c r="E126">
        <v>0</v>
      </c>
      <c r="F126">
        <v>67577</v>
      </c>
      <c r="G126">
        <v>0</v>
      </c>
      <c r="H126">
        <v>0</v>
      </c>
      <c r="I126">
        <v>0</v>
      </c>
      <c r="J126">
        <v>9594</v>
      </c>
      <c r="K126">
        <v>0</v>
      </c>
      <c r="L126">
        <v>0</v>
      </c>
      <c r="M126">
        <v>0</v>
      </c>
      <c r="N126">
        <v>0</v>
      </c>
      <c r="O126">
        <v>115204</v>
      </c>
      <c r="P126">
        <v>0</v>
      </c>
      <c r="Q126">
        <v>1565725</v>
      </c>
      <c r="R126">
        <v>6023</v>
      </c>
      <c r="S126">
        <v>0</v>
      </c>
      <c r="T126">
        <v>17181796</v>
      </c>
      <c r="U126">
        <v>213739</v>
      </c>
      <c r="V126">
        <v>881066</v>
      </c>
      <c r="W126">
        <v>0</v>
      </c>
      <c r="X126">
        <v>0</v>
      </c>
      <c r="Y126">
        <v>69634</v>
      </c>
      <c r="Z126">
        <v>160000</v>
      </c>
      <c r="AA126">
        <v>3743865</v>
      </c>
      <c r="AB126">
        <v>194915</v>
      </c>
      <c r="AC126">
        <v>112476</v>
      </c>
      <c r="AD126">
        <v>134890</v>
      </c>
      <c r="AE126">
        <v>155809</v>
      </c>
      <c r="AF126">
        <v>492634</v>
      </c>
      <c r="AG126">
        <v>176874</v>
      </c>
      <c r="AH126">
        <v>0</v>
      </c>
      <c r="AI126">
        <v>2558476</v>
      </c>
      <c r="AJ126">
        <v>12635</v>
      </c>
      <c r="AK126">
        <v>11900</v>
      </c>
      <c r="AM126">
        <v>1400978</v>
      </c>
      <c r="AN126">
        <v>25772</v>
      </c>
      <c r="AO126">
        <v>89154</v>
      </c>
      <c r="AP126">
        <v>0</v>
      </c>
      <c r="AQ126">
        <v>0</v>
      </c>
      <c r="AR126">
        <v>75393</v>
      </c>
      <c r="AS126">
        <v>0</v>
      </c>
      <c r="AT126">
        <v>38650</v>
      </c>
      <c r="AU126">
        <v>31643</v>
      </c>
      <c r="AV126">
        <v>6440120</v>
      </c>
      <c r="AW126">
        <v>0</v>
      </c>
      <c r="AX126">
        <v>26829</v>
      </c>
      <c r="AY126">
        <v>250334</v>
      </c>
      <c r="AZ126">
        <v>33600</v>
      </c>
      <c r="BA126">
        <v>26983</v>
      </c>
      <c r="BB126">
        <v>0</v>
      </c>
      <c r="BC126">
        <v>9710</v>
      </c>
      <c r="BD126">
        <v>0</v>
      </c>
      <c r="BE126">
        <v>0</v>
      </c>
      <c r="BF126">
        <v>2354</v>
      </c>
      <c r="BG126">
        <v>5856</v>
      </c>
      <c r="BH126">
        <v>0</v>
      </c>
      <c r="BI126">
        <v>20620</v>
      </c>
      <c r="BJ126">
        <v>0</v>
      </c>
      <c r="BK126">
        <v>0</v>
      </c>
      <c r="BL126">
        <v>120469</v>
      </c>
      <c r="BM126">
        <v>40822</v>
      </c>
      <c r="BN126">
        <v>3527</v>
      </c>
      <c r="BO126">
        <v>66935</v>
      </c>
      <c r="BP126">
        <v>84397</v>
      </c>
      <c r="BQ126">
        <v>0</v>
      </c>
      <c r="BR126">
        <v>0</v>
      </c>
      <c r="BS126">
        <v>254893</v>
      </c>
      <c r="BT126">
        <v>64142</v>
      </c>
      <c r="BU126">
        <v>140077</v>
      </c>
      <c r="BV126">
        <v>0</v>
      </c>
      <c r="BW126">
        <v>193065</v>
      </c>
      <c r="BX126">
        <v>36656</v>
      </c>
      <c r="BY126">
        <v>0</v>
      </c>
      <c r="BZ126">
        <v>44321</v>
      </c>
      <c r="CA126">
        <v>12829</v>
      </c>
      <c r="CB126">
        <v>103383</v>
      </c>
      <c r="CD126">
        <v>0</v>
      </c>
    </row>
    <row r="127" spans="1:82" x14ac:dyDescent="0.3">
      <c r="A127" s="155">
        <v>504</v>
      </c>
      <c r="B127" t="s">
        <v>182</v>
      </c>
      <c r="D127">
        <v>13880</v>
      </c>
      <c r="E127">
        <v>5893</v>
      </c>
      <c r="F127">
        <v>27646</v>
      </c>
      <c r="G127">
        <v>88817</v>
      </c>
      <c r="H127">
        <v>0</v>
      </c>
      <c r="I127">
        <v>37416</v>
      </c>
      <c r="J127">
        <v>0</v>
      </c>
      <c r="K127">
        <v>0</v>
      </c>
      <c r="L127">
        <v>31832</v>
      </c>
      <c r="M127">
        <v>1653499</v>
      </c>
      <c r="N127">
        <v>0</v>
      </c>
      <c r="O127">
        <v>672700</v>
      </c>
      <c r="P127">
        <v>0</v>
      </c>
      <c r="Q127">
        <v>2259127</v>
      </c>
      <c r="R127">
        <v>257147</v>
      </c>
      <c r="S127">
        <v>5125</v>
      </c>
      <c r="T127">
        <v>9928075</v>
      </c>
      <c r="U127">
        <v>1955541</v>
      </c>
      <c r="V127">
        <v>1656870</v>
      </c>
      <c r="W127">
        <v>1174575</v>
      </c>
      <c r="X127">
        <v>27331</v>
      </c>
      <c r="Y127">
        <v>953544</v>
      </c>
      <c r="Z127">
        <v>79142</v>
      </c>
      <c r="AA127">
        <v>168901</v>
      </c>
      <c r="AB127">
        <v>128278</v>
      </c>
      <c r="AC127">
        <v>818462</v>
      </c>
      <c r="AD127">
        <v>246524</v>
      </c>
      <c r="AE127">
        <v>413037</v>
      </c>
      <c r="AF127">
        <v>852638</v>
      </c>
      <c r="AG127">
        <v>1185767</v>
      </c>
      <c r="AH127">
        <v>436334</v>
      </c>
      <c r="AI127">
        <v>6556008</v>
      </c>
      <c r="AJ127">
        <v>48260</v>
      </c>
      <c r="AK127">
        <v>44161</v>
      </c>
      <c r="AM127">
        <v>627208</v>
      </c>
      <c r="AN127">
        <v>69767</v>
      </c>
      <c r="AO127">
        <v>0</v>
      </c>
      <c r="AP127">
        <v>30270</v>
      </c>
      <c r="AQ127">
        <v>1057836</v>
      </c>
      <c r="AR127">
        <v>585259</v>
      </c>
      <c r="AS127">
        <v>225437</v>
      </c>
      <c r="AT127">
        <v>169351</v>
      </c>
      <c r="AU127">
        <v>19031</v>
      </c>
      <c r="AV127">
        <v>8979412</v>
      </c>
      <c r="AW127">
        <v>26285</v>
      </c>
      <c r="AX127">
        <v>143115</v>
      </c>
      <c r="AY127">
        <v>2176625</v>
      </c>
      <c r="AZ127">
        <v>270765</v>
      </c>
      <c r="BA127">
        <v>125741</v>
      </c>
      <c r="BB127">
        <v>0</v>
      </c>
      <c r="BC127">
        <v>0</v>
      </c>
      <c r="BD127">
        <v>485047</v>
      </c>
      <c r="BE127">
        <v>5552</v>
      </c>
      <c r="BF127">
        <v>30000</v>
      </c>
      <c r="BG127">
        <v>8204</v>
      </c>
      <c r="BH127">
        <v>8069</v>
      </c>
      <c r="BI127">
        <v>21169</v>
      </c>
      <c r="BJ127">
        <v>20306</v>
      </c>
      <c r="BK127">
        <v>525406</v>
      </c>
      <c r="BL127">
        <v>75543</v>
      </c>
      <c r="BM127">
        <v>41301</v>
      </c>
      <c r="BN127">
        <v>579583</v>
      </c>
      <c r="BO127">
        <v>50043</v>
      </c>
      <c r="BP127">
        <v>254695</v>
      </c>
      <c r="BQ127">
        <v>790509</v>
      </c>
      <c r="BR127">
        <v>107212</v>
      </c>
      <c r="BS127">
        <v>1807992</v>
      </c>
      <c r="BT127">
        <v>299949</v>
      </c>
      <c r="BU127">
        <v>527900</v>
      </c>
      <c r="BV127">
        <v>0</v>
      </c>
      <c r="BW127">
        <v>154656</v>
      </c>
      <c r="BX127">
        <v>26403</v>
      </c>
      <c r="BY127">
        <v>27987</v>
      </c>
      <c r="BZ127">
        <v>90847</v>
      </c>
      <c r="CA127">
        <v>6675</v>
      </c>
      <c r="CB127">
        <v>66092</v>
      </c>
      <c r="CD127">
        <v>7593</v>
      </c>
    </row>
    <row r="128" spans="1:82" x14ac:dyDescent="0.3">
      <c r="A128" s="155">
        <v>505</v>
      </c>
      <c r="B128" t="s">
        <v>183</v>
      </c>
      <c r="D128">
        <v>0</v>
      </c>
      <c r="E128">
        <v>0</v>
      </c>
      <c r="F128">
        <v>195381</v>
      </c>
      <c r="G128">
        <v>0</v>
      </c>
      <c r="H128">
        <v>0</v>
      </c>
      <c r="I128">
        <v>29287</v>
      </c>
      <c r="J128">
        <v>0</v>
      </c>
      <c r="K128">
        <v>0</v>
      </c>
      <c r="L128">
        <v>0</v>
      </c>
      <c r="M128">
        <v>17882045</v>
      </c>
      <c r="N128">
        <v>56195</v>
      </c>
      <c r="O128">
        <v>25625</v>
      </c>
      <c r="P128">
        <v>22858</v>
      </c>
      <c r="Q128">
        <v>541836</v>
      </c>
      <c r="R128">
        <v>2705</v>
      </c>
      <c r="S128">
        <v>0</v>
      </c>
      <c r="T128">
        <v>0</v>
      </c>
      <c r="U128">
        <v>2518256</v>
      </c>
      <c r="V128">
        <v>443371</v>
      </c>
      <c r="W128">
        <v>6770876</v>
      </c>
      <c r="X128">
        <v>0</v>
      </c>
      <c r="Y128">
        <v>0</v>
      </c>
      <c r="Z128">
        <v>68437</v>
      </c>
      <c r="AA128">
        <v>468258</v>
      </c>
      <c r="AB128">
        <v>74500</v>
      </c>
      <c r="AC128">
        <v>0</v>
      </c>
      <c r="AD128">
        <v>0</v>
      </c>
      <c r="AE128">
        <v>0</v>
      </c>
      <c r="AF128">
        <v>511050</v>
      </c>
      <c r="AG128">
        <v>0</v>
      </c>
      <c r="AH128">
        <v>19642</v>
      </c>
      <c r="AI128">
        <v>0</v>
      </c>
      <c r="AJ128">
        <v>0</v>
      </c>
      <c r="AK128">
        <v>0</v>
      </c>
      <c r="AM128">
        <v>120653</v>
      </c>
      <c r="AN128">
        <v>0</v>
      </c>
      <c r="AO128">
        <v>97337</v>
      </c>
      <c r="AP128">
        <v>0</v>
      </c>
      <c r="AQ128">
        <v>0</v>
      </c>
      <c r="AR128">
        <v>0</v>
      </c>
      <c r="AS128">
        <v>0</v>
      </c>
      <c r="AT128">
        <v>141853</v>
      </c>
      <c r="AU128">
        <v>0</v>
      </c>
      <c r="AV128">
        <v>0</v>
      </c>
      <c r="AW128">
        <v>2478</v>
      </c>
      <c r="AX128">
        <v>0</v>
      </c>
      <c r="AY128">
        <v>104603</v>
      </c>
      <c r="AZ128">
        <v>0</v>
      </c>
      <c r="BA128">
        <v>2119284</v>
      </c>
      <c r="BB128">
        <v>0</v>
      </c>
      <c r="BC128">
        <v>0</v>
      </c>
      <c r="BD128">
        <v>24170</v>
      </c>
      <c r="BE128">
        <v>0</v>
      </c>
      <c r="BF128">
        <v>0</v>
      </c>
      <c r="BG128">
        <v>0</v>
      </c>
      <c r="BH128">
        <v>0</v>
      </c>
      <c r="BI128">
        <v>0</v>
      </c>
      <c r="BJ128">
        <v>0</v>
      </c>
      <c r="BK128">
        <v>0</v>
      </c>
      <c r="BL128">
        <v>0</v>
      </c>
      <c r="BM128">
        <v>2148</v>
      </c>
      <c r="BN128">
        <v>705624</v>
      </c>
      <c r="BO128">
        <v>0</v>
      </c>
      <c r="BP128">
        <v>0</v>
      </c>
      <c r="BQ128">
        <v>95100</v>
      </c>
      <c r="BR128">
        <v>0</v>
      </c>
      <c r="BS128">
        <v>94683</v>
      </c>
      <c r="BT128">
        <v>0</v>
      </c>
      <c r="BU128">
        <v>0</v>
      </c>
      <c r="BV128">
        <v>68211</v>
      </c>
      <c r="BW128">
        <v>22627</v>
      </c>
      <c r="BX128">
        <v>40753</v>
      </c>
      <c r="BY128">
        <v>0</v>
      </c>
      <c r="BZ128">
        <v>0</v>
      </c>
      <c r="CA128">
        <v>0</v>
      </c>
      <c r="CB128">
        <v>0</v>
      </c>
      <c r="CD128">
        <v>0</v>
      </c>
    </row>
    <row r="129" spans="1:82" x14ac:dyDescent="0.3">
      <c r="A129" s="155">
        <v>506</v>
      </c>
      <c r="B129" t="s">
        <v>189</v>
      </c>
      <c r="D129">
        <v>97169</v>
      </c>
      <c r="E129">
        <v>153936</v>
      </c>
      <c r="F129">
        <v>776967</v>
      </c>
      <c r="G129">
        <v>4484976</v>
      </c>
      <c r="H129">
        <v>6013962</v>
      </c>
      <c r="I129">
        <v>4869652</v>
      </c>
      <c r="J129">
        <v>116594</v>
      </c>
      <c r="K129">
        <v>1002638</v>
      </c>
      <c r="L129">
        <v>1076012</v>
      </c>
      <c r="M129">
        <v>8003670</v>
      </c>
      <c r="N129">
        <v>607134</v>
      </c>
      <c r="O129">
        <v>5001158</v>
      </c>
      <c r="P129">
        <v>306966</v>
      </c>
      <c r="Q129">
        <v>34551770</v>
      </c>
      <c r="R129">
        <v>556073</v>
      </c>
      <c r="S129">
        <v>178268</v>
      </c>
      <c r="T129">
        <v>62340017</v>
      </c>
      <c r="U129">
        <v>9143987</v>
      </c>
      <c r="V129">
        <v>23218379</v>
      </c>
      <c r="W129">
        <v>27304188</v>
      </c>
      <c r="X129">
        <v>159736</v>
      </c>
      <c r="Y129">
        <v>13463206</v>
      </c>
      <c r="Z129">
        <v>1448873</v>
      </c>
      <c r="AA129">
        <v>14200104</v>
      </c>
      <c r="AB129">
        <v>826110</v>
      </c>
      <c r="AC129">
        <v>2248681</v>
      </c>
      <c r="AD129">
        <v>1471330</v>
      </c>
      <c r="AE129">
        <v>3436448</v>
      </c>
      <c r="AF129">
        <v>10785293</v>
      </c>
      <c r="AG129">
        <v>5924463</v>
      </c>
      <c r="AH129">
        <v>1022469</v>
      </c>
      <c r="AI129">
        <v>13872851</v>
      </c>
      <c r="AJ129">
        <v>3545163</v>
      </c>
      <c r="AK129">
        <v>901053</v>
      </c>
      <c r="AM129">
        <v>10260394</v>
      </c>
      <c r="AN129">
        <v>593052</v>
      </c>
      <c r="AO129">
        <v>520977</v>
      </c>
      <c r="AP129">
        <v>70417</v>
      </c>
      <c r="AQ129">
        <v>3812109</v>
      </c>
      <c r="AR129">
        <v>19157234</v>
      </c>
      <c r="AS129">
        <v>700908</v>
      </c>
      <c r="AT129">
        <v>1690652</v>
      </c>
      <c r="AU129">
        <v>265860</v>
      </c>
      <c r="AV129">
        <v>13161990</v>
      </c>
      <c r="AW129">
        <v>3828267</v>
      </c>
      <c r="AX129">
        <v>823897</v>
      </c>
      <c r="AY129">
        <v>20851638</v>
      </c>
      <c r="AZ129">
        <v>2269324</v>
      </c>
      <c r="BA129">
        <v>853307</v>
      </c>
      <c r="BB129">
        <v>120922</v>
      </c>
      <c r="BC129">
        <v>476417</v>
      </c>
      <c r="BD129">
        <v>7136296</v>
      </c>
      <c r="BE129">
        <v>626070</v>
      </c>
      <c r="BF129">
        <v>769225</v>
      </c>
      <c r="BG129">
        <v>223870</v>
      </c>
      <c r="BH129">
        <v>328990</v>
      </c>
      <c r="BI129">
        <v>449011</v>
      </c>
      <c r="BJ129">
        <v>247980</v>
      </c>
      <c r="BK129">
        <v>2163911</v>
      </c>
      <c r="BL129">
        <v>432254</v>
      </c>
      <c r="BM129">
        <v>109884</v>
      </c>
      <c r="BN129">
        <v>2637036</v>
      </c>
      <c r="BO129">
        <v>1238015</v>
      </c>
      <c r="BP129">
        <v>2155832</v>
      </c>
      <c r="BQ129">
        <v>12525504</v>
      </c>
      <c r="BR129">
        <v>362888</v>
      </c>
      <c r="BS129">
        <v>20721378</v>
      </c>
      <c r="BT129">
        <v>543262</v>
      </c>
      <c r="BU129">
        <v>5486609</v>
      </c>
      <c r="BV129">
        <v>1074153</v>
      </c>
      <c r="BW129">
        <v>1177454</v>
      </c>
      <c r="BX129">
        <v>1793365</v>
      </c>
      <c r="BY129">
        <v>211452</v>
      </c>
      <c r="BZ129">
        <v>483343</v>
      </c>
      <c r="CA129">
        <v>172989</v>
      </c>
      <c r="CB129">
        <v>497034</v>
      </c>
      <c r="CD129">
        <v>388389</v>
      </c>
    </row>
    <row r="130" spans="1:82" x14ac:dyDescent="0.3">
      <c r="A130" s="155">
        <v>507</v>
      </c>
      <c r="B130" t="s">
        <v>925</v>
      </c>
      <c r="D130">
        <v>0</v>
      </c>
      <c r="E130">
        <v>0</v>
      </c>
      <c r="F130">
        <v>0</v>
      </c>
      <c r="G130">
        <v>0</v>
      </c>
      <c r="H130">
        <v>0</v>
      </c>
      <c r="I130">
        <v>0</v>
      </c>
      <c r="J130">
        <v>-1</v>
      </c>
      <c r="K130">
        <v>0</v>
      </c>
      <c r="L130">
        <v>0</v>
      </c>
      <c r="M130">
        <v>610060</v>
      </c>
      <c r="N130">
        <v>0</v>
      </c>
      <c r="O130">
        <v>2</v>
      </c>
      <c r="P130">
        <v>0</v>
      </c>
      <c r="Q130">
        <v>0</v>
      </c>
      <c r="R130">
        <v>0</v>
      </c>
      <c r="S130">
        <v>0</v>
      </c>
      <c r="T130">
        <v>0</v>
      </c>
      <c r="U130">
        <v>0</v>
      </c>
      <c r="V130">
        <v>-250000</v>
      </c>
      <c r="W130">
        <v>0</v>
      </c>
      <c r="X130">
        <v>0</v>
      </c>
      <c r="Y130">
        <v>0</v>
      </c>
      <c r="Z130">
        <v>0</v>
      </c>
      <c r="AA130">
        <v>0</v>
      </c>
      <c r="AB130">
        <v>0</v>
      </c>
      <c r="AC130">
        <v>0</v>
      </c>
      <c r="AD130">
        <v>0</v>
      </c>
      <c r="AE130">
        <v>0</v>
      </c>
      <c r="AF130">
        <v>1</v>
      </c>
      <c r="AG130">
        <v>0</v>
      </c>
      <c r="AH130">
        <v>0</v>
      </c>
      <c r="AI130">
        <v>0</v>
      </c>
      <c r="AJ130">
        <v>0</v>
      </c>
      <c r="AK130">
        <v>0</v>
      </c>
      <c r="AM130">
        <v>0</v>
      </c>
      <c r="AN130">
        <v>0</v>
      </c>
      <c r="AO130">
        <v>0</v>
      </c>
      <c r="AP130">
        <v>0</v>
      </c>
      <c r="AQ130">
        <v>0</v>
      </c>
      <c r="AR130">
        <v>0</v>
      </c>
      <c r="AS130">
        <v>0</v>
      </c>
      <c r="AT130">
        <v>0</v>
      </c>
      <c r="AU130">
        <v>0</v>
      </c>
      <c r="AV130">
        <v>0</v>
      </c>
      <c r="AW130">
        <v>0</v>
      </c>
      <c r="AX130">
        <v>-1</v>
      </c>
      <c r="AY130">
        <v>0</v>
      </c>
      <c r="AZ130">
        <v>1</v>
      </c>
      <c r="BA130">
        <v>0</v>
      </c>
      <c r="BB130">
        <v>0</v>
      </c>
      <c r="BC130">
        <v>0</v>
      </c>
      <c r="BD130">
        <v>0</v>
      </c>
      <c r="BE130">
        <v>54580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D130">
        <v>0</v>
      </c>
    </row>
    <row r="131" spans="1:82" x14ac:dyDescent="0.3">
      <c r="A131" s="155">
        <v>508</v>
      </c>
      <c r="B131" t="s">
        <v>204</v>
      </c>
      <c r="D131">
        <v>0</v>
      </c>
      <c r="E131">
        <v>0</v>
      </c>
      <c r="F131">
        <v>0</v>
      </c>
      <c r="G131">
        <v>0</v>
      </c>
      <c r="H131">
        <v>0</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M131">
        <v>0</v>
      </c>
      <c r="AN131">
        <v>0</v>
      </c>
      <c r="AO131">
        <v>0</v>
      </c>
      <c r="AP131">
        <v>0</v>
      </c>
      <c r="AQ131">
        <v>0</v>
      </c>
      <c r="AR131">
        <v>0</v>
      </c>
      <c r="AS131">
        <v>0</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D131">
        <v>0</v>
      </c>
    </row>
    <row r="132" spans="1:82" x14ac:dyDescent="0.3">
      <c r="A132" s="155">
        <v>509</v>
      </c>
      <c r="B132" t="s">
        <v>205</v>
      </c>
      <c r="D132">
        <v>0</v>
      </c>
      <c r="E132">
        <v>0</v>
      </c>
      <c r="F132">
        <v>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D132">
        <v>0</v>
      </c>
    </row>
    <row r="133" spans="1:82" x14ac:dyDescent="0.3">
      <c r="A133" s="155">
        <v>510</v>
      </c>
      <c r="B133" t="s">
        <v>211</v>
      </c>
      <c r="D133">
        <v>2046</v>
      </c>
      <c r="E133">
        <v>0</v>
      </c>
      <c r="F133">
        <v>0</v>
      </c>
      <c r="G133">
        <v>0</v>
      </c>
      <c r="H133">
        <v>0</v>
      </c>
      <c r="I133">
        <v>0</v>
      </c>
      <c r="J133">
        <v>20748</v>
      </c>
      <c r="K133">
        <v>0</v>
      </c>
      <c r="L133">
        <v>0</v>
      </c>
      <c r="M133">
        <v>0</v>
      </c>
      <c r="N133">
        <v>0</v>
      </c>
      <c r="O133">
        <v>70409</v>
      </c>
      <c r="P133">
        <v>0</v>
      </c>
      <c r="Q133">
        <v>323655</v>
      </c>
      <c r="R133">
        <v>16540</v>
      </c>
      <c r="S133">
        <v>0</v>
      </c>
      <c r="T133">
        <v>422659</v>
      </c>
      <c r="U133">
        <v>249642</v>
      </c>
      <c r="V133">
        <v>39978</v>
      </c>
      <c r="W133">
        <v>0</v>
      </c>
      <c r="X133">
        <v>0</v>
      </c>
      <c r="Y133">
        <v>220331</v>
      </c>
      <c r="Z133">
        <v>20238</v>
      </c>
      <c r="AA133">
        <v>69009</v>
      </c>
      <c r="AB133">
        <v>0</v>
      </c>
      <c r="AC133">
        <v>0</v>
      </c>
      <c r="AD133">
        <v>0</v>
      </c>
      <c r="AE133">
        <v>0</v>
      </c>
      <c r="AF133">
        <v>63768</v>
      </c>
      <c r="AG133">
        <v>208793</v>
      </c>
      <c r="AH133">
        <v>0</v>
      </c>
      <c r="AI133">
        <v>52504</v>
      </c>
      <c r="AJ133">
        <v>0</v>
      </c>
      <c r="AK133">
        <v>855</v>
      </c>
      <c r="AM133">
        <v>130495</v>
      </c>
      <c r="AN133">
        <v>0</v>
      </c>
      <c r="AO133">
        <v>0</v>
      </c>
      <c r="AP133">
        <v>0</v>
      </c>
      <c r="AQ133">
        <v>0</v>
      </c>
      <c r="AR133">
        <v>29679</v>
      </c>
      <c r="AS133">
        <v>0</v>
      </c>
      <c r="AT133">
        <v>173392</v>
      </c>
      <c r="AU133">
        <v>0</v>
      </c>
      <c r="AV133">
        <v>682267</v>
      </c>
      <c r="AW133">
        <v>0</v>
      </c>
      <c r="AX133">
        <v>44333</v>
      </c>
      <c r="AY133">
        <v>33944</v>
      </c>
      <c r="AZ133">
        <v>19660</v>
      </c>
      <c r="BA133">
        <v>16931</v>
      </c>
      <c r="BB133">
        <v>0</v>
      </c>
      <c r="BC133">
        <v>654</v>
      </c>
      <c r="BD133">
        <v>124285</v>
      </c>
      <c r="BE133">
        <v>0</v>
      </c>
      <c r="BF133">
        <v>0</v>
      </c>
      <c r="BG133">
        <v>0</v>
      </c>
      <c r="BH133">
        <v>0</v>
      </c>
      <c r="BI133">
        <v>0</v>
      </c>
      <c r="BJ133">
        <v>0</v>
      </c>
      <c r="BK133">
        <v>56647</v>
      </c>
      <c r="BL133">
        <v>0</v>
      </c>
      <c r="BM133">
        <v>0</v>
      </c>
      <c r="BN133">
        <v>0</v>
      </c>
      <c r="BO133">
        <v>3641</v>
      </c>
      <c r="BP133">
        <v>0</v>
      </c>
      <c r="BQ133">
        <v>0</v>
      </c>
      <c r="BR133">
        <v>73792</v>
      </c>
      <c r="BS133">
        <v>0</v>
      </c>
      <c r="BT133">
        <v>8259</v>
      </c>
      <c r="BU133">
        <v>0</v>
      </c>
      <c r="BV133">
        <v>0</v>
      </c>
      <c r="BW133">
        <v>9062</v>
      </c>
      <c r="BX133">
        <v>32152</v>
      </c>
      <c r="BY133">
        <v>12353</v>
      </c>
      <c r="BZ133">
        <v>0</v>
      </c>
      <c r="CA133">
        <v>0</v>
      </c>
      <c r="CB133">
        <v>20308</v>
      </c>
      <c r="CD133">
        <v>0</v>
      </c>
    </row>
    <row r="134" spans="1:82" x14ac:dyDescent="0.3">
      <c r="A134" s="155">
        <v>511</v>
      </c>
      <c r="B134" t="s">
        <v>216</v>
      </c>
      <c r="D134">
        <v>0</v>
      </c>
      <c r="E134">
        <v>0</v>
      </c>
      <c r="F134">
        <v>0</v>
      </c>
      <c r="G134">
        <v>0</v>
      </c>
      <c r="H134">
        <v>0</v>
      </c>
      <c r="I134">
        <v>0</v>
      </c>
      <c r="J134">
        <v>0</v>
      </c>
      <c r="K134">
        <v>0</v>
      </c>
      <c r="L134">
        <v>0</v>
      </c>
      <c r="M134">
        <v>0</v>
      </c>
      <c r="N134">
        <v>0</v>
      </c>
      <c r="O134">
        <v>0</v>
      </c>
      <c r="P134">
        <v>0</v>
      </c>
      <c r="Q134">
        <v>4131301</v>
      </c>
      <c r="R134">
        <v>0</v>
      </c>
      <c r="S134">
        <v>0</v>
      </c>
      <c r="T134">
        <v>0</v>
      </c>
      <c r="U134">
        <v>0</v>
      </c>
      <c r="V134">
        <v>33414</v>
      </c>
      <c r="W134">
        <v>0</v>
      </c>
      <c r="X134">
        <v>0</v>
      </c>
      <c r="Y134">
        <v>0</v>
      </c>
      <c r="Z134">
        <v>0</v>
      </c>
      <c r="AA134">
        <v>0</v>
      </c>
      <c r="AB134">
        <v>0</v>
      </c>
      <c r="AC134">
        <v>0</v>
      </c>
      <c r="AD134">
        <v>0</v>
      </c>
      <c r="AE134">
        <v>0</v>
      </c>
      <c r="AF134">
        <v>0</v>
      </c>
      <c r="AG134">
        <v>0</v>
      </c>
      <c r="AH134">
        <v>0</v>
      </c>
      <c r="AI134">
        <v>2573472</v>
      </c>
      <c r="AJ134">
        <v>0</v>
      </c>
      <c r="AK134">
        <v>0</v>
      </c>
      <c r="AM134">
        <v>815450</v>
      </c>
      <c r="AN134">
        <v>0</v>
      </c>
      <c r="AO134">
        <v>0</v>
      </c>
      <c r="AP134">
        <v>0</v>
      </c>
      <c r="AQ134">
        <v>0</v>
      </c>
      <c r="AR134">
        <v>0</v>
      </c>
      <c r="AS134">
        <v>0</v>
      </c>
      <c r="AT134">
        <v>0</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29136</v>
      </c>
      <c r="BS134">
        <v>444050</v>
      </c>
      <c r="BT134">
        <v>0</v>
      </c>
      <c r="BU134">
        <v>0</v>
      </c>
      <c r="BV134">
        <v>0</v>
      </c>
      <c r="BW134">
        <v>0</v>
      </c>
      <c r="BX134">
        <v>0</v>
      </c>
      <c r="BY134">
        <v>0</v>
      </c>
      <c r="BZ134">
        <v>0</v>
      </c>
      <c r="CA134">
        <v>0</v>
      </c>
      <c r="CB134">
        <v>0</v>
      </c>
      <c r="CD134">
        <v>0</v>
      </c>
    </row>
    <row r="135" spans="1:82" x14ac:dyDescent="0.3">
      <c r="A135" s="155">
        <v>512</v>
      </c>
      <c r="B135" t="s">
        <v>243</v>
      </c>
      <c r="D135">
        <v>0</v>
      </c>
      <c r="E135">
        <v>0</v>
      </c>
      <c r="F135">
        <v>0</v>
      </c>
      <c r="G135">
        <v>0</v>
      </c>
      <c r="H135">
        <v>0</v>
      </c>
      <c r="I135">
        <v>0</v>
      </c>
      <c r="J135">
        <v>0</v>
      </c>
      <c r="K135">
        <v>0</v>
      </c>
      <c r="L135">
        <v>0</v>
      </c>
      <c r="M135">
        <v>98292</v>
      </c>
      <c r="N135">
        <v>0</v>
      </c>
      <c r="O135">
        <v>0</v>
      </c>
      <c r="P135">
        <v>0</v>
      </c>
      <c r="Q135">
        <v>0</v>
      </c>
      <c r="R135">
        <v>0</v>
      </c>
      <c r="S135">
        <v>0</v>
      </c>
      <c r="T135">
        <v>162885</v>
      </c>
      <c r="U135">
        <v>0</v>
      </c>
      <c r="V135">
        <v>249478</v>
      </c>
      <c r="W135">
        <v>0</v>
      </c>
      <c r="X135">
        <v>0</v>
      </c>
      <c r="Y135">
        <v>12287</v>
      </c>
      <c r="Z135">
        <v>0</v>
      </c>
      <c r="AA135">
        <v>0</v>
      </c>
      <c r="AB135">
        <v>0</v>
      </c>
      <c r="AC135">
        <v>0</v>
      </c>
      <c r="AD135">
        <v>0</v>
      </c>
      <c r="AE135">
        <v>0</v>
      </c>
      <c r="AF135">
        <v>0</v>
      </c>
      <c r="AG135">
        <v>0</v>
      </c>
      <c r="AH135">
        <v>0</v>
      </c>
      <c r="AI135">
        <v>0</v>
      </c>
      <c r="AJ135">
        <v>0</v>
      </c>
      <c r="AK135">
        <v>0</v>
      </c>
      <c r="AM135">
        <v>0</v>
      </c>
      <c r="AN135">
        <v>0</v>
      </c>
      <c r="AO135">
        <v>0</v>
      </c>
      <c r="AP135">
        <v>0</v>
      </c>
      <c r="AQ135">
        <v>0</v>
      </c>
      <c r="AR135">
        <v>0</v>
      </c>
      <c r="AS135">
        <v>0</v>
      </c>
      <c r="AT135">
        <v>0</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945</v>
      </c>
      <c r="BO135">
        <v>0</v>
      </c>
      <c r="BP135">
        <v>0</v>
      </c>
      <c r="BQ135">
        <v>0</v>
      </c>
      <c r="BR135">
        <v>0</v>
      </c>
      <c r="BS135">
        <v>0</v>
      </c>
      <c r="BT135">
        <v>0</v>
      </c>
      <c r="BU135">
        <v>0</v>
      </c>
      <c r="BV135">
        <v>0</v>
      </c>
      <c r="BW135">
        <v>0</v>
      </c>
      <c r="BX135">
        <v>0</v>
      </c>
      <c r="BY135">
        <v>0</v>
      </c>
      <c r="BZ135">
        <v>0</v>
      </c>
      <c r="CA135">
        <v>0</v>
      </c>
      <c r="CB135">
        <v>0</v>
      </c>
      <c r="CD135">
        <v>0</v>
      </c>
    </row>
    <row r="136" spans="1:82" x14ac:dyDescent="0.3">
      <c r="A136" s="155">
        <v>513</v>
      </c>
      <c r="B136" t="s">
        <v>249</v>
      </c>
      <c r="D136">
        <v>0</v>
      </c>
      <c r="E136">
        <v>0</v>
      </c>
      <c r="F136">
        <v>0</v>
      </c>
      <c r="G136">
        <v>0</v>
      </c>
      <c r="H136">
        <v>0</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M136">
        <v>0</v>
      </c>
      <c r="AN136">
        <v>0</v>
      </c>
      <c r="AO136">
        <v>0</v>
      </c>
      <c r="AP136">
        <v>0</v>
      </c>
      <c r="AQ136">
        <v>0</v>
      </c>
      <c r="AR136">
        <v>0</v>
      </c>
      <c r="AS136">
        <v>0</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0</v>
      </c>
      <c r="BY136">
        <v>0</v>
      </c>
      <c r="BZ136">
        <v>0</v>
      </c>
      <c r="CA136">
        <v>0</v>
      </c>
      <c r="CB136">
        <v>0</v>
      </c>
      <c r="CD136">
        <v>0</v>
      </c>
    </row>
    <row r="137" spans="1:82" x14ac:dyDescent="0.3">
      <c r="A137" s="155">
        <v>514</v>
      </c>
      <c r="B137" t="s">
        <v>250</v>
      </c>
      <c r="D137">
        <v>0</v>
      </c>
      <c r="E137">
        <v>0</v>
      </c>
      <c r="F137">
        <v>0</v>
      </c>
      <c r="G137">
        <v>0</v>
      </c>
      <c r="H137">
        <v>0</v>
      </c>
      <c r="I137">
        <v>0</v>
      </c>
      <c r="J137">
        <v>0</v>
      </c>
      <c r="K137">
        <v>0</v>
      </c>
      <c r="L137">
        <v>0</v>
      </c>
      <c r="M137">
        <v>0</v>
      </c>
      <c r="N137">
        <v>0</v>
      </c>
      <c r="O137">
        <v>0</v>
      </c>
      <c r="P137">
        <v>0</v>
      </c>
      <c r="Q137">
        <v>542752</v>
      </c>
      <c r="R137">
        <v>0</v>
      </c>
      <c r="S137">
        <v>0</v>
      </c>
      <c r="T137">
        <v>0</v>
      </c>
      <c r="U137">
        <v>0</v>
      </c>
      <c r="V137">
        <v>764199</v>
      </c>
      <c r="W137">
        <v>0</v>
      </c>
      <c r="X137">
        <v>0</v>
      </c>
      <c r="Y137">
        <v>0</v>
      </c>
      <c r="Z137">
        <v>0</v>
      </c>
      <c r="AA137">
        <v>0</v>
      </c>
      <c r="AB137">
        <v>0</v>
      </c>
      <c r="AC137">
        <v>0</v>
      </c>
      <c r="AD137">
        <v>0</v>
      </c>
      <c r="AE137">
        <v>0</v>
      </c>
      <c r="AF137">
        <v>0</v>
      </c>
      <c r="AG137">
        <v>0</v>
      </c>
      <c r="AH137">
        <v>0</v>
      </c>
      <c r="AI137">
        <v>3048772</v>
      </c>
      <c r="AJ137">
        <v>0</v>
      </c>
      <c r="AK137">
        <v>0</v>
      </c>
      <c r="AM137">
        <v>536000</v>
      </c>
      <c r="AN137">
        <v>0</v>
      </c>
      <c r="AO137">
        <v>0</v>
      </c>
      <c r="AP137">
        <v>0</v>
      </c>
      <c r="AQ137">
        <v>0</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375000</v>
      </c>
      <c r="BS137">
        <v>30852</v>
      </c>
      <c r="BT137">
        <v>0</v>
      </c>
      <c r="BU137">
        <v>0</v>
      </c>
      <c r="BV137">
        <v>0</v>
      </c>
      <c r="BW137">
        <v>0</v>
      </c>
      <c r="BX137">
        <v>0</v>
      </c>
      <c r="BY137">
        <v>0</v>
      </c>
      <c r="BZ137">
        <v>0</v>
      </c>
      <c r="CA137">
        <v>0</v>
      </c>
      <c r="CB137">
        <v>0</v>
      </c>
      <c r="CD137">
        <v>0</v>
      </c>
    </row>
    <row r="138" spans="1:82" x14ac:dyDescent="0.3">
      <c r="A138" s="155">
        <v>515</v>
      </c>
      <c r="B138" t="s">
        <v>262</v>
      </c>
      <c r="D138">
        <v>0</v>
      </c>
      <c r="E138">
        <v>0</v>
      </c>
      <c r="F138">
        <v>0</v>
      </c>
      <c r="G138">
        <v>0</v>
      </c>
      <c r="H138">
        <v>0</v>
      </c>
      <c r="I138">
        <v>0</v>
      </c>
      <c r="J138">
        <v>0</v>
      </c>
      <c r="K138">
        <v>0</v>
      </c>
      <c r="L138">
        <v>0</v>
      </c>
      <c r="M138">
        <v>0</v>
      </c>
      <c r="N138">
        <v>0</v>
      </c>
      <c r="O138">
        <v>0</v>
      </c>
      <c r="P138">
        <v>0</v>
      </c>
      <c r="Q138">
        <v>40187442</v>
      </c>
      <c r="R138">
        <v>142110</v>
      </c>
      <c r="S138">
        <v>0</v>
      </c>
      <c r="T138">
        <v>0</v>
      </c>
      <c r="U138">
        <v>6773219</v>
      </c>
      <c r="V138">
        <v>14419567</v>
      </c>
      <c r="W138">
        <v>0</v>
      </c>
      <c r="X138">
        <v>0</v>
      </c>
      <c r="Y138">
        <v>0</v>
      </c>
      <c r="Z138">
        <v>0</v>
      </c>
      <c r="AA138">
        <v>18725158</v>
      </c>
      <c r="AB138">
        <v>5119437</v>
      </c>
      <c r="AC138">
        <v>613604</v>
      </c>
      <c r="AD138">
        <v>0</v>
      </c>
      <c r="AE138">
        <v>0</v>
      </c>
      <c r="AF138">
        <v>3283693</v>
      </c>
      <c r="AG138">
        <v>0</v>
      </c>
      <c r="AH138">
        <v>0</v>
      </c>
      <c r="AI138">
        <v>76230420</v>
      </c>
      <c r="AJ138">
        <v>0</v>
      </c>
      <c r="AK138">
        <v>0</v>
      </c>
      <c r="AM138">
        <v>24306286</v>
      </c>
      <c r="AN138">
        <v>0</v>
      </c>
      <c r="AO138">
        <v>0</v>
      </c>
      <c r="AP138">
        <v>0</v>
      </c>
      <c r="AQ138">
        <v>0</v>
      </c>
      <c r="AR138">
        <v>0</v>
      </c>
      <c r="AS138">
        <v>0</v>
      </c>
      <c r="AT138">
        <v>0</v>
      </c>
      <c r="AU138">
        <v>0</v>
      </c>
      <c r="AV138">
        <v>13430340</v>
      </c>
      <c r="AW138">
        <v>0</v>
      </c>
      <c r="AX138">
        <v>0</v>
      </c>
      <c r="AY138">
        <v>181893</v>
      </c>
      <c r="AZ138">
        <v>340690</v>
      </c>
      <c r="BA138">
        <v>0</v>
      </c>
      <c r="BB138">
        <v>0</v>
      </c>
      <c r="BC138">
        <v>22408</v>
      </c>
      <c r="BD138">
        <v>0</v>
      </c>
      <c r="BE138">
        <v>0</v>
      </c>
      <c r="BF138">
        <v>0</v>
      </c>
      <c r="BG138">
        <v>0</v>
      </c>
      <c r="BH138">
        <v>0</v>
      </c>
      <c r="BI138">
        <v>0</v>
      </c>
      <c r="BJ138">
        <v>0</v>
      </c>
      <c r="BK138">
        <v>0</v>
      </c>
      <c r="BL138">
        <v>0</v>
      </c>
      <c r="BM138">
        <v>0</v>
      </c>
      <c r="BN138">
        <v>0</v>
      </c>
      <c r="BO138">
        <v>0</v>
      </c>
      <c r="BP138">
        <v>92954</v>
      </c>
      <c r="BQ138">
        <v>0</v>
      </c>
      <c r="BR138">
        <v>0</v>
      </c>
      <c r="BS138">
        <v>0</v>
      </c>
      <c r="BT138">
        <v>21428</v>
      </c>
      <c r="BU138">
        <v>163682</v>
      </c>
      <c r="BV138">
        <v>0</v>
      </c>
      <c r="BW138">
        <v>0</v>
      </c>
      <c r="BX138">
        <v>121104</v>
      </c>
      <c r="BY138">
        <v>0</v>
      </c>
      <c r="BZ138">
        <v>0</v>
      </c>
      <c r="CA138">
        <v>0</v>
      </c>
      <c r="CB138">
        <v>0</v>
      </c>
      <c r="CD138">
        <v>0</v>
      </c>
    </row>
    <row r="139" spans="1:82" x14ac:dyDescent="0.3">
      <c r="A139" s="155">
        <v>516</v>
      </c>
      <c r="B139" t="s">
        <v>263</v>
      </c>
      <c r="D139">
        <v>3385906</v>
      </c>
      <c r="E139">
        <v>0</v>
      </c>
      <c r="F139">
        <v>9247655</v>
      </c>
      <c r="G139">
        <v>0</v>
      </c>
      <c r="H139">
        <v>0</v>
      </c>
      <c r="I139">
        <v>0</v>
      </c>
      <c r="J139">
        <v>3251767</v>
      </c>
      <c r="K139">
        <v>0</v>
      </c>
      <c r="L139">
        <v>0</v>
      </c>
      <c r="M139">
        <v>0</v>
      </c>
      <c r="N139">
        <v>0</v>
      </c>
      <c r="O139">
        <v>27383393</v>
      </c>
      <c r="P139">
        <v>0</v>
      </c>
      <c r="Q139">
        <v>0</v>
      </c>
      <c r="R139">
        <v>2064611</v>
      </c>
      <c r="S139">
        <v>0</v>
      </c>
      <c r="T139">
        <v>203042245</v>
      </c>
      <c r="U139">
        <v>68225409</v>
      </c>
      <c r="V139">
        <v>58721229</v>
      </c>
      <c r="W139">
        <v>0</v>
      </c>
      <c r="X139">
        <v>4680478</v>
      </c>
      <c r="Y139">
        <v>83571806</v>
      </c>
      <c r="Z139">
        <v>19979070</v>
      </c>
      <c r="AA139">
        <v>26863028</v>
      </c>
      <c r="AB139">
        <v>28801997</v>
      </c>
      <c r="AC139">
        <v>4637476</v>
      </c>
      <c r="AD139">
        <v>8948545</v>
      </c>
      <c r="AE139">
        <v>22486041</v>
      </c>
      <c r="AF139">
        <v>0</v>
      </c>
      <c r="AG139">
        <v>10039879</v>
      </c>
      <c r="AH139">
        <v>0</v>
      </c>
      <c r="AI139">
        <v>68868830</v>
      </c>
      <c r="AJ139">
        <v>2638690</v>
      </c>
      <c r="AK139">
        <v>8190424</v>
      </c>
      <c r="AM139">
        <v>45499728</v>
      </c>
      <c r="AN139">
        <v>3343543</v>
      </c>
      <c r="AO139">
        <v>3850744</v>
      </c>
      <c r="AP139">
        <v>0</v>
      </c>
      <c r="AQ139">
        <v>0</v>
      </c>
      <c r="AR139">
        <v>32568110</v>
      </c>
      <c r="AS139">
        <v>0</v>
      </c>
      <c r="AT139">
        <v>17030541</v>
      </c>
      <c r="AU139">
        <v>0</v>
      </c>
      <c r="AV139">
        <v>91938905</v>
      </c>
      <c r="AW139">
        <v>0</v>
      </c>
      <c r="AX139">
        <v>10326478</v>
      </c>
      <c r="AY139">
        <v>5953681</v>
      </c>
      <c r="AZ139">
        <v>9905123</v>
      </c>
      <c r="BA139">
        <v>2403227</v>
      </c>
      <c r="BB139">
        <v>0</v>
      </c>
      <c r="BC139">
        <v>1121052</v>
      </c>
      <c r="BD139">
        <v>37961480</v>
      </c>
      <c r="BE139">
        <v>0</v>
      </c>
      <c r="BF139">
        <v>4679155</v>
      </c>
      <c r="BG139">
        <v>3562489</v>
      </c>
      <c r="BH139">
        <v>0</v>
      </c>
      <c r="BI139">
        <v>4513697</v>
      </c>
      <c r="BJ139">
        <v>0</v>
      </c>
      <c r="BK139">
        <v>21273727</v>
      </c>
      <c r="BL139">
        <v>9838432</v>
      </c>
      <c r="BM139">
        <v>14616921</v>
      </c>
      <c r="BN139">
        <v>4962659</v>
      </c>
      <c r="BO139">
        <v>4636862</v>
      </c>
      <c r="BP139">
        <v>1224602</v>
      </c>
      <c r="BQ139">
        <v>0</v>
      </c>
      <c r="BR139">
        <v>10097389</v>
      </c>
      <c r="BS139">
        <v>0</v>
      </c>
      <c r="BT139">
        <v>10167726</v>
      </c>
      <c r="BU139">
        <v>20163428</v>
      </c>
      <c r="BV139">
        <v>0</v>
      </c>
      <c r="BW139">
        <v>16461063</v>
      </c>
      <c r="BX139">
        <v>3123718</v>
      </c>
      <c r="BY139">
        <v>833000</v>
      </c>
      <c r="BZ139">
        <v>7016374</v>
      </c>
      <c r="CA139">
        <v>6282078</v>
      </c>
      <c r="CB139">
        <v>6876057</v>
      </c>
      <c r="CD139">
        <v>1200807</v>
      </c>
    </row>
    <row r="140" spans="1:82" x14ac:dyDescent="0.3">
      <c r="A140" s="155">
        <v>517</v>
      </c>
      <c r="B140" t="s">
        <v>264</v>
      </c>
      <c r="D140">
        <v>0</v>
      </c>
      <c r="E140">
        <v>0</v>
      </c>
      <c r="F140">
        <v>0</v>
      </c>
      <c r="G140">
        <v>0</v>
      </c>
      <c r="H140">
        <v>0</v>
      </c>
      <c r="I140">
        <v>0</v>
      </c>
      <c r="J140">
        <v>0</v>
      </c>
      <c r="K140">
        <v>0</v>
      </c>
      <c r="L140">
        <v>0</v>
      </c>
      <c r="M140">
        <v>0</v>
      </c>
      <c r="N140">
        <v>0</v>
      </c>
      <c r="O140">
        <v>0</v>
      </c>
      <c r="P140">
        <v>0</v>
      </c>
      <c r="Q140">
        <v>92461295</v>
      </c>
      <c r="R140">
        <v>0</v>
      </c>
      <c r="S140">
        <v>0</v>
      </c>
      <c r="T140">
        <v>0</v>
      </c>
      <c r="U140">
        <v>0</v>
      </c>
      <c r="V140">
        <v>0</v>
      </c>
      <c r="W140">
        <v>0</v>
      </c>
      <c r="X140">
        <v>0</v>
      </c>
      <c r="Y140">
        <v>0</v>
      </c>
      <c r="Z140">
        <v>0</v>
      </c>
      <c r="AA140">
        <v>0</v>
      </c>
      <c r="AB140">
        <v>0</v>
      </c>
      <c r="AC140">
        <v>0</v>
      </c>
      <c r="AD140">
        <v>0</v>
      </c>
      <c r="AE140">
        <v>0</v>
      </c>
      <c r="AF140">
        <v>3581404</v>
      </c>
      <c r="AG140">
        <v>0</v>
      </c>
      <c r="AH140">
        <v>0</v>
      </c>
      <c r="AI140">
        <v>0</v>
      </c>
      <c r="AJ140">
        <v>0</v>
      </c>
      <c r="AK140">
        <v>0</v>
      </c>
      <c r="AM140">
        <v>0</v>
      </c>
      <c r="AN140">
        <v>0</v>
      </c>
      <c r="AO140">
        <v>0</v>
      </c>
      <c r="AP140">
        <v>0</v>
      </c>
      <c r="AQ140">
        <v>0</v>
      </c>
      <c r="AR140">
        <v>0</v>
      </c>
      <c r="AS140">
        <v>0</v>
      </c>
      <c r="AT140">
        <v>0</v>
      </c>
      <c r="AU140">
        <v>0</v>
      </c>
      <c r="AV140">
        <v>0</v>
      </c>
      <c r="AW140">
        <v>0</v>
      </c>
      <c r="AX140">
        <v>0</v>
      </c>
      <c r="AY140">
        <v>0</v>
      </c>
      <c r="AZ140">
        <v>0</v>
      </c>
      <c r="BA140">
        <v>0</v>
      </c>
      <c r="BB140">
        <v>0</v>
      </c>
      <c r="BC140">
        <v>0</v>
      </c>
      <c r="BD140">
        <v>874426</v>
      </c>
      <c r="BE140">
        <v>0</v>
      </c>
      <c r="BF140">
        <v>0</v>
      </c>
      <c r="BG140">
        <v>0</v>
      </c>
      <c r="BH140">
        <v>0</v>
      </c>
      <c r="BI140">
        <v>0</v>
      </c>
      <c r="BJ140">
        <v>0</v>
      </c>
      <c r="BK140">
        <v>0</v>
      </c>
      <c r="BL140">
        <v>0</v>
      </c>
      <c r="BM140">
        <v>0</v>
      </c>
      <c r="BN140">
        <v>0</v>
      </c>
      <c r="BO140">
        <v>0</v>
      </c>
      <c r="BP140">
        <v>0</v>
      </c>
      <c r="BQ140">
        <v>0</v>
      </c>
      <c r="BR140">
        <v>0</v>
      </c>
      <c r="BS140">
        <v>0</v>
      </c>
      <c r="BT140">
        <v>0</v>
      </c>
      <c r="BU140">
        <v>0</v>
      </c>
      <c r="BV140">
        <v>0</v>
      </c>
      <c r="BW140">
        <v>0</v>
      </c>
      <c r="BX140">
        <v>0</v>
      </c>
      <c r="BY140">
        <v>0</v>
      </c>
      <c r="BZ140">
        <v>0</v>
      </c>
      <c r="CA140">
        <v>0</v>
      </c>
      <c r="CB140">
        <v>0</v>
      </c>
      <c r="CD140">
        <v>0</v>
      </c>
    </row>
    <row r="141" spans="1:82" x14ac:dyDescent="0.3">
      <c r="A141" s="155">
        <v>518</v>
      </c>
      <c r="B141" t="s">
        <v>265</v>
      </c>
      <c r="D141">
        <v>222687</v>
      </c>
      <c r="E141">
        <v>0</v>
      </c>
      <c r="F141">
        <v>377535</v>
      </c>
      <c r="G141">
        <v>0</v>
      </c>
      <c r="H141">
        <v>0</v>
      </c>
      <c r="I141">
        <v>0</v>
      </c>
      <c r="J141">
        <v>10116</v>
      </c>
      <c r="K141">
        <v>0</v>
      </c>
      <c r="L141">
        <v>0</v>
      </c>
      <c r="M141">
        <v>0</v>
      </c>
      <c r="N141">
        <v>0</v>
      </c>
      <c r="O141">
        <v>2256307</v>
      </c>
      <c r="P141">
        <v>0</v>
      </c>
      <c r="Q141">
        <v>14446553</v>
      </c>
      <c r="R141">
        <v>763560</v>
      </c>
      <c r="S141">
        <v>0</v>
      </c>
      <c r="T141">
        <v>10225714</v>
      </c>
      <c r="U141">
        <v>3057107</v>
      </c>
      <c r="V141">
        <v>22138475</v>
      </c>
      <c r="W141">
        <v>0</v>
      </c>
      <c r="X141">
        <v>10236</v>
      </c>
      <c r="Y141">
        <v>3469479</v>
      </c>
      <c r="Z141">
        <v>0</v>
      </c>
      <c r="AA141">
        <v>4536737</v>
      </c>
      <c r="AB141">
        <v>1224006</v>
      </c>
      <c r="AC141">
        <v>231776</v>
      </c>
      <c r="AD141">
        <v>869770</v>
      </c>
      <c r="AE141">
        <v>1100537</v>
      </c>
      <c r="AF141">
        <v>6455153</v>
      </c>
      <c r="AG141">
        <v>1233478</v>
      </c>
      <c r="AH141">
        <v>0</v>
      </c>
      <c r="AI141">
        <v>12788480</v>
      </c>
      <c r="AJ141">
        <v>0</v>
      </c>
      <c r="AK141">
        <v>420740</v>
      </c>
      <c r="AM141">
        <v>3554471</v>
      </c>
      <c r="AN141">
        <v>120492</v>
      </c>
      <c r="AO141">
        <v>170122</v>
      </c>
      <c r="AP141">
        <v>0</v>
      </c>
      <c r="AQ141">
        <v>0</v>
      </c>
      <c r="AR141">
        <v>1674507</v>
      </c>
      <c r="AS141">
        <v>0</v>
      </c>
      <c r="AT141">
        <v>902567</v>
      </c>
      <c r="AU141">
        <v>0</v>
      </c>
      <c r="AV141">
        <v>25282006</v>
      </c>
      <c r="AW141">
        <v>0</v>
      </c>
      <c r="AX141">
        <v>1558410</v>
      </c>
      <c r="AY141">
        <v>1535058</v>
      </c>
      <c r="AZ141">
        <v>540114</v>
      </c>
      <c r="BA141">
        <v>97644</v>
      </c>
      <c r="BB141">
        <v>0</v>
      </c>
      <c r="BC141">
        <v>0</v>
      </c>
      <c r="BD141">
        <v>3371628</v>
      </c>
      <c r="BE141">
        <v>0</v>
      </c>
      <c r="BF141">
        <v>107941</v>
      </c>
      <c r="BG141">
        <v>34718</v>
      </c>
      <c r="BH141">
        <v>0</v>
      </c>
      <c r="BI141">
        <v>20626</v>
      </c>
      <c r="BJ141">
        <v>0</v>
      </c>
      <c r="BK141">
        <v>3760196</v>
      </c>
      <c r="BL141">
        <v>42994</v>
      </c>
      <c r="BM141">
        <v>327664</v>
      </c>
      <c r="BN141">
        <v>275166</v>
      </c>
      <c r="BO141">
        <v>246025</v>
      </c>
      <c r="BP141">
        <v>358736</v>
      </c>
      <c r="BQ141">
        <v>0</v>
      </c>
      <c r="BR141">
        <v>123583</v>
      </c>
      <c r="BS141">
        <v>0</v>
      </c>
      <c r="BT141">
        <v>709288</v>
      </c>
      <c r="BU141">
        <v>618039</v>
      </c>
      <c r="BV141">
        <v>0</v>
      </c>
      <c r="BW141">
        <v>1642817</v>
      </c>
      <c r="BX141">
        <v>79356</v>
      </c>
      <c r="BY141">
        <v>0</v>
      </c>
      <c r="BZ141">
        <v>101760</v>
      </c>
      <c r="CA141">
        <v>8823</v>
      </c>
      <c r="CB141">
        <v>272755</v>
      </c>
      <c r="CD141">
        <v>0</v>
      </c>
    </row>
    <row r="142" spans="1:82" x14ac:dyDescent="0.3">
      <c r="A142" s="155">
        <v>519</v>
      </c>
      <c r="B142" t="s">
        <v>266</v>
      </c>
      <c r="D142">
        <v>0</v>
      </c>
      <c r="E142">
        <v>0</v>
      </c>
      <c r="F142">
        <v>0</v>
      </c>
      <c r="G142">
        <v>0</v>
      </c>
      <c r="H142">
        <v>0</v>
      </c>
      <c r="I142">
        <v>0</v>
      </c>
      <c r="J142">
        <v>0</v>
      </c>
      <c r="K142">
        <v>0</v>
      </c>
      <c r="L142">
        <v>0</v>
      </c>
      <c r="M142">
        <v>0</v>
      </c>
      <c r="N142">
        <v>0</v>
      </c>
      <c r="O142">
        <v>0</v>
      </c>
      <c r="P142">
        <v>0</v>
      </c>
      <c r="Q142">
        <v>852376</v>
      </c>
      <c r="R142">
        <v>3552</v>
      </c>
      <c r="S142">
        <v>0</v>
      </c>
      <c r="T142">
        <v>2278744</v>
      </c>
      <c r="U142">
        <v>114800</v>
      </c>
      <c r="V142">
        <v>212640</v>
      </c>
      <c r="W142">
        <v>0</v>
      </c>
      <c r="X142">
        <v>0</v>
      </c>
      <c r="Y142">
        <v>0</v>
      </c>
      <c r="Z142">
        <v>0</v>
      </c>
      <c r="AA142">
        <v>377441</v>
      </c>
      <c r="AB142">
        <v>127986</v>
      </c>
      <c r="AC142">
        <v>14546</v>
      </c>
      <c r="AD142">
        <v>0</v>
      </c>
      <c r="AE142">
        <v>0</v>
      </c>
      <c r="AF142">
        <v>42055</v>
      </c>
      <c r="AG142">
        <v>0</v>
      </c>
      <c r="AH142">
        <v>0</v>
      </c>
      <c r="AI142">
        <v>1902397</v>
      </c>
      <c r="AJ142">
        <v>0</v>
      </c>
      <c r="AK142">
        <v>0</v>
      </c>
      <c r="AM142">
        <v>431559</v>
      </c>
      <c r="AN142">
        <v>0</v>
      </c>
      <c r="AO142">
        <v>0</v>
      </c>
      <c r="AP142">
        <v>0</v>
      </c>
      <c r="AQ142">
        <v>0</v>
      </c>
      <c r="AR142">
        <v>0</v>
      </c>
      <c r="AS142">
        <v>0</v>
      </c>
      <c r="AT142">
        <v>0</v>
      </c>
      <c r="AU142">
        <v>0</v>
      </c>
      <c r="AV142">
        <v>355325</v>
      </c>
      <c r="AW142">
        <v>0</v>
      </c>
      <c r="AX142">
        <v>0</v>
      </c>
      <c r="AY142">
        <v>3172</v>
      </c>
      <c r="AZ142">
        <v>33</v>
      </c>
      <c r="BA142">
        <v>0</v>
      </c>
      <c r="BB142">
        <v>0</v>
      </c>
      <c r="BC142">
        <v>0</v>
      </c>
      <c r="BD142">
        <v>0</v>
      </c>
      <c r="BE142">
        <v>0</v>
      </c>
      <c r="BF142">
        <v>0</v>
      </c>
      <c r="BG142">
        <v>0</v>
      </c>
      <c r="BH142">
        <v>0</v>
      </c>
      <c r="BI142">
        <v>0</v>
      </c>
      <c r="BJ142">
        <v>0</v>
      </c>
      <c r="BK142">
        <v>0</v>
      </c>
      <c r="BL142">
        <v>0</v>
      </c>
      <c r="BM142">
        <v>0</v>
      </c>
      <c r="BN142">
        <v>0</v>
      </c>
      <c r="BO142">
        <v>0</v>
      </c>
      <c r="BP142">
        <v>2324</v>
      </c>
      <c r="BQ142">
        <v>0</v>
      </c>
      <c r="BR142">
        <v>0</v>
      </c>
      <c r="BS142">
        <v>0</v>
      </c>
      <c r="BT142">
        <v>785</v>
      </c>
      <c r="BU142">
        <v>4220</v>
      </c>
      <c r="BV142">
        <v>0</v>
      </c>
      <c r="BW142">
        <v>0</v>
      </c>
      <c r="BX142">
        <v>4037</v>
      </c>
      <c r="BY142">
        <v>0</v>
      </c>
      <c r="BZ142">
        <v>0</v>
      </c>
      <c r="CA142">
        <v>0</v>
      </c>
      <c r="CB142">
        <v>0</v>
      </c>
      <c r="CD142">
        <v>0</v>
      </c>
    </row>
    <row r="143" spans="1:82" x14ac:dyDescent="0.3">
      <c r="A143" s="155">
        <v>520</v>
      </c>
      <c r="B143" t="s">
        <v>267</v>
      </c>
      <c r="D143">
        <v>75504</v>
      </c>
      <c r="E143">
        <v>0</v>
      </c>
      <c r="F143">
        <v>190597</v>
      </c>
      <c r="G143">
        <v>0</v>
      </c>
      <c r="H143">
        <v>0</v>
      </c>
      <c r="I143">
        <v>0</v>
      </c>
      <c r="J143">
        <v>64319</v>
      </c>
      <c r="K143">
        <v>0</v>
      </c>
      <c r="L143">
        <v>0</v>
      </c>
      <c r="M143">
        <v>0</v>
      </c>
      <c r="N143">
        <v>0</v>
      </c>
      <c r="O143">
        <v>680167</v>
      </c>
      <c r="P143">
        <v>0</v>
      </c>
      <c r="Q143">
        <v>0</v>
      </c>
      <c r="R143">
        <v>55771</v>
      </c>
      <c r="S143">
        <v>0</v>
      </c>
      <c r="T143">
        <v>1888733</v>
      </c>
      <c r="U143">
        <v>1534081</v>
      </c>
      <c r="V143">
        <v>1490632</v>
      </c>
      <c r="W143">
        <v>0</v>
      </c>
      <c r="X143">
        <v>91906</v>
      </c>
      <c r="Y143">
        <v>1759153</v>
      </c>
      <c r="Z143">
        <v>454681</v>
      </c>
      <c r="AA143">
        <v>605832</v>
      </c>
      <c r="AB143">
        <v>447612</v>
      </c>
      <c r="AC143">
        <v>92750</v>
      </c>
      <c r="AD143">
        <v>164472</v>
      </c>
      <c r="AE143">
        <v>744152</v>
      </c>
      <c r="AF143">
        <v>0</v>
      </c>
      <c r="AG143">
        <v>240186</v>
      </c>
      <c r="AH143">
        <v>0</v>
      </c>
      <c r="AI143">
        <v>1447579</v>
      </c>
      <c r="AJ143">
        <v>67556</v>
      </c>
      <c r="AK143">
        <v>217094</v>
      </c>
      <c r="AM143">
        <v>1382079</v>
      </c>
      <c r="AN143">
        <v>71855</v>
      </c>
      <c r="AO143">
        <v>82089</v>
      </c>
      <c r="AP143">
        <v>0</v>
      </c>
      <c r="AQ143">
        <v>0</v>
      </c>
      <c r="AR143">
        <v>712749</v>
      </c>
      <c r="AS143">
        <v>0</v>
      </c>
      <c r="AT143">
        <v>331181</v>
      </c>
      <c r="AU143">
        <v>0</v>
      </c>
      <c r="AV143">
        <v>2374202</v>
      </c>
      <c r="AW143">
        <v>0</v>
      </c>
      <c r="AX143">
        <v>241094</v>
      </c>
      <c r="AY143">
        <v>89941</v>
      </c>
      <c r="AZ143">
        <v>197670</v>
      </c>
      <c r="BA143">
        <v>38244</v>
      </c>
      <c r="BB143">
        <v>0</v>
      </c>
      <c r="BC143">
        <v>26866</v>
      </c>
      <c r="BD143">
        <v>916661</v>
      </c>
      <c r="BE143">
        <v>0</v>
      </c>
      <c r="BF143">
        <v>59920</v>
      </c>
      <c r="BG143">
        <v>71250</v>
      </c>
      <c r="BH143">
        <v>0</v>
      </c>
      <c r="BI143">
        <v>91787</v>
      </c>
      <c r="BJ143">
        <v>0</v>
      </c>
      <c r="BK143">
        <v>393267</v>
      </c>
      <c r="BL143">
        <v>226587</v>
      </c>
      <c r="BM143">
        <v>329072</v>
      </c>
      <c r="BN143">
        <v>154216</v>
      </c>
      <c r="BO143">
        <v>94302</v>
      </c>
      <c r="BP143">
        <v>24829</v>
      </c>
      <c r="BQ143">
        <v>0</v>
      </c>
      <c r="BR143">
        <v>177632</v>
      </c>
      <c r="BS143">
        <v>0</v>
      </c>
      <c r="BT143">
        <v>248523</v>
      </c>
      <c r="BU143">
        <v>521101</v>
      </c>
      <c r="BV143">
        <v>0</v>
      </c>
      <c r="BW143">
        <v>462482</v>
      </c>
      <c r="BX143">
        <v>62404</v>
      </c>
      <c r="BY143">
        <v>18215</v>
      </c>
      <c r="BZ143">
        <v>167997</v>
      </c>
      <c r="CA143">
        <v>152277</v>
      </c>
      <c r="CB143">
        <v>152140</v>
      </c>
      <c r="CD143">
        <v>30020</v>
      </c>
    </row>
    <row r="144" spans="1:82" x14ac:dyDescent="0.3">
      <c r="A144" s="155">
        <v>521</v>
      </c>
      <c r="B144" t="s">
        <v>268</v>
      </c>
      <c r="D144">
        <v>0</v>
      </c>
      <c r="E144">
        <v>0</v>
      </c>
      <c r="F144">
        <v>0</v>
      </c>
      <c r="G144">
        <v>0</v>
      </c>
      <c r="H144">
        <v>0</v>
      </c>
      <c r="I144">
        <v>0</v>
      </c>
      <c r="J144">
        <v>0</v>
      </c>
      <c r="K144">
        <v>0</v>
      </c>
      <c r="L144">
        <v>0</v>
      </c>
      <c r="M144">
        <v>0</v>
      </c>
      <c r="N144">
        <v>0</v>
      </c>
      <c r="O144">
        <v>0</v>
      </c>
      <c r="P144">
        <v>0</v>
      </c>
      <c r="Q144">
        <v>1618052</v>
      </c>
      <c r="R144">
        <v>0</v>
      </c>
      <c r="S144">
        <v>0</v>
      </c>
      <c r="T144">
        <v>0</v>
      </c>
      <c r="U144">
        <v>0</v>
      </c>
      <c r="V144">
        <v>0</v>
      </c>
      <c r="W144">
        <v>0</v>
      </c>
      <c r="X144">
        <v>0</v>
      </c>
      <c r="Y144">
        <v>0</v>
      </c>
      <c r="Z144">
        <v>0</v>
      </c>
      <c r="AA144">
        <v>0</v>
      </c>
      <c r="AB144">
        <v>0</v>
      </c>
      <c r="AC144">
        <v>0</v>
      </c>
      <c r="AD144">
        <v>0</v>
      </c>
      <c r="AE144">
        <v>0</v>
      </c>
      <c r="AF144">
        <v>121639</v>
      </c>
      <c r="AG144">
        <v>0</v>
      </c>
      <c r="AH144">
        <v>0</v>
      </c>
      <c r="AI144">
        <v>0</v>
      </c>
      <c r="AJ144">
        <v>0</v>
      </c>
      <c r="AK144">
        <v>0</v>
      </c>
      <c r="AM144">
        <v>0</v>
      </c>
      <c r="AN144">
        <v>0</v>
      </c>
      <c r="AO144">
        <v>0</v>
      </c>
      <c r="AP144">
        <v>0</v>
      </c>
      <c r="AQ144">
        <v>0</v>
      </c>
      <c r="AR144">
        <v>0</v>
      </c>
      <c r="AS144">
        <v>0</v>
      </c>
      <c r="AT144">
        <v>0</v>
      </c>
      <c r="AU144">
        <v>0</v>
      </c>
      <c r="AV144">
        <v>0</v>
      </c>
      <c r="AW144">
        <v>0</v>
      </c>
      <c r="AX144">
        <v>0</v>
      </c>
      <c r="AY144">
        <v>0</v>
      </c>
      <c r="AZ144">
        <v>0</v>
      </c>
      <c r="BA144">
        <v>0</v>
      </c>
      <c r="BB144">
        <v>0</v>
      </c>
      <c r="BC144">
        <v>0</v>
      </c>
      <c r="BD144">
        <v>69346</v>
      </c>
      <c r="BE144">
        <v>0</v>
      </c>
      <c r="BF144">
        <v>0</v>
      </c>
      <c r="BG144">
        <v>0</v>
      </c>
      <c r="BH144">
        <v>0</v>
      </c>
      <c r="BI144">
        <v>0</v>
      </c>
      <c r="BJ144">
        <v>0</v>
      </c>
      <c r="BK144">
        <v>0</v>
      </c>
      <c r="BL144">
        <v>0</v>
      </c>
      <c r="BM144">
        <v>0</v>
      </c>
      <c r="BN144">
        <v>0</v>
      </c>
      <c r="BO144">
        <v>0</v>
      </c>
      <c r="BP144">
        <v>0</v>
      </c>
      <c r="BQ144">
        <v>0</v>
      </c>
      <c r="BR144">
        <v>0</v>
      </c>
      <c r="BS144">
        <v>0</v>
      </c>
      <c r="BT144">
        <v>0</v>
      </c>
      <c r="BU144">
        <v>0</v>
      </c>
      <c r="BV144">
        <v>0</v>
      </c>
      <c r="BW144">
        <v>0</v>
      </c>
      <c r="BX144">
        <v>0</v>
      </c>
      <c r="BY144">
        <v>0</v>
      </c>
      <c r="BZ144">
        <v>0</v>
      </c>
      <c r="CA144">
        <v>0</v>
      </c>
      <c r="CB144">
        <v>0</v>
      </c>
      <c r="CD144">
        <v>0</v>
      </c>
    </row>
    <row r="145" spans="1:82" x14ac:dyDescent="0.3">
      <c r="A145" s="155">
        <v>522</v>
      </c>
      <c r="B145" t="s">
        <v>269</v>
      </c>
      <c r="D145">
        <v>9962</v>
      </c>
      <c r="E145">
        <v>0</v>
      </c>
      <c r="F145">
        <v>27883</v>
      </c>
      <c r="G145">
        <v>0</v>
      </c>
      <c r="H145">
        <v>0</v>
      </c>
      <c r="I145">
        <v>0</v>
      </c>
      <c r="J145">
        <v>674</v>
      </c>
      <c r="K145">
        <v>0</v>
      </c>
      <c r="L145">
        <v>0</v>
      </c>
      <c r="M145">
        <v>0</v>
      </c>
      <c r="N145">
        <v>0</v>
      </c>
      <c r="O145">
        <v>84944</v>
      </c>
      <c r="P145">
        <v>0</v>
      </c>
      <c r="Q145">
        <v>1111103</v>
      </c>
      <c r="R145">
        <v>20335</v>
      </c>
      <c r="S145">
        <v>0</v>
      </c>
      <c r="T145">
        <v>472877</v>
      </c>
      <c r="U145">
        <v>204446</v>
      </c>
      <c r="V145">
        <v>1011958</v>
      </c>
      <c r="W145">
        <v>0</v>
      </c>
      <c r="X145">
        <v>0</v>
      </c>
      <c r="Y145">
        <v>203224</v>
      </c>
      <c r="Z145">
        <v>0</v>
      </c>
      <c r="AA145">
        <v>175960</v>
      </c>
      <c r="AB145">
        <v>34400</v>
      </c>
      <c r="AC145">
        <v>20346</v>
      </c>
      <c r="AD145">
        <v>63204</v>
      </c>
      <c r="AE145">
        <v>108541</v>
      </c>
      <c r="AF145">
        <v>196530</v>
      </c>
      <c r="AG145">
        <v>72020</v>
      </c>
      <c r="AH145">
        <v>0</v>
      </c>
      <c r="AI145">
        <v>518080</v>
      </c>
      <c r="AJ145">
        <v>0</v>
      </c>
      <c r="AK145">
        <v>21487</v>
      </c>
      <c r="AM145">
        <v>229579</v>
      </c>
      <c r="AN145">
        <v>4727</v>
      </c>
      <c r="AO145">
        <v>10130</v>
      </c>
      <c r="AP145">
        <v>0</v>
      </c>
      <c r="AQ145">
        <v>0</v>
      </c>
      <c r="AR145">
        <v>53692</v>
      </c>
      <c r="AS145">
        <v>0</v>
      </c>
      <c r="AT145">
        <v>64066</v>
      </c>
      <c r="AU145">
        <v>0</v>
      </c>
      <c r="AV145">
        <v>1164504</v>
      </c>
      <c r="AW145">
        <v>0</v>
      </c>
      <c r="AX145">
        <v>25016</v>
      </c>
      <c r="AY145">
        <v>104700</v>
      </c>
      <c r="AZ145">
        <v>12171</v>
      </c>
      <c r="BA145">
        <v>6150</v>
      </c>
      <c r="BB145">
        <v>0</v>
      </c>
      <c r="BC145">
        <v>0</v>
      </c>
      <c r="BD145">
        <v>155804</v>
      </c>
      <c r="BE145">
        <v>0</v>
      </c>
      <c r="BF145">
        <v>6464</v>
      </c>
      <c r="BG145">
        <v>3483</v>
      </c>
      <c r="BH145">
        <v>0</v>
      </c>
      <c r="BI145">
        <v>2180</v>
      </c>
      <c r="BJ145">
        <v>0</v>
      </c>
      <c r="BK145">
        <v>133363</v>
      </c>
      <c r="BL145">
        <v>5076</v>
      </c>
      <c r="BM145">
        <v>42019</v>
      </c>
      <c r="BN145">
        <v>10188</v>
      </c>
      <c r="BO145">
        <v>9882</v>
      </c>
      <c r="BP145">
        <v>14310</v>
      </c>
      <c r="BQ145">
        <v>0</v>
      </c>
      <c r="BR145">
        <v>856</v>
      </c>
      <c r="BS145">
        <v>0</v>
      </c>
      <c r="BT145">
        <v>32581</v>
      </c>
      <c r="BU145">
        <v>55526</v>
      </c>
      <c r="BV145">
        <v>0</v>
      </c>
      <c r="BW145">
        <v>37746</v>
      </c>
      <c r="BX145">
        <v>8635</v>
      </c>
      <c r="BY145">
        <v>0</v>
      </c>
      <c r="BZ145">
        <v>981</v>
      </c>
      <c r="CA145">
        <v>480</v>
      </c>
      <c r="CB145">
        <v>6912</v>
      </c>
      <c r="CD145">
        <v>0</v>
      </c>
    </row>
    <row r="146" spans="1:82" x14ac:dyDescent="0.3">
      <c r="A146" s="155">
        <v>523</v>
      </c>
      <c r="B146" t="s">
        <v>270</v>
      </c>
      <c r="D146">
        <v>0</v>
      </c>
      <c r="E146">
        <v>0</v>
      </c>
      <c r="F146">
        <v>0</v>
      </c>
      <c r="G146">
        <v>0</v>
      </c>
      <c r="H146">
        <v>0</v>
      </c>
      <c r="I146">
        <v>0</v>
      </c>
      <c r="J146">
        <v>0</v>
      </c>
      <c r="K146">
        <v>0</v>
      </c>
      <c r="L146">
        <v>0</v>
      </c>
      <c r="M146">
        <v>0</v>
      </c>
      <c r="N146">
        <v>0</v>
      </c>
      <c r="O146">
        <v>0</v>
      </c>
      <c r="P146">
        <v>0</v>
      </c>
      <c r="Q146">
        <v>17076954</v>
      </c>
      <c r="R146">
        <v>78142</v>
      </c>
      <c r="S146">
        <v>0</v>
      </c>
      <c r="T146">
        <v>37293277</v>
      </c>
      <c r="U146">
        <v>1209410</v>
      </c>
      <c r="V146">
        <v>10906197</v>
      </c>
      <c r="W146">
        <v>0</v>
      </c>
      <c r="X146">
        <v>0</v>
      </c>
      <c r="Y146">
        <v>0</v>
      </c>
      <c r="Z146">
        <v>0</v>
      </c>
      <c r="AA146">
        <v>12177297</v>
      </c>
      <c r="AB146">
        <v>4913588</v>
      </c>
      <c r="AC146">
        <v>140187</v>
      </c>
      <c r="AD146">
        <v>0</v>
      </c>
      <c r="AE146">
        <v>0</v>
      </c>
      <c r="AF146">
        <v>2408817</v>
      </c>
      <c r="AG146">
        <v>0</v>
      </c>
      <c r="AH146">
        <v>0</v>
      </c>
      <c r="AI146">
        <v>30813515</v>
      </c>
      <c r="AJ146">
        <v>0</v>
      </c>
      <c r="AK146">
        <v>0</v>
      </c>
      <c r="AM146">
        <v>19677312</v>
      </c>
      <c r="AN146">
        <v>0</v>
      </c>
      <c r="AO146">
        <v>0</v>
      </c>
      <c r="AP146">
        <v>0</v>
      </c>
      <c r="AQ146">
        <v>0</v>
      </c>
      <c r="AR146">
        <v>0</v>
      </c>
      <c r="AS146">
        <v>0</v>
      </c>
      <c r="AT146">
        <v>0</v>
      </c>
      <c r="AU146">
        <v>0</v>
      </c>
      <c r="AV146">
        <v>3648162</v>
      </c>
      <c r="AW146">
        <v>0</v>
      </c>
      <c r="AX146">
        <v>0</v>
      </c>
      <c r="AY146">
        <v>65756</v>
      </c>
      <c r="AZ146">
        <v>321222</v>
      </c>
      <c r="BA146">
        <v>0</v>
      </c>
      <c r="BB146">
        <v>0</v>
      </c>
      <c r="BC146">
        <v>22408</v>
      </c>
      <c r="BD146">
        <v>0</v>
      </c>
      <c r="BE146">
        <v>0</v>
      </c>
      <c r="BF146">
        <v>0</v>
      </c>
      <c r="BG146">
        <v>0</v>
      </c>
      <c r="BH146">
        <v>0</v>
      </c>
      <c r="BI146">
        <v>0</v>
      </c>
      <c r="BJ146">
        <v>0</v>
      </c>
      <c r="BK146">
        <v>0</v>
      </c>
      <c r="BL146">
        <v>0</v>
      </c>
      <c r="BM146">
        <v>0</v>
      </c>
      <c r="BN146">
        <v>0</v>
      </c>
      <c r="BO146">
        <v>0</v>
      </c>
      <c r="BP146">
        <v>79949</v>
      </c>
      <c r="BQ146">
        <v>0</v>
      </c>
      <c r="BR146">
        <v>0</v>
      </c>
      <c r="BS146">
        <v>0</v>
      </c>
      <c r="BT146">
        <v>8494</v>
      </c>
      <c r="BU146">
        <v>140739</v>
      </c>
      <c r="BV146">
        <v>0</v>
      </c>
      <c r="BW146">
        <v>0</v>
      </c>
      <c r="BX146">
        <v>74849</v>
      </c>
      <c r="BY146">
        <v>0</v>
      </c>
      <c r="BZ146">
        <v>0</v>
      </c>
      <c r="CA146">
        <v>0</v>
      </c>
      <c r="CB146">
        <v>0</v>
      </c>
      <c r="CD146">
        <v>0</v>
      </c>
    </row>
    <row r="147" spans="1:82" x14ac:dyDescent="0.3">
      <c r="A147" s="155">
        <v>524</v>
      </c>
      <c r="B147" t="s">
        <v>271</v>
      </c>
      <c r="D147">
        <v>1240963</v>
      </c>
      <c r="E147">
        <v>0</v>
      </c>
      <c r="F147">
        <v>3871047</v>
      </c>
      <c r="G147">
        <v>0</v>
      </c>
      <c r="H147">
        <v>0</v>
      </c>
      <c r="I147">
        <v>0</v>
      </c>
      <c r="J147">
        <v>987330</v>
      </c>
      <c r="K147">
        <v>0</v>
      </c>
      <c r="L147">
        <v>0</v>
      </c>
      <c r="M147">
        <v>0</v>
      </c>
      <c r="N147">
        <v>0</v>
      </c>
      <c r="O147">
        <v>14309657</v>
      </c>
      <c r="P147">
        <v>0</v>
      </c>
      <c r="Q147">
        <v>0</v>
      </c>
      <c r="R147">
        <v>1515259</v>
      </c>
      <c r="S147">
        <v>0</v>
      </c>
      <c r="T147">
        <v>51150091</v>
      </c>
      <c r="U147">
        <v>25607427</v>
      </c>
      <c r="V147">
        <v>28099818</v>
      </c>
      <c r="W147">
        <v>0</v>
      </c>
      <c r="X147">
        <v>1578302</v>
      </c>
      <c r="Y147">
        <v>43230853</v>
      </c>
      <c r="Z147">
        <v>7945264</v>
      </c>
      <c r="AA147">
        <v>14204502</v>
      </c>
      <c r="AB147">
        <v>5498150</v>
      </c>
      <c r="AC147">
        <v>2002623</v>
      </c>
      <c r="AD147">
        <v>3908479</v>
      </c>
      <c r="AE147">
        <v>10861895</v>
      </c>
      <c r="AF147">
        <v>0</v>
      </c>
      <c r="AG147">
        <v>5900451</v>
      </c>
      <c r="AH147">
        <v>0</v>
      </c>
      <c r="AI147">
        <v>24707709</v>
      </c>
      <c r="AJ147">
        <v>1205025</v>
      </c>
      <c r="AK147">
        <v>4301336</v>
      </c>
      <c r="AM147">
        <v>23308391</v>
      </c>
      <c r="AN147">
        <v>2524409</v>
      </c>
      <c r="AO147">
        <v>1510770</v>
      </c>
      <c r="AP147">
        <v>0</v>
      </c>
      <c r="AQ147">
        <v>0</v>
      </c>
      <c r="AR147">
        <v>17693435</v>
      </c>
      <c r="AS147">
        <v>0</v>
      </c>
      <c r="AT147">
        <v>7403000</v>
      </c>
      <c r="AU147">
        <v>0</v>
      </c>
      <c r="AV147">
        <v>25957959</v>
      </c>
      <c r="AW147">
        <v>0</v>
      </c>
      <c r="AX147">
        <v>6057071</v>
      </c>
      <c r="AY147">
        <v>1953620</v>
      </c>
      <c r="AZ147">
        <v>4449553</v>
      </c>
      <c r="BA147">
        <v>1377431</v>
      </c>
      <c r="BB147">
        <v>0</v>
      </c>
      <c r="BC147">
        <v>508567</v>
      </c>
      <c r="BD147">
        <v>16562933</v>
      </c>
      <c r="BE147">
        <v>0</v>
      </c>
      <c r="BF147">
        <v>1673928</v>
      </c>
      <c r="BG147">
        <v>1399230</v>
      </c>
      <c r="BH147">
        <v>0</v>
      </c>
      <c r="BI147">
        <v>1724616</v>
      </c>
      <c r="BJ147">
        <v>0</v>
      </c>
      <c r="BK147">
        <v>7770101</v>
      </c>
      <c r="BL147">
        <v>3316503</v>
      </c>
      <c r="BM147">
        <v>9800659</v>
      </c>
      <c r="BN147">
        <v>1778662</v>
      </c>
      <c r="BO147">
        <v>2729604</v>
      </c>
      <c r="BP147">
        <v>763593</v>
      </c>
      <c r="BQ147">
        <v>0</v>
      </c>
      <c r="BR147">
        <v>5823994</v>
      </c>
      <c r="BS147">
        <v>0</v>
      </c>
      <c r="BT147">
        <v>4571061</v>
      </c>
      <c r="BU147">
        <v>10460245</v>
      </c>
      <c r="BV147">
        <v>0</v>
      </c>
      <c r="BW147">
        <v>6510461</v>
      </c>
      <c r="BX147">
        <v>1276002</v>
      </c>
      <c r="BY147">
        <v>219912</v>
      </c>
      <c r="BZ147">
        <v>3077234</v>
      </c>
      <c r="CA147">
        <v>1802938</v>
      </c>
      <c r="CB147">
        <v>3486558</v>
      </c>
      <c r="CD147">
        <v>438482</v>
      </c>
    </row>
    <row r="148" spans="1:82" x14ac:dyDescent="0.3">
      <c r="A148" s="155">
        <v>525</v>
      </c>
      <c r="B148" t="s">
        <v>272</v>
      </c>
      <c r="D148">
        <v>0</v>
      </c>
      <c r="E148">
        <v>0</v>
      </c>
      <c r="F148">
        <v>0</v>
      </c>
      <c r="G148">
        <v>0</v>
      </c>
      <c r="H148">
        <v>0</v>
      </c>
      <c r="I148">
        <v>0</v>
      </c>
      <c r="J148">
        <v>0</v>
      </c>
      <c r="K148">
        <v>0</v>
      </c>
      <c r="L148">
        <v>0</v>
      </c>
      <c r="M148">
        <v>0</v>
      </c>
      <c r="N148">
        <v>0</v>
      </c>
      <c r="O148">
        <v>0</v>
      </c>
      <c r="P148">
        <v>0</v>
      </c>
      <c r="Q148">
        <v>24978935</v>
      </c>
      <c r="R148">
        <v>0</v>
      </c>
      <c r="S148">
        <v>0</v>
      </c>
      <c r="T148">
        <v>0</v>
      </c>
      <c r="U148">
        <v>0</v>
      </c>
      <c r="V148">
        <v>0</v>
      </c>
      <c r="W148">
        <v>0</v>
      </c>
      <c r="X148">
        <v>0</v>
      </c>
      <c r="Y148">
        <v>0</v>
      </c>
      <c r="Z148">
        <v>0</v>
      </c>
      <c r="AA148">
        <v>0</v>
      </c>
      <c r="AB148">
        <v>0</v>
      </c>
      <c r="AC148">
        <v>0</v>
      </c>
      <c r="AD148">
        <v>0</v>
      </c>
      <c r="AE148">
        <v>0</v>
      </c>
      <c r="AF148">
        <v>1084070</v>
      </c>
      <c r="AG148">
        <v>0</v>
      </c>
      <c r="AH148">
        <v>0</v>
      </c>
      <c r="AI148">
        <v>0</v>
      </c>
      <c r="AJ148">
        <v>0</v>
      </c>
      <c r="AK148">
        <v>0</v>
      </c>
      <c r="AM148">
        <v>0</v>
      </c>
      <c r="AN148">
        <v>0</v>
      </c>
      <c r="AO148">
        <v>0</v>
      </c>
      <c r="AP148">
        <v>0</v>
      </c>
      <c r="AQ148">
        <v>0</v>
      </c>
      <c r="AR148">
        <v>0</v>
      </c>
      <c r="AS148">
        <v>0</v>
      </c>
      <c r="AT148">
        <v>0</v>
      </c>
      <c r="AU148">
        <v>0</v>
      </c>
      <c r="AV148">
        <v>0</v>
      </c>
      <c r="AW148">
        <v>0</v>
      </c>
      <c r="AX148">
        <v>0</v>
      </c>
      <c r="AY148">
        <v>0</v>
      </c>
      <c r="AZ148">
        <v>0</v>
      </c>
      <c r="BA148">
        <v>0</v>
      </c>
      <c r="BB148">
        <v>0</v>
      </c>
      <c r="BC148">
        <v>0</v>
      </c>
      <c r="BD148">
        <v>183296</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0</v>
      </c>
      <c r="CD148">
        <v>0</v>
      </c>
    </row>
    <row r="149" spans="1:82" x14ac:dyDescent="0.3">
      <c r="A149" s="155">
        <v>526</v>
      </c>
      <c r="B149" t="s">
        <v>273</v>
      </c>
      <c r="D149">
        <v>134689</v>
      </c>
      <c r="E149">
        <v>0</v>
      </c>
      <c r="F149">
        <v>188887</v>
      </c>
      <c r="G149">
        <v>0</v>
      </c>
      <c r="H149">
        <v>0</v>
      </c>
      <c r="I149">
        <v>0</v>
      </c>
      <c r="J149">
        <v>6536</v>
      </c>
      <c r="K149">
        <v>0</v>
      </c>
      <c r="L149">
        <v>0</v>
      </c>
      <c r="M149">
        <v>0</v>
      </c>
      <c r="N149">
        <v>0</v>
      </c>
      <c r="O149">
        <v>1824439</v>
      </c>
      <c r="P149">
        <v>0</v>
      </c>
      <c r="Q149">
        <v>10024644</v>
      </c>
      <c r="R149">
        <v>312816</v>
      </c>
      <c r="S149">
        <v>0</v>
      </c>
      <c r="T149">
        <v>7626711</v>
      </c>
      <c r="U149">
        <v>2162411</v>
      </c>
      <c r="V149">
        <v>10586878</v>
      </c>
      <c r="W149">
        <v>0</v>
      </c>
      <c r="X149">
        <v>10236</v>
      </c>
      <c r="Y149">
        <v>2732628</v>
      </c>
      <c r="Z149">
        <v>0</v>
      </c>
      <c r="AA149">
        <v>3245876</v>
      </c>
      <c r="AB149">
        <v>1154557</v>
      </c>
      <c r="AC149">
        <v>140705</v>
      </c>
      <c r="AD149">
        <v>673144</v>
      </c>
      <c r="AE149">
        <v>556035</v>
      </c>
      <c r="AF149">
        <v>5017087</v>
      </c>
      <c r="AG149">
        <v>952621</v>
      </c>
      <c r="AH149">
        <v>0</v>
      </c>
      <c r="AI149">
        <v>7440370</v>
      </c>
      <c r="AJ149">
        <v>0</v>
      </c>
      <c r="AK149">
        <v>296691</v>
      </c>
      <c r="AM149">
        <v>2376252</v>
      </c>
      <c r="AN149">
        <v>75054</v>
      </c>
      <c r="AO149">
        <v>129600</v>
      </c>
      <c r="AP149">
        <v>0</v>
      </c>
      <c r="AQ149">
        <v>0</v>
      </c>
      <c r="AR149">
        <v>1381172</v>
      </c>
      <c r="AS149">
        <v>0</v>
      </c>
      <c r="AT149">
        <v>575038</v>
      </c>
      <c r="AU149">
        <v>0</v>
      </c>
      <c r="AV149">
        <v>13905168</v>
      </c>
      <c r="AW149">
        <v>0</v>
      </c>
      <c r="AX149">
        <v>797584</v>
      </c>
      <c r="AY149">
        <v>1089562</v>
      </c>
      <c r="AZ149">
        <v>379201</v>
      </c>
      <c r="BA149">
        <v>82064</v>
      </c>
      <c r="BB149">
        <v>0</v>
      </c>
      <c r="BC149">
        <v>0</v>
      </c>
      <c r="BD149">
        <v>2808265</v>
      </c>
      <c r="BE149">
        <v>0</v>
      </c>
      <c r="BF149">
        <v>114402</v>
      </c>
      <c r="BG149">
        <v>17562</v>
      </c>
      <c r="BH149">
        <v>0</v>
      </c>
      <c r="BI149">
        <v>15732</v>
      </c>
      <c r="BJ149">
        <v>0</v>
      </c>
      <c r="BK149">
        <v>1823539</v>
      </c>
      <c r="BL149">
        <v>28913</v>
      </c>
      <c r="BM149">
        <v>290471</v>
      </c>
      <c r="BN149">
        <v>197867</v>
      </c>
      <c r="BO149">
        <v>190349</v>
      </c>
      <c r="BP149">
        <v>318430</v>
      </c>
      <c r="BQ149">
        <v>0</v>
      </c>
      <c r="BR149">
        <v>122981</v>
      </c>
      <c r="BS149">
        <v>0</v>
      </c>
      <c r="BT149">
        <v>310170</v>
      </c>
      <c r="BU149">
        <v>361581</v>
      </c>
      <c r="BV149">
        <v>0</v>
      </c>
      <c r="BW149">
        <v>1540066</v>
      </c>
      <c r="BX149">
        <v>20754</v>
      </c>
      <c r="BY149">
        <v>0</v>
      </c>
      <c r="BZ149">
        <v>96500</v>
      </c>
      <c r="CA149">
        <v>5530</v>
      </c>
      <c r="CB149">
        <v>242710</v>
      </c>
      <c r="CD149">
        <v>0</v>
      </c>
    </row>
    <row r="150" spans="1:82" x14ac:dyDescent="0.3">
      <c r="A150" s="155">
        <v>527</v>
      </c>
      <c r="B150" t="s">
        <v>274</v>
      </c>
      <c r="D150">
        <v>0</v>
      </c>
      <c r="E150">
        <v>0</v>
      </c>
      <c r="F150">
        <v>0</v>
      </c>
      <c r="G150">
        <v>0</v>
      </c>
      <c r="H150">
        <v>0</v>
      </c>
      <c r="I150">
        <v>0</v>
      </c>
      <c r="J150">
        <v>0</v>
      </c>
      <c r="K150">
        <v>0</v>
      </c>
      <c r="L150">
        <v>0</v>
      </c>
      <c r="M150">
        <v>0</v>
      </c>
      <c r="N150">
        <v>0</v>
      </c>
      <c r="O150">
        <v>0</v>
      </c>
      <c r="P150">
        <v>0</v>
      </c>
      <c r="Q150">
        <v>8760280</v>
      </c>
      <c r="R150">
        <v>0</v>
      </c>
      <c r="S150">
        <v>0</v>
      </c>
      <c r="T150">
        <v>0</v>
      </c>
      <c r="U150">
        <v>0</v>
      </c>
      <c r="V150">
        <v>565565</v>
      </c>
      <c r="W150">
        <v>0</v>
      </c>
      <c r="X150">
        <v>0</v>
      </c>
      <c r="Y150">
        <v>0</v>
      </c>
      <c r="Z150">
        <v>0</v>
      </c>
      <c r="AA150">
        <v>0</v>
      </c>
      <c r="AB150">
        <v>0</v>
      </c>
      <c r="AC150">
        <v>0</v>
      </c>
      <c r="AD150">
        <v>0</v>
      </c>
      <c r="AE150">
        <v>0</v>
      </c>
      <c r="AF150">
        <v>0</v>
      </c>
      <c r="AG150">
        <v>0</v>
      </c>
      <c r="AH150">
        <v>0</v>
      </c>
      <c r="AI150">
        <v>10051877</v>
      </c>
      <c r="AJ150">
        <v>0</v>
      </c>
      <c r="AK150">
        <v>0</v>
      </c>
      <c r="AM150">
        <v>401199</v>
      </c>
      <c r="AN150">
        <v>0</v>
      </c>
      <c r="AO150">
        <v>0</v>
      </c>
      <c r="AP150">
        <v>0</v>
      </c>
      <c r="AQ150">
        <v>0</v>
      </c>
      <c r="AR150">
        <v>0</v>
      </c>
      <c r="AS150">
        <v>0</v>
      </c>
      <c r="AT150">
        <v>0</v>
      </c>
      <c r="AU150">
        <v>7405</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11600</v>
      </c>
      <c r="BS150">
        <v>7636584</v>
      </c>
      <c r="BT150">
        <v>0</v>
      </c>
      <c r="BU150">
        <v>0</v>
      </c>
      <c r="BV150">
        <v>0</v>
      </c>
      <c r="BW150">
        <v>0</v>
      </c>
      <c r="BX150">
        <v>0</v>
      </c>
      <c r="BY150">
        <v>0</v>
      </c>
      <c r="BZ150">
        <v>0</v>
      </c>
      <c r="CA150">
        <v>0</v>
      </c>
      <c r="CB150">
        <v>0</v>
      </c>
      <c r="CD150">
        <v>0</v>
      </c>
    </row>
    <row r="151" spans="1:82" x14ac:dyDescent="0.3">
      <c r="A151" s="155">
        <v>528</v>
      </c>
      <c r="B151" t="s">
        <v>257</v>
      </c>
      <c r="D151">
        <v>127647</v>
      </c>
      <c r="E151">
        <v>22933</v>
      </c>
      <c r="F151">
        <v>318577</v>
      </c>
      <c r="G151">
        <v>1110053</v>
      </c>
      <c r="H151">
        <v>163517</v>
      </c>
      <c r="I151">
        <v>2576673</v>
      </c>
      <c r="J151">
        <v>48705</v>
      </c>
      <c r="K151">
        <v>69617</v>
      </c>
      <c r="L151">
        <v>121914</v>
      </c>
      <c r="M151">
        <v>8542991</v>
      </c>
      <c r="N151">
        <v>26778</v>
      </c>
      <c r="O151">
        <v>2689844</v>
      </c>
      <c r="P151">
        <v>14000</v>
      </c>
      <c r="Q151">
        <v>21739077</v>
      </c>
      <c r="R151">
        <v>1053702</v>
      </c>
      <c r="S151">
        <v>0</v>
      </c>
      <c r="T151">
        <v>43660791</v>
      </c>
      <c r="U151">
        <v>8272827</v>
      </c>
      <c r="V151">
        <v>10226256</v>
      </c>
      <c r="W151">
        <v>21100440</v>
      </c>
      <c r="X151">
        <v>0</v>
      </c>
      <c r="Y151">
        <v>6461171</v>
      </c>
      <c r="Z151">
        <v>522617</v>
      </c>
      <c r="AA151">
        <v>8020156</v>
      </c>
      <c r="AB151">
        <v>1648660</v>
      </c>
      <c r="AC151">
        <v>845057</v>
      </c>
      <c r="AD151">
        <v>793715</v>
      </c>
      <c r="AE151">
        <v>1022245</v>
      </c>
      <c r="AF151">
        <v>8066337</v>
      </c>
      <c r="AG151">
        <v>2289953</v>
      </c>
      <c r="AH151">
        <v>256132</v>
      </c>
      <c r="AI151">
        <v>14573720</v>
      </c>
      <c r="AJ151">
        <v>218846</v>
      </c>
      <c r="AK151">
        <v>324263</v>
      </c>
      <c r="AM151">
        <v>5839661</v>
      </c>
      <c r="AN151">
        <v>234861</v>
      </c>
      <c r="AO151">
        <v>243832</v>
      </c>
      <c r="AP151">
        <v>0</v>
      </c>
      <c r="AQ151">
        <v>3922282</v>
      </c>
      <c r="AR151">
        <v>2275747</v>
      </c>
      <c r="AS151">
        <v>125854</v>
      </c>
      <c r="AT151">
        <v>1174533</v>
      </c>
      <c r="AU151">
        <v>65209</v>
      </c>
      <c r="AV151">
        <v>8958076</v>
      </c>
      <c r="AW151">
        <v>800628</v>
      </c>
      <c r="AX151">
        <v>647115</v>
      </c>
      <c r="AY151">
        <v>3290266</v>
      </c>
      <c r="AZ151">
        <v>429162</v>
      </c>
      <c r="BA151">
        <v>527563</v>
      </c>
      <c r="BB151">
        <v>0</v>
      </c>
      <c r="BC151">
        <v>47659</v>
      </c>
      <c r="BD151">
        <v>3361528</v>
      </c>
      <c r="BE151">
        <v>25438</v>
      </c>
      <c r="BF151">
        <v>170120</v>
      </c>
      <c r="BG151">
        <v>72873</v>
      </c>
      <c r="BH151">
        <v>31456</v>
      </c>
      <c r="BI151">
        <v>50538</v>
      </c>
      <c r="BJ151">
        <v>49583</v>
      </c>
      <c r="BK151">
        <v>1253193</v>
      </c>
      <c r="BL151">
        <v>299593</v>
      </c>
      <c r="BM151">
        <v>817806</v>
      </c>
      <c r="BN151">
        <v>2366644</v>
      </c>
      <c r="BO151">
        <v>539405</v>
      </c>
      <c r="BP151">
        <v>487555</v>
      </c>
      <c r="BQ151">
        <v>10685309</v>
      </c>
      <c r="BR151">
        <v>218020</v>
      </c>
      <c r="BS151">
        <v>8231798</v>
      </c>
      <c r="BT151">
        <v>183853</v>
      </c>
      <c r="BU151">
        <v>2321933</v>
      </c>
      <c r="BV151">
        <v>298727</v>
      </c>
      <c r="BW151">
        <v>1075734</v>
      </c>
      <c r="BX151">
        <v>125726</v>
      </c>
      <c r="BY151">
        <v>12616</v>
      </c>
      <c r="BZ151">
        <v>64866</v>
      </c>
      <c r="CA151">
        <v>23663</v>
      </c>
      <c r="CB151">
        <v>466432</v>
      </c>
      <c r="CD151">
        <v>8841</v>
      </c>
    </row>
    <row r="152" spans="1:82" x14ac:dyDescent="0.3">
      <c r="A152" s="155">
        <v>529</v>
      </c>
      <c r="B152" t="s">
        <v>258</v>
      </c>
      <c r="D152">
        <v>17726</v>
      </c>
      <c r="E152">
        <v>3337</v>
      </c>
      <c r="F152">
        <v>48403</v>
      </c>
      <c r="G152">
        <v>137824</v>
      </c>
      <c r="H152">
        <v>24727</v>
      </c>
      <c r="I152">
        <v>210122</v>
      </c>
      <c r="J152">
        <v>4954</v>
      </c>
      <c r="K152">
        <v>8918</v>
      </c>
      <c r="L152">
        <v>9820</v>
      </c>
      <c r="M152">
        <v>787549</v>
      </c>
      <c r="N152">
        <v>4468</v>
      </c>
      <c r="O152">
        <v>154683</v>
      </c>
      <c r="P152">
        <v>3340</v>
      </c>
      <c r="Q152">
        <v>2033158</v>
      </c>
      <c r="R152">
        <v>25210</v>
      </c>
      <c r="S152">
        <v>0</v>
      </c>
      <c r="T152">
        <v>3621873</v>
      </c>
      <c r="U152">
        <v>431210</v>
      </c>
      <c r="V152">
        <v>797960</v>
      </c>
      <c r="W152">
        <v>1116037</v>
      </c>
      <c r="X152">
        <v>0</v>
      </c>
      <c r="Y152">
        <v>637439</v>
      </c>
      <c r="Z152">
        <v>54689</v>
      </c>
      <c r="AA152">
        <v>810402</v>
      </c>
      <c r="AB152">
        <v>192876</v>
      </c>
      <c r="AC152">
        <v>82482</v>
      </c>
      <c r="AD152">
        <v>122286</v>
      </c>
      <c r="AE152">
        <v>44229</v>
      </c>
      <c r="AF152">
        <v>148166</v>
      </c>
      <c r="AG152">
        <v>331901</v>
      </c>
      <c r="AH152">
        <v>25494</v>
      </c>
      <c r="AI152">
        <v>1550127</v>
      </c>
      <c r="AJ152">
        <v>12157</v>
      </c>
      <c r="AK152">
        <v>29887</v>
      </c>
      <c r="AM152">
        <v>569457</v>
      </c>
      <c r="AN152">
        <v>25921</v>
      </c>
      <c r="AO152">
        <v>43637</v>
      </c>
      <c r="AP152">
        <v>0</v>
      </c>
      <c r="AQ152">
        <v>67198</v>
      </c>
      <c r="AR152">
        <v>189025</v>
      </c>
      <c r="AS152">
        <v>13431</v>
      </c>
      <c r="AT152">
        <v>87667</v>
      </c>
      <c r="AU152">
        <v>13749</v>
      </c>
      <c r="AV152">
        <v>334752</v>
      </c>
      <c r="AW152">
        <v>96113</v>
      </c>
      <c r="AX152">
        <v>85322</v>
      </c>
      <c r="AY152">
        <v>49022</v>
      </c>
      <c r="AZ152">
        <v>23602</v>
      </c>
      <c r="BA152">
        <v>29916</v>
      </c>
      <c r="BB152">
        <v>0</v>
      </c>
      <c r="BC152">
        <v>7059</v>
      </c>
      <c r="BD152">
        <v>413752</v>
      </c>
      <c r="BE152">
        <v>6560</v>
      </c>
      <c r="BF152">
        <v>22521</v>
      </c>
      <c r="BG152">
        <v>11685</v>
      </c>
      <c r="BH152">
        <v>3127</v>
      </c>
      <c r="BI152">
        <v>10140</v>
      </c>
      <c r="BJ152">
        <v>3945</v>
      </c>
      <c r="BK152">
        <v>85447</v>
      </c>
      <c r="BL152">
        <v>30855</v>
      </c>
      <c r="BM152">
        <v>84961</v>
      </c>
      <c r="BN152">
        <v>58449</v>
      </c>
      <c r="BO152">
        <v>76153</v>
      </c>
      <c r="BP152">
        <v>65838</v>
      </c>
      <c r="BQ152">
        <v>800909</v>
      </c>
      <c r="BR152">
        <v>12211</v>
      </c>
      <c r="BS152">
        <v>350041</v>
      </c>
      <c r="BT152">
        <v>20034</v>
      </c>
      <c r="BU152">
        <v>269642</v>
      </c>
      <c r="BV152">
        <v>34727</v>
      </c>
      <c r="BW152">
        <v>100092</v>
      </c>
      <c r="BX152">
        <v>19517</v>
      </c>
      <c r="BY152">
        <v>2188</v>
      </c>
      <c r="BZ152">
        <v>9363</v>
      </c>
      <c r="CA152">
        <v>4840</v>
      </c>
      <c r="CB152">
        <v>57051</v>
      </c>
      <c r="CD152">
        <v>3583</v>
      </c>
    </row>
    <row r="153" spans="1:82" x14ac:dyDescent="0.3">
      <c r="A153" s="155">
        <v>530</v>
      </c>
      <c r="B153" t="s">
        <v>259</v>
      </c>
      <c r="D153">
        <v>12472</v>
      </c>
      <c r="E153">
        <v>408</v>
      </c>
      <c r="F153">
        <v>4290</v>
      </c>
      <c r="G153">
        <v>21901</v>
      </c>
      <c r="H153">
        <v>3606</v>
      </c>
      <c r="I153">
        <v>21201</v>
      </c>
      <c r="J153">
        <v>1359</v>
      </c>
      <c r="K153">
        <v>329</v>
      </c>
      <c r="L153">
        <v>854</v>
      </c>
      <c r="M153">
        <v>67716</v>
      </c>
      <c r="N153">
        <v>882</v>
      </c>
      <c r="O153">
        <v>30782</v>
      </c>
      <c r="P153">
        <v>122</v>
      </c>
      <c r="Q153">
        <v>145719</v>
      </c>
      <c r="R153">
        <v>1105</v>
      </c>
      <c r="S153">
        <v>0</v>
      </c>
      <c r="T153">
        <v>249374</v>
      </c>
      <c r="U153">
        <v>62544</v>
      </c>
      <c r="V153">
        <v>279704</v>
      </c>
      <c r="W153">
        <v>45941</v>
      </c>
      <c r="X153">
        <v>0</v>
      </c>
      <c r="Y153">
        <v>84076</v>
      </c>
      <c r="Z153">
        <v>21142</v>
      </c>
      <c r="AA153">
        <v>42028</v>
      </c>
      <c r="AB153">
        <v>46814</v>
      </c>
      <c r="AC153">
        <v>12239</v>
      </c>
      <c r="AD153">
        <v>19454</v>
      </c>
      <c r="AE153">
        <v>69796</v>
      </c>
      <c r="AF153">
        <v>3774</v>
      </c>
      <c r="AG153">
        <v>36655</v>
      </c>
      <c r="AH153">
        <v>12328</v>
      </c>
      <c r="AI153">
        <v>90052</v>
      </c>
      <c r="AJ153">
        <v>749</v>
      </c>
      <c r="AK153">
        <v>15021</v>
      </c>
      <c r="AM153">
        <v>87964</v>
      </c>
      <c r="AN153">
        <v>6816</v>
      </c>
      <c r="AO153">
        <v>12039</v>
      </c>
      <c r="AP153">
        <v>0</v>
      </c>
      <c r="AQ153">
        <v>25300</v>
      </c>
      <c r="AR153">
        <v>74735</v>
      </c>
      <c r="AS153">
        <v>5578</v>
      </c>
      <c r="AT153">
        <v>19730</v>
      </c>
      <c r="AU153">
        <v>7352</v>
      </c>
      <c r="AV153">
        <v>65172</v>
      </c>
      <c r="AW153">
        <v>3428</v>
      </c>
      <c r="AX153">
        <v>13741</v>
      </c>
      <c r="AY153">
        <v>0</v>
      </c>
      <c r="AZ153">
        <v>1112</v>
      </c>
      <c r="BA153">
        <v>7119</v>
      </c>
      <c r="BB153">
        <v>0</v>
      </c>
      <c r="BC153">
        <v>1139</v>
      </c>
      <c r="BD153">
        <v>74859</v>
      </c>
      <c r="BE153">
        <v>445</v>
      </c>
      <c r="BF153">
        <v>8813</v>
      </c>
      <c r="BG153">
        <v>14485</v>
      </c>
      <c r="BH153">
        <v>202</v>
      </c>
      <c r="BI153">
        <v>4605</v>
      </c>
      <c r="BJ153">
        <v>1596</v>
      </c>
      <c r="BK153">
        <v>46132</v>
      </c>
      <c r="BL153">
        <v>3368</v>
      </c>
      <c r="BM153">
        <v>10702</v>
      </c>
      <c r="BN153">
        <v>3113</v>
      </c>
      <c r="BO153">
        <v>710</v>
      </c>
      <c r="BP153">
        <v>3564</v>
      </c>
      <c r="BQ153">
        <v>8141</v>
      </c>
      <c r="BR153">
        <v>10171</v>
      </c>
      <c r="BS153">
        <v>72882</v>
      </c>
      <c r="BT153">
        <v>4450</v>
      </c>
      <c r="BU153">
        <v>20025</v>
      </c>
      <c r="BV153">
        <v>2609</v>
      </c>
      <c r="BW153">
        <v>863601</v>
      </c>
      <c r="BX153">
        <v>7128</v>
      </c>
      <c r="BY153">
        <v>120</v>
      </c>
      <c r="BZ153">
        <v>4764</v>
      </c>
      <c r="CA153">
        <v>528</v>
      </c>
      <c r="CB153">
        <v>1956</v>
      </c>
      <c r="CD153">
        <v>314</v>
      </c>
    </row>
    <row r="154" spans="1:82" x14ac:dyDescent="0.3">
      <c r="A154" s="155">
        <v>531</v>
      </c>
      <c r="B154" t="s">
        <v>260</v>
      </c>
      <c r="D154">
        <v>0</v>
      </c>
      <c r="E154">
        <v>0</v>
      </c>
      <c r="F154">
        <v>0</v>
      </c>
      <c r="G154">
        <v>850</v>
      </c>
      <c r="H154">
        <v>0</v>
      </c>
      <c r="I154">
        <v>0</v>
      </c>
      <c r="J154">
        <v>0</v>
      </c>
      <c r="K154">
        <v>0</v>
      </c>
      <c r="L154">
        <v>0</v>
      </c>
      <c r="M154">
        <v>0</v>
      </c>
      <c r="N154">
        <v>0</v>
      </c>
      <c r="O154">
        <v>0</v>
      </c>
      <c r="P154">
        <v>0</v>
      </c>
      <c r="Q154">
        <v>0</v>
      </c>
      <c r="R154">
        <v>5</v>
      </c>
      <c r="S154">
        <v>0</v>
      </c>
      <c r="T154">
        <v>28309</v>
      </c>
      <c r="U154">
        <v>0</v>
      </c>
      <c r="V154">
        <v>0</v>
      </c>
      <c r="W154">
        <v>0</v>
      </c>
      <c r="X154">
        <v>0</v>
      </c>
      <c r="Y154">
        <v>2690</v>
      </c>
      <c r="Z154">
        <v>0</v>
      </c>
      <c r="AA154">
        <v>0</v>
      </c>
      <c r="AB154">
        <v>0</v>
      </c>
      <c r="AC154">
        <v>0</v>
      </c>
      <c r="AD154">
        <v>0</v>
      </c>
      <c r="AE154">
        <v>0</v>
      </c>
      <c r="AF154">
        <v>0</v>
      </c>
      <c r="AG154">
        <v>0</v>
      </c>
      <c r="AH154">
        <v>0</v>
      </c>
      <c r="AI154">
        <v>0</v>
      </c>
      <c r="AJ154">
        <v>0</v>
      </c>
      <c r="AK154">
        <v>8445</v>
      </c>
      <c r="AM154">
        <v>0</v>
      </c>
      <c r="AN154">
        <v>150</v>
      </c>
      <c r="AO154">
        <v>0</v>
      </c>
      <c r="AP154">
        <v>0</v>
      </c>
      <c r="AQ154">
        <v>0</v>
      </c>
      <c r="AR154">
        <v>0</v>
      </c>
      <c r="AS154">
        <v>0</v>
      </c>
      <c r="AT154">
        <v>186</v>
      </c>
      <c r="AU154">
        <v>75</v>
      </c>
      <c r="AV154">
        <v>0</v>
      </c>
      <c r="AW154">
        <v>0</v>
      </c>
      <c r="AX154">
        <v>0</v>
      </c>
      <c r="AY154">
        <v>0</v>
      </c>
      <c r="AZ154">
        <v>0</v>
      </c>
      <c r="BA154">
        <v>0</v>
      </c>
      <c r="BB154">
        <v>0</v>
      </c>
      <c r="BC154">
        <v>0</v>
      </c>
      <c r="BD154">
        <v>1439</v>
      </c>
      <c r="BE154">
        <v>0</v>
      </c>
      <c r="BF154">
        <v>0</v>
      </c>
      <c r="BG154">
        <v>0</v>
      </c>
      <c r="BH154">
        <v>28</v>
      </c>
      <c r="BI154">
        <v>0</v>
      </c>
      <c r="BJ154">
        <v>0</v>
      </c>
      <c r="BK154">
        <v>2891</v>
      </c>
      <c r="BL154">
        <v>0</v>
      </c>
      <c r="BM154">
        <v>0</v>
      </c>
      <c r="BN154">
        <v>282</v>
      </c>
      <c r="BO154">
        <v>0</v>
      </c>
      <c r="BP154">
        <v>0</v>
      </c>
      <c r="BQ154">
        <v>0</v>
      </c>
      <c r="BR154">
        <v>0</v>
      </c>
      <c r="BS154">
        <v>0</v>
      </c>
      <c r="BT154">
        <v>0</v>
      </c>
      <c r="BU154">
        <v>0</v>
      </c>
      <c r="BV154">
        <v>0</v>
      </c>
      <c r="BW154">
        <v>0</v>
      </c>
      <c r="BX154">
        <v>0</v>
      </c>
      <c r="BY154">
        <v>7</v>
      </c>
      <c r="BZ154">
        <v>13</v>
      </c>
      <c r="CA154">
        <v>0</v>
      </c>
      <c r="CB154">
        <v>0</v>
      </c>
      <c r="CD154">
        <v>0</v>
      </c>
    </row>
    <row r="155" spans="1:82" x14ac:dyDescent="0.3">
      <c r="A155" s="155">
        <v>532</v>
      </c>
      <c r="B155" t="s">
        <v>926</v>
      </c>
      <c r="D155">
        <v>311221</v>
      </c>
      <c r="E155">
        <v>47526</v>
      </c>
      <c r="F155">
        <v>1106352</v>
      </c>
      <c r="G155">
        <v>1700653</v>
      </c>
      <c r="H155">
        <v>1101502</v>
      </c>
      <c r="I155">
        <v>3808832</v>
      </c>
      <c r="J155">
        <v>74819</v>
      </c>
      <c r="K155">
        <v>270941</v>
      </c>
      <c r="L155">
        <v>170556</v>
      </c>
      <c r="M155">
        <v>17301913</v>
      </c>
      <c r="N155">
        <v>513288</v>
      </c>
      <c r="O155">
        <v>5641835</v>
      </c>
      <c r="P155">
        <v>100172</v>
      </c>
      <c r="Q155">
        <v>37614787</v>
      </c>
      <c r="R155">
        <v>1477007</v>
      </c>
      <c r="S155">
        <v>51960</v>
      </c>
      <c r="T155">
        <v>63444593</v>
      </c>
      <c r="U155">
        <v>14837580</v>
      </c>
      <c r="V155">
        <v>20258723</v>
      </c>
      <c r="W155">
        <v>32833788</v>
      </c>
      <c r="X155">
        <v>307519</v>
      </c>
      <c r="Y155">
        <v>11701355</v>
      </c>
      <c r="Z155">
        <v>1198504</v>
      </c>
      <c r="AA155">
        <v>12794044</v>
      </c>
      <c r="AB155">
        <v>4236723</v>
      </c>
      <c r="AC155">
        <v>1660903</v>
      </c>
      <c r="AD155">
        <v>1972725</v>
      </c>
      <c r="AE155">
        <v>2396825</v>
      </c>
      <c r="AF155">
        <v>20451557</v>
      </c>
      <c r="AG155">
        <v>6174514</v>
      </c>
      <c r="AH155">
        <v>1022488</v>
      </c>
      <c r="AI155">
        <v>35759501</v>
      </c>
      <c r="AJ155">
        <v>310516</v>
      </c>
      <c r="AK155">
        <v>825145</v>
      </c>
      <c r="AM155">
        <v>14563230</v>
      </c>
      <c r="AN155">
        <v>702611</v>
      </c>
      <c r="AO155">
        <v>734842</v>
      </c>
      <c r="AP155">
        <v>33206</v>
      </c>
      <c r="AQ155">
        <v>5404640</v>
      </c>
      <c r="AR155">
        <v>6048494</v>
      </c>
      <c r="AS155">
        <v>497591</v>
      </c>
      <c r="AT155">
        <v>2447867</v>
      </c>
      <c r="AU155">
        <v>181642</v>
      </c>
      <c r="AV155">
        <v>15824550</v>
      </c>
      <c r="AW155">
        <v>1610047</v>
      </c>
      <c r="AX155">
        <v>1879334</v>
      </c>
      <c r="AY155">
        <v>7996325</v>
      </c>
      <c r="AZ155">
        <v>1150073</v>
      </c>
      <c r="BA155">
        <v>1254736</v>
      </c>
      <c r="BB155">
        <v>21684</v>
      </c>
      <c r="BC155">
        <v>222834</v>
      </c>
      <c r="BD155">
        <v>10033600</v>
      </c>
      <c r="BE155">
        <v>83964</v>
      </c>
      <c r="BF155">
        <v>329116</v>
      </c>
      <c r="BG155">
        <v>392935</v>
      </c>
      <c r="BH155">
        <v>66573</v>
      </c>
      <c r="BI155">
        <v>243724</v>
      </c>
      <c r="BJ155">
        <v>217601</v>
      </c>
      <c r="BK155">
        <v>3554679</v>
      </c>
      <c r="BL155">
        <v>675776</v>
      </c>
      <c r="BM155">
        <v>1978039</v>
      </c>
      <c r="BN155">
        <v>4934030</v>
      </c>
      <c r="BO155">
        <v>1082744</v>
      </c>
      <c r="BP155">
        <v>1424823</v>
      </c>
      <c r="BQ155">
        <v>19276496</v>
      </c>
      <c r="BR155">
        <v>1215725</v>
      </c>
      <c r="BS155">
        <v>12953302</v>
      </c>
      <c r="BT155">
        <v>787060</v>
      </c>
      <c r="BU155">
        <v>4637613</v>
      </c>
      <c r="BV155">
        <v>604824</v>
      </c>
      <c r="BW155">
        <v>2267436</v>
      </c>
      <c r="BX155">
        <v>864521</v>
      </c>
      <c r="BY155">
        <v>71822</v>
      </c>
      <c r="BZ155">
        <v>215496</v>
      </c>
      <c r="CA155">
        <v>153208</v>
      </c>
      <c r="CB155">
        <v>1102856</v>
      </c>
      <c r="CD155">
        <v>50678</v>
      </c>
    </row>
    <row r="156" spans="1:82" x14ac:dyDescent="0.3">
      <c r="A156" s="155">
        <v>533</v>
      </c>
      <c r="B156" t="s">
        <v>927</v>
      </c>
      <c r="D156">
        <v>0</v>
      </c>
      <c r="E156">
        <v>0</v>
      </c>
      <c r="F156">
        <v>0</v>
      </c>
      <c r="G156">
        <v>0</v>
      </c>
      <c r="H156">
        <v>0</v>
      </c>
      <c r="I156">
        <v>0</v>
      </c>
      <c r="J156">
        <v>0</v>
      </c>
      <c r="K156">
        <v>0</v>
      </c>
      <c r="L156">
        <v>0</v>
      </c>
      <c r="M156">
        <v>1096561</v>
      </c>
      <c r="N156">
        <v>0</v>
      </c>
      <c r="O156">
        <v>721311</v>
      </c>
      <c r="P156">
        <v>0</v>
      </c>
      <c r="Q156">
        <v>0</v>
      </c>
      <c r="R156">
        <v>0</v>
      </c>
      <c r="S156">
        <v>0</v>
      </c>
      <c r="T156">
        <v>0</v>
      </c>
      <c r="U156">
        <v>0</v>
      </c>
      <c r="V156">
        <v>3042332</v>
      </c>
      <c r="W156">
        <v>0</v>
      </c>
      <c r="X156">
        <v>0</v>
      </c>
      <c r="Y156">
        <v>0</v>
      </c>
      <c r="Z156">
        <v>0</v>
      </c>
      <c r="AA156">
        <v>0</v>
      </c>
      <c r="AB156">
        <v>59321</v>
      </c>
      <c r="AC156">
        <v>0</v>
      </c>
      <c r="AD156">
        <v>0</v>
      </c>
      <c r="AE156">
        <v>81985</v>
      </c>
      <c r="AF156">
        <v>1373008</v>
      </c>
      <c r="AG156">
        <v>310815</v>
      </c>
      <c r="AH156">
        <v>0</v>
      </c>
      <c r="AI156">
        <v>4158147</v>
      </c>
      <c r="AJ156">
        <v>0</v>
      </c>
      <c r="AK156">
        <v>0</v>
      </c>
      <c r="AM156">
        <v>1154991</v>
      </c>
      <c r="AN156">
        <v>0</v>
      </c>
      <c r="AO156">
        <v>150000</v>
      </c>
      <c r="AP156">
        <v>0</v>
      </c>
      <c r="AQ156">
        <v>0</v>
      </c>
      <c r="AR156">
        <v>183725</v>
      </c>
      <c r="AS156">
        <v>0</v>
      </c>
      <c r="AT156">
        <v>31328</v>
      </c>
      <c r="AU156">
        <v>0</v>
      </c>
      <c r="AV156">
        <v>0</v>
      </c>
      <c r="AW156">
        <v>0</v>
      </c>
      <c r="AX156">
        <v>0</v>
      </c>
      <c r="AY156">
        <v>0</v>
      </c>
      <c r="AZ156">
        <v>0</v>
      </c>
      <c r="BA156">
        <v>0</v>
      </c>
      <c r="BB156">
        <v>0</v>
      </c>
      <c r="BC156">
        <v>0</v>
      </c>
      <c r="BD156">
        <v>1250000</v>
      </c>
      <c r="BE156">
        <v>0</v>
      </c>
      <c r="BF156">
        <v>0</v>
      </c>
      <c r="BG156">
        <v>80991</v>
      </c>
      <c r="BH156">
        <v>0</v>
      </c>
      <c r="BI156">
        <v>0</v>
      </c>
      <c r="BJ156">
        <v>0</v>
      </c>
      <c r="BK156">
        <v>0</v>
      </c>
      <c r="BL156">
        <v>0</v>
      </c>
      <c r="BM156">
        <v>68923</v>
      </c>
      <c r="BN156">
        <v>0</v>
      </c>
      <c r="BO156">
        <v>0</v>
      </c>
      <c r="BP156">
        <v>0</v>
      </c>
      <c r="BQ156">
        <v>0</v>
      </c>
      <c r="BR156">
        <v>0</v>
      </c>
      <c r="BS156">
        <v>0</v>
      </c>
      <c r="BT156">
        <v>0</v>
      </c>
      <c r="BU156">
        <v>145500</v>
      </c>
      <c r="BV156">
        <v>0</v>
      </c>
      <c r="BW156">
        <v>0</v>
      </c>
      <c r="BX156">
        <v>0</v>
      </c>
      <c r="BY156">
        <v>0</v>
      </c>
      <c r="BZ156">
        <v>513556</v>
      </c>
      <c r="CA156">
        <v>0</v>
      </c>
      <c r="CB156">
        <v>45000</v>
      </c>
      <c r="CD156">
        <v>0</v>
      </c>
    </row>
    <row r="157" spans="1:82" x14ac:dyDescent="0.3">
      <c r="A157" s="155">
        <v>534</v>
      </c>
      <c r="B157" t="s">
        <v>928</v>
      </c>
      <c r="D157">
        <v>0</v>
      </c>
      <c r="E157">
        <v>0</v>
      </c>
      <c r="F157">
        <v>0</v>
      </c>
      <c r="G157">
        <v>0</v>
      </c>
      <c r="H157">
        <v>0</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M157">
        <v>0</v>
      </c>
      <c r="AN157">
        <v>0</v>
      </c>
      <c r="AO157">
        <v>0</v>
      </c>
      <c r="AP157">
        <v>0</v>
      </c>
      <c r="AQ157">
        <v>0</v>
      </c>
      <c r="AR157">
        <v>0</v>
      </c>
      <c r="AS157">
        <v>0</v>
      </c>
      <c r="AT157">
        <v>0</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0</v>
      </c>
      <c r="BY157">
        <v>0</v>
      </c>
      <c r="BZ157">
        <v>0</v>
      </c>
      <c r="CA157">
        <v>0</v>
      </c>
      <c r="CB157">
        <v>0</v>
      </c>
      <c r="CD157">
        <v>0</v>
      </c>
    </row>
    <row r="158" spans="1:82" x14ac:dyDescent="0.3">
      <c r="A158" s="155">
        <v>535</v>
      </c>
      <c r="B158" t="s">
        <v>244</v>
      </c>
      <c r="D158">
        <v>0</v>
      </c>
      <c r="E158">
        <v>0</v>
      </c>
      <c r="F158">
        <v>0</v>
      </c>
      <c r="G158">
        <v>0</v>
      </c>
      <c r="H158">
        <v>0</v>
      </c>
      <c r="I158">
        <v>0</v>
      </c>
      <c r="J158">
        <v>0</v>
      </c>
      <c r="K158">
        <v>0</v>
      </c>
      <c r="L158">
        <v>0</v>
      </c>
      <c r="M158">
        <v>0</v>
      </c>
      <c r="N158">
        <v>0</v>
      </c>
      <c r="O158">
        <v>0</v>
      </c>
      <c r="P158">
        <v>0</v>
      </c>
      <c r="Q158">
        <v>2172429</v>
      </c>
      <c r="R158">
        <v>0</v>
      </c>
      <c r="S158">
        <v>0</v>
      </c>
      <c r="T158">
        <v>33380718</v>
      </c>
      <c r="U158">
        <v>0</v>
      </c>
      <c r="V158">
        <v>521543</v>
      </c>
      <c r="W158">
        <v>2790537</v>
      </c>
      <c r="X158">
        <v>0</v>
      </c>
      <c r="Y158">
        <v>0</v>
      </c>
      <c r="Z158">
        <v>0</v>
      </c>
      <c r="AA158">
        <v>0</v>
      </c>
      <c r="AB158">
        <v>0</v>
      </c>
      <c r="AC158">
        <v>0</v>
      </c>
      <c r="AD158">
        <v>0</v>
      </c>
      <c r="AE158">
        <v>0</v>
      </c>
      <c r="AF158">
        <v>786985</v>
      </c>
      <c r="AG158">
        <v>0</v>
      </c>
      <c r="AH158">
        <v>0</v>
      </c>
      <c r="AI158">
        <v>178933</v>
      </c>
      <c r="AJ158">
        <v>0</v>
      </c>
      <c r="AK158">
        <v>0</v>
      </c>
      <c r="AM158">
        <v>1892575</v>
      </c>
      <c r="AN158">
        <v>0</v>
      </c>
      <c r="AO158">
        <v>82826</v>
      </c>
      <c r="AP158">
        <v>0</v>
      </c>
      <c r="AQ158">
        <v>0</v>
      </c>
      <c r="AR158">
        <v>0</v>
      </c>
      <c r="AS158">
        <v>0</v>
      </c>
      <c r="AT158">
        <v>0</v>
      </c>
      <c r="AU158">
        <v>0</v>
      </c>
      <c r="AV158">
        <v>6345931</v>
      </c>
      <c r="AW158">
        <v>0</v>
      </c>
      <c r="AX158">
        <v>0</v>
      </c>
      <c r="AY158">
        <v>0</v>
      </c>
      <c r="AZ158">
        <v>0</v>
      </c>
      <c r="BA158">
        <v>0</v>
      </c>
      <c r="BB158">
        <v>1</v>
      </c>
      <c r="BC158">
        <v>0</v>
      </c>
      <c r="BD158">
        <v>0</v>
      </c>
      <c r="BE158">
        <v>0</v>
      </c>
      <c r="BF158">
        <v>1</v>
      </c>
      <c r="BG158">
        <v>0</v>
      </c>
      <c r="BH158">
        <v>0</v>
      </c>
      <c r="BI158">
        <v>0</v>
      </c>
      <c r="BJ158">
        <v>0</v>
      </c>
      <c r="BK158">
        <v>1</v>
      </c>
      <c r="BL158">
        <v>0</v>
      </c>
      <c r="BM158">
        <v>0</v>
      </c>
      <c r="BN158">
        <v>0</v>
      </c>
      <c r="BO158">
        <v>0</v>
      </c>
      <c r="BP158">
        <v>0</v>
      </c>
      <c r="BQ158">
        <v>0</v>
      </c>
      <c r="BR158">
        <v>0</v>
      </c>
      <c r="BS158">
        <v>15766461</v>
      </c>
      <c r="BT158">
        <v>0</v>
      </c>
      <c r="BU158">
        <v>19500</v>
      </c>
      <c r="BV158">
        <v>0</v>
      </c>
      <c r="BW158">
        <v>0</v>
      </c>
      <c r="BX158">
        <v>0</v>
      </c>
      <c r="BY158">
        <v>0</v>
      </c>
      <c r="BZ158">
        <v>0</v>
      </c>
      <c r="CA158">
        <v>0</v>
      </c>
      <c r="CB158">
        <v>0</v>
      </c>
      <c r="CD158">
        <v>1</v>
      </c>
    </row>
    <row r="159" spans="1:82" x14ac:dyDescent="0.3">
      <c r="A159" s="155">
        <v>536</v>
      </c>
      <c r="B159" t="s">
        <v>190</v>
      </c>
      <c r="D159">
        <v>67450</v>
      </c>
      <c r="E159">
        <v>37312</v>
      </c>
      <c r="F159">
        <v>150864</v>
      </c>
      <c r="G159">
        <v>342316</v>
      </c>
      <c r="H159">
        <v>0</v>
      </c>
      <c r="I159">
        <v>0</v>
      </c>
      <c r="J159">
        <v>0</v>
      </c>
      <c r="K159">
        <v>0</v>
      </c>
      <c r="L159">
        <v>17464</v>
      </c>
      <c r="M159">
        <v>967215</v>
      </c>
      <c r="N159">
        <v>107543</v>
      </c>
      <c r="O159">
        <v>1000014</v>
      </c>
      <c r="P159">
        <v>0</v>
      </c>
      <c r="Q159">
        <v>1193348</v>
      </c>
      <c r="R159">
        <v>47844</v>
      </c>
      <c r="S159">
        <v>0</v>
      </c>
      <c r="T159">
        <v>14064204</v>
      </c>
      <c r="U159">
        <v>567123</v>
      </c>
      <c r="V159">
        <v>1913333</v>
      </c>
      <c r="W159">
        <v>4547071</v>
      </c>
      <c r="X159">
        <v>118742</v>
      </c>
      <c r="Y159">
        <v>1188108</v>
      </c>
      <c r="Z159">
        <v>85839</v>
      </c>
      <c r="AA159">
        <v>2121790</v>
      </c>
      <c r="AB159">
        <v>299367</v>
      </c>
      <c r="AC159">
        <v>73183</v>
      </c>
      <c r="AD159">
        <v>68874</v>
      </c>
      <c r="AE159">
        <v>390541</v>
      </c>
      <c r="AF159">
        <v>6863757</v>
      </c>
      <c r="AG159">
        <v>0</v>
      </c>
      <c r="AH159">
        <v>337263</v>
      </c>
      <c r="AI159">
        <v>1109300</v>
      </c>
      <c r="AJ159">
        <v>171759</v>
      </c>
      <c r="AK159">
        <v>926</v>
      </c>
      <c r="AM159">
        <v>1631573</v>
      </c>
      <c r="AN159">
        <v>103554</v>
      </c>
      <c r="AO159">
        <v>127356</v>
      </c>
      <c r="AP159">
        <v>0</v>
      </c>
      <c r="AQ159">
        <v>14576</v>
      </c>
      <c r="AR159">
        <v>136175</v>
      </c>
      <c r="AS159">
        <v>349231</v>
      </c>
      <c r="AT159">
        <v>212417</v>
      </c>
      <c r="AU159">
        <v>37571</v>
      </c>
      <c r="AV159">
        <v>3850135</v>
      </c>
      <c r="AW159">
        <v>15165</v>
      </c>
      <c r="AX159">
        <v>127683</v>
      </c>
      <c r="AY159">
        <v>1641228</v>
      </c>
      <c r="AZ159">
        <v>63826</v>
      </c>
      <c r="BA159">
        <v>488373</v>
      </c>
      <c r="BB159">
        <v>0</v>
      </c>
      <c r="BC159">
        <v>3075</v>
      </c>
      <c r="BD159">
        <v>241122</v>
      </c>
      <c r="BE159">
        <v>36412</v>
      </c>
      <c r="BF159">
        <v>28823</v>
      </c>
      <c r="BG159">
        <v>29555</v>
      </c>
      <c r="BH159">
        <v>0</v>
      </c>
      <c r="BI159">
        <v>38662</v>
      </c>
      <c r="BJ159">
        <v>72539</v>
      </c>
      <c r="BK159">
        <v>76929</v>
      </c>
      <c r="BL159">
        <v>160773</v>
      </c>
      <c r="BM159">
        <v>87448</v>
      </c>
      <c r="BN159">
        <v>115887</v>
      </c>
      <c r="BO159">
        <v>142129</v>
      </c>
      <c r="BP159">
        <v>221430</v>
      </c>
      <c r="BQ159">
        <v>0</v>
      </c>
      <c r="BR159">
        <v>247973</v>
      </c>
      <c r="BS159">
        <v>384690</v>
      </c>
      <c r="BT159">
        <v>168300</v>
      </c>
      <c r="BU159">
        <v>1147411</v>
      </c>
      <c r="BV159">
        <v>0</v>
      </c>
      <c r="BW159">
        <v>21984</v>
      </c>
      <c r="BX159">
        <v>209942</v>
      </c>
      <c r="BY159">
        <v>117881</v>
      </c>
      <c r="BZ159">
        <v>34759</v>
      </c>
      <c r="CA159">
        <v>8457</v>
      </c>
      <c r="CB159">
        <v>59332</v>
      </c>
      <c r="CD159">
        <v>18636</v>
      </c>
    </row>
    <row r="160" spans="1:82" x14ac:dyDescent="0.3">
      <c r="A160" s="155">
        <v>537</v>
      </c>
      <c r="B160" t="s">
        <v>280</v>
      </c>
      <c r="D160">
        <v>2</v>
      </c>
      <c r="E160">
        <v>0</v>
      </c>
      <c r="F160">
        <v>2</v>
      </c>
      <c r="G160">
        <v>0</v>
      </c>
      <c r="H160">
        <v>2</v>
      </c>
      <c r="I160">
        <v>0</v>
      </c>
      <c r="J160">
        <v>1</v>
      </c>
      <c r="K160">
        <v>0</v>
      </c>
      <c r="L160">
        <v>0</v>
      </c>
      <c r="M160">
        <v>0</v>
      </c>
      <c r="N160">
        <v>2</v>
      </c>
      <c r="O160">
        <v>2</v>
      </c>
      <c r="P160">
        <v>2</v>
      </c>
      <c r="Q160">
        <v>1</v>
      </c>
      <c r="R160">
        <v>2</v>
      </c>
      <c r="S160">
        <v>0</v>
      </c>
      <c r="T160">
        <v>2</v>
      </c>
      <c r="U160">
        <v>2</v>
      </c>
      <c r="V160">
        <v>2</v>
      </c>
      <c r="W160">
        <v>0</v>
      </c>
      <c r="X160">
        <v>1</v>
      </c>
      <c r="Y160">
        <v>2</v>
      </c>
      <c r="Z160">
        <v>2</v>
      </c>
      <c r="AA160">
        <v>1</v>
      </c>
      <c r="AB160">
        <v>2</v>
      </c>
      <c r="AC160">
        <v>2</v>
      </c>
      <c r="AD160">
        <v>2</v>
      </c>
      <c r="AE160">
        <v>0</v>
      </c>
      <c r="AF160">
        <v>2</v>
      </c>
      <c r="AG160">
        <v>2</v>
      </c>
      <c r="AH160">
        <v>2</v>
      </c>
      <c r="AI160">
        <v>2</v>
      </c>
      <c r="AJ160">
        <v>2</v>
      </c>
      <c r="AK160">
        <v>2</v>
      </c>
      <c r="AM160">
        <v>1</v>
      </c>
      <c r="AN160">
        <v>2</v>
      </c>
      <c r="AO160">
        <v>2</v>
      </c>
      <c r="AP160">
        <v>0</v>
      </c>
      <c r="AQ160">
        <v>2</v>
      </c>
      <c r="AR160">
        <v>1</v>
      </c>
      <c r="AS160">
        <v>0</v>
      </c>
      <c r="AT160">
        <v>1</v>
      </c>
      <c r="AU160">
        <v>0</v>
      </c>
      <c r="AV160">
        <v>2</v>
      </c>
      <c r="AW160">
        <v>2</v>
      </c>
      <c r="AX160">
        <v>2</v>
      </c>
      <c r="AY160">
        <v>2</v>
      </c>
      <c r="AZ160">
        <v>2</v>
      </c>
      <c r="BA160">
        <v>2</v>
      </c>
      <c r="BB160">
        <v>2</v>
      </c>
      <c r="BC160">
        <v>2</v>
      </c>
      <c r="BD160">
        <v>2</v>
      </c>
      <c r="BE160">
        <v>2</v>
      </c>
      <c r="BF160">
        <v>2</v>
      </c>
      <c r="BG160">
        <v>2</v>
      </c>
      <c r="BH160">
        <v>0</v>
      </c>
      <c r="BI160">
        <v>1</v>
      </c>
      <c r="BJ160">
        <v>0</v>
      </c>
      <c r="BK160">
        <v>2</v>
      </c>
      <c r="BL160">
        <v>2</v>
      </c>
      <c r="BM160">
        <v>1</v>
      </c>
      <c r="BN160">
        <v>2</v>
      </c>
      <c r="BO160">
        <v>2</v>
      </c>
      <c r="BP160">
        <v>2</v>
      </c>
      <c r="BQ160">
        <v>2</v>
      </c>
      <c r="BR160">
        <v>2</v>
      </c>
      <c r="BS160">
        <v>2</v>
      </c>
      <c r="BT160">
        <v>2</v>
      </c>
      <c r="BU160">
        <v>2</v>
      </c>
      <c r="BV160">
        <v>0</v>
      </c>
      <c r="BW160">
        <v>2</v>
      </c>
      <c r="BX160">
        <v>1</v>
      </c>
      <c r="BY160">
        <v>1</v>
      </c>
      <c r="BZ160">
        <v>2</v>
      </c>
      <c r="CA160">
        <v>2</v>
      </c>
      <c r="CB160">
        <v>2</v>
      </c>
      <c r="CD160">
        <v>2</v>
      </c>
    </row>
    <row r="161" spans="1:82" x14ac:dyDescent="0.3">
      <c r="A161" s="155">
        <v>538</v>
      </c>
      <c r="B161" t="s">
        <v>279</v>
      </c>
      <c r="D161">
        <v>2</v>
      </c>
      <c r="E161">
        <v>0</v>
      </c>
      <c r="F161">
        <v>2</v>
      </c>
      <c r="G161">
        <v>0</v>
      </c>
      <c r="H161">
        <v>2</v>
      </c>
      <c r="I161">
        <v>0</v>
      </c>
      <c r="J161">
        <v>1</v>
      </c>
      <c r="K161">
        <v>0</v>
      </c>
      <c r="L161">
        <v>0</v>
      </c>
      <c r="M161">
        <v>0</v>
      </c>
      <c r="N161">
        <v>2</v>
      </c>
      <c r="O161">
        <v>2</v>
      </c>
      <c r="P161">
        <v>2</v>
      </c>
      <c r="Q161">
        <v>1</v>
      </c>
      <c r="R161">
        <v>2</v>
      </c>
      <c r="S161">
        <v>0</v>
      </c>
      <c r="T161">
        <v>2</v>
      </c>
      <c r="U161">
        <v>2</v>
      </c>
      <c r="V161">
        <v>2</v>
      </c>
      <c r="W161">
        <v>0</v>
      </c>
      <c r="X161">
        <v>1</v>
      </c>
      <c r="Y161">
        <v>2</v>
      </c>
      <c r="Z161">
        <v>2</v>
      </c>
      <c r="AA161">
        <v>1</v>
      </c>
      <c r="AB161">
        <v>2</v>
      </c>
      <c r="AC161">
        <v>2</v>
      </c>
      <c r="AD161">
        <v>2</v>
      </c>
      <c r="AE161">
        <v>0</v>
      </c>
      <c r="AF161">
        <v>2</v>
      </c>
      <c r="AG161">
        <v>2</v>
      </c>
      <c r="AH161">
        <v>2</v>
      </c>
      <c r="AI161">
        <v>2</v>
      </c>
      <c r="AJ161">
        <v>2</v>
      </c>
      <c r="AK161">
        <v>2</v>
      </c>
      <c r="AM161">
        <v>2</v>
      </c>
      <c r="AN161">
        <v>1</v>
      </c>
      <c r="AO161">
        <v>2</v>
      </c>
      <c r="AP161">
        <v>0</v>
      </c>
      <c r="AQ161">
        <v>2</v>
      </c>
      <c r="AR161">
        <v>2</v>
      </c>
      <c r="AS161">
        <v>0</v>
      </c>
      <c r="AT161">
        <v>2</v>
      </c>
      <c r="AU161">
        <v>0</v>
      </c>
      <c r="AV161">
        <v>2</v>
      </c>
      <c r="AW161">
        <v>2</v>
      </c>
      <c r="AX161">
        <v>2</v>
      </c>
      <c r="AY161">
        <v>2</v>
      </c>
      <c r="AZ161">
        <v>1</v>
      </c>
      <c r="BA161">
        <v>2</v>
      </c>
      <c r="BB161">
        <v>2</v>
      </c>
      <c r="BC161">
        <v>2</v>
      </c>
      <c r="BD161">
        <v>1</v>
      </c>
      <c r="BE161">
        <v>2</v>
      </c>
      <c r="BF161">
        <v>2</v>
      </c>
      <c r="BG161">
        <v>2</v>
      </c>
      <c r="BH161">
        <v>0</v>
      </c>
      <c r="BI161">
        <v>1</v>
      </c>
      <c r="BJ161">
        <v>0</v>
      </c>
      <c r="BK161">
        <v>2</v>
      </c>
      <c r="BL161">
        <v>2</v>
      </c>
      <c r="BM161">
        <v>1</v>
      </c>
      <c r="BN161">
        <v>2</v>
      </c>
      <c r="BO161">
        <v>2</v>
      </c>
      <c r="BP161">
        <v>1</v>
      </c>
      <c r="BQ161">
        <v>2</v>
      </c>
      <c r="BR161">
        <v>2</v>
      </c>
      <c r="BS161">
        <v>2</v>
      </c>
      <c r="BT161">
        <v>2</v>
      </c>
      <c r="BU161">
        <v>2</v>
      </c>
      <c r="BV161">
        <v>0</v>
      </c>
      <c r="BW161">
        <v>2</v>
      </c>
      <c r="BX161">
        <v>1</v>
      </c>
      <c r="BY161">
        <v>2</v>
      </c>
      <c r="BZ161">
        <v>1</v>
      </c>
      <c r="CA161">
        <v>1</v>
      </c>
      <c r="CB161">
        <v>2</v>
      </c>
      <c r="CD161">
        <v>2</v>
      </c>
    </row>
    <row r="162" spans="1:82" x14ac:dyDescent="0.3">
      <c r="A162" s="155">
        <v>540</v>
      </c>
      <c r="B162" t="s">
        <v>253</v>
      </c>
      <c r="D162">
        <v>0</v>
      </c>
      <c r="E162">
        <v>0</v>
      </c>
      <c r="F162">
        <v>0</v>
      </c>
      <c r="G162">
        <v>110000</v>
      </c>
      <c r="H162">
        <v>1361025</v>
      </c>
      <c r="I162">
        <v>0</v>
      </c>
      <c r="J162">
        <v>0</v>
      </c>
      <c r="K162">
        <v>0</v>
      </c>
      <c r="L162">
        <v>0</v>
      </c>
      <c r="M162">
        <v>1567017</v>
      </c>
      <c r="N162">
        <v>48380</v>
      </c>
      <c r="O162">
        <v>0</v>
      </c>
      <c r="P162">
        <v>10851</v>
      </c>
      <c r="Q162">
        <v>3419857</v>
      </c>
      <c r="R162">
        <v>0</v>
      </c>
      <c r="S162">
        <v>0</v>
      </c>
      <c r="T162">
        <v>950000</v>
      </c>
      <c r="U162">
        <v>2015752</v>
      </c>
      <c r="V162">
        <v>0</v>
      </c>
      <c r="W162">
        <v>2574550</v>
      </c>
      <c r="X162">
        <v>0</v>
      </c>
      <c r="Y162">
        <v>1299230</v>
      </c>
      <c r="Z162">
        <v>427004</v>
      </c>
      <c r="AA162">
        <v>762959</v>
      </c>
      <c r="AB162">
        <v>0</v>
      </c>
      <c r="AC162">
        <v>506500</v>
      </c>
      <c r="AD162">
        <v>0</v>
      </c>
      <c r="AE162">
        <v>595052</v>
      </c>
      <c r="AF162">
        <v>316712</v>
      </c>
      <c r="AG162">
        <v>717356</v>
      </c>
      <c r="AH162">
        <v>0</v>
      </c>
      <c r="AI162">
        <v>143310</v>
      </c>
      <c r="AJ162">
        <v>0</v>
      </c>
      <c r="AK162">
        <v>0</v>
      </c>
      <c r="AM162">
        <v>548840</v>
      </c>
      <c r="AN162">
        <v>97900</v>
      </c>
      <c r="AO162">
        <v>0</v>
      </c>
      <c r="AP162">
        <v>14187</v>
      </c>
      <c r="AQ162">
        <v>0</v>
      </c>
      <c r="AR162">
        <v>0</v>
      </c>
      <c r="AS162">
        <v>0</v>
      </c>
      <c r="AT162">
        <v>445064</v>
      </c>
      <c r="AU162">
        <v>15678</v>
      </c>
      <c r="AV162">
        <v>0</v>
      </c>
      <c r="AW162">
        <v>712623</v>
      </c>
      <c r="AX162">
        <v>0</v>
      </c>
      <c r="AY162">
        <v>0</v>
      </c>
      <c r="AZ162">
        <v>0</v>
      </c>
      <c r="BA162">
        <v>0</v>
      </c>
      <c r="BB162">
        <v>0</v>
      </c>
      <c r="BC162">
        <v>0</v>
      </c>
      <c r="BD162">
        <v>230955</v>
      </c>
      <c r="BE162">
        <v>0</v>
      </c>
      <c r="BF162">
        <v>0</v>
      </c>
      <c r="BG162">
        <v>0</v>
      </c>
      <c r="BH162">
        <v>0</v>
      </c>
      <c r="BI162">
        <v>156135</v>
      </c>
      <c r="BJ162">
        <v>19000</v>
      </c>
      <c r="BK162">
        <v>0</v>
      </c>
      <c r="BL162">
        <v>0</v>
      </c>
      <c r="BM162">
        <v>0</v>
      </c>
      <c r="BN162">
        <v>167000</v>
      </c>
      <c r="BO162">
        <v>0</v>
      </c>
      <c r="BP162">
        <v>254861</v>
      </c>
      <c r="BQ162">
        <v>2530950</v>
      </c>
      <c r="BR162">
        <v>0</v>
      </c>
      <c r="BS162">
        <v>320000</v>
      </c>
      <c r="BT162">
        <v>36502</v>
      </c>
      <c r="BU162">
        <v>0</v>
      </c>
      <c r="BV162">
        <v>0</v>
      </c>
      <c r="BW162">
        <v>289212</v>
      </c>
      <c r="BX162">
        <v>138316</v>
      </c>
      <c r="BY162">
        <v>0</v>
      </c>
      <c r="BZ162">
        <v>24969</v>
      </c>
      <c r="CA162">
        <v>0</v>
      </c>
      <c r="CB162">
        <v>0</v>
      </c>
      <c r="CD162">
        <v>0</v>
      </c>
    </row>
    <row r="163" spans="1:82" x14ac:dyDescent="0.3">
      <c r="A163" s="155">
        <v>541</v>
      </c>
      <c r="B163" t="s">
        <v>310</v>
      </c>
      <c r="D163">
        <v>-23709</v>
      </c>
      <c r="E163">
        <v>0</v>
      </c>
      <c r="F163">
        <v>-6901</v>
      </c>
      <c r="G163">
        <v>0</v>
      </c>
      <c r="H163">
        <v>0</v>
      </c>
      <c r="I163">
        <v>0</v>
      </c>
      <c r="J163">
        <v>3950</v>
      </c>
      <c r="K163">
        <v>0</v>
      </c>
      <c r="L163">
        <v>0</v>
      </c>
      <c r="M163">
        <v>0</v>
      </c>
      <c r="N163">
        <v>0</v>
      </c>
      <c r="O163">
        <v>-47876</v>
      </c>
      <c r="P163">
        <v>0</v>
      </c>
      <c r="Q163">
        <v>2558452</v>
      </c>
      <c r="R163">
        <v>63649</v>
      </c>
      <c r="S163">
        <v>0</v>
      </c>
      <c r="T163">
        <v>-4465962</v>
      </c>
      <c r="U163">
        <v>1300883</v>
      </c>
      <c r="V163">
        <v>2018117</v>
      </c>
      <c r="W163">
        <v>0</v>
      </c>
      <c r="X163">
        <v>-63406</v>
      </c>
      <c r="Y163">
        <v>999433</v>
      </c>
      <c r="Z163">
        <v>45987</v>
      </c>
      <c r="AA163">
        <v>1813094</v>
      </c>
      <c r="AB163">
        <v>-127088</v>
      </c>
      <c r="AC163">
        <v>21157</v>
      </c>
      <c r="AD163">
        <v>252649</v>
      </c>
      <c r="AE163">
        <v>0</v>
      </c>
      <c r="AF163">
        <v>1191828</v>
      </c>
      <c r="AG163">
        <v>-995314</v>
      </c>
      <c r="AH163">
        <v>-3623643</v>
      </c>
      <c r="AI163">
        <v>2515355</v>
      </c>
      <c r="AJ163">
        <v>27085</v>
      </c>
      <c r="AK163">
        <v>-32806</v>
      </c>
      <c r="AM163">
        <v>1570897</v>
      </c>
      <c r="AN163">
        <v>-67042</v>
      </c>
      <c r="AO163">
        <v>-61913</v>
      </c>
      <c r="AP163">
        <v>0</v>
      </c>
      <c r="AQ163">
        <v>0</v>
      </c>
      <c r="AR163">
        <v>612157</v>
      </c>
      <c r="AS163">
        <v>0</v>
      </c>
      <c r="AT163">
        <v>293372</v>
      </c>
      <c r="AU163">
        <v>0</v>
      </c>
      <c r="AV163">
        <v>1364506</v>
      </c>
      <c r="AW163">
        <v>0</v>
      </c>
      <c r="AX163">
        <v>143989</v>
      </c>
      <c r="AY163">
        <v>1078824</v>
      </c>
      <c r="AZ163">
        <v>43977</v>
      </c>
      <c r="BA163">
        <v>24717</v>
      </c>
      <c r="BB163">
        <v>0</v>
      </c>
      <c r="BC163">
        <v>-23325</v>
      </c>
      <c r="BD163">
        <v>2436290</v>
      </c>
      <c r="BE163">
        <v>0</v>
      </c>
      <c r="BF163">
        <v>-8276</v>
      </c>
      <c r="BG163">
        <v>0</v>
      </c>
      <c r="BH163">
        <v>0</v>
      </c>
      <c r="BI163">
        <v>39800</v>
      </c>
      <c r="BJ163">
        <v>0</v>
      </c>
      <c r="BK163">
        <v>-712057</v>
      </c>
      <c r="BL163">
        <v>86829</v>
      </c>
      <c r="BM163">
        <v>38639</v>
      </c>
      <c r="BN163">
        <v>-13690</v>
      </c>
      <c r="BO163">
        <v>48992</v>
      </c>
      <c r="BP163">
        <v>88325</v>
      </c>
      <c r="BQ163">
        <v>0</v>
      </c>
      <c r="BR163">
        <v>98799</v>
      </c>
      <c r="BS163">
        <v>0</v>
      </c>
      <c r="BT163">
        <v>-92227</v>
      </c>
      <c r="BU163">
        <v>168946</v>
      </c>
      <c r="BV163">
        <v>0</v>
      </c>
      <c r="BW163">
        <v>185904</v>
      </c>
      <c r="BX163">
        <v>70249</v>
      </c>
      <c r="BY163">
        <v>-788</v>
      </c>
      <c r="BZ163">
        <v>-358057</v>
      </c>
      <c r="CA163">
        <v>12903</v>
      </c>
      <c r="CB163">
        <v>76708</v>
      </c>
      <c r="CD163">
        <v>0</v>
      </c>
    </row>
    <row r="164" spans="1:82" x14ac:dyDescent="0.3">
      <c r="A164" s="155">
        <v>542</v>
      </c>
      <c r="B164" t="s">
        <v>929</v>
      </c>
      <c r="D164">
        <v>0</v>
      </c>
      <c r="E164">
        <v>0</v>
      </c>
      <c r="F164">
        <v>0</v>
      </c>
      <c r="G164">
        <v>0</v>
      </c>
      <c r="H164">
        <v>0</v>
      </c>
      <c r="I164">
        <v>0</v>
      </c>
      <c r="J164">
        <v>0</v>
      </c>
      <c r="K164">
        <v>0</v>
      </c>
      <c r="L164">
        <v>0</v>
      </c>
      <c r="M164">
        <v>0</v>
      </c>
      <c r="N164">
        <v>0</v>
      </c>
      <c r="O164">
        <v>0</v>
      </c>
      <c r="P164">
        <v>0</v>
      </c>
      <c r="Q164">
        <v>917625</v>
      </c>
      <c r="R164">
        <v>0</v>
      </c>
      <c r="S164">
        <v>0</v>
      </c>
      <c r="T164">
        <v>0</v>
      </c>
      <c r="U164">
        <v>0</v>
      </c>
      <c r="V164">
        <v>0</v>
      </c>
      <c r="W164">
        <v>0</v>
      </c>
      <c r="X164">
        <v>0</v>
      </c>
      <c r="Y164">
        <v>195613</v>
      </c>
      <c r="Z164">
        <v>221687</v>
      </c>
      <c r="AA164">
        <v>701835</v>
      </c>
      <c r="AB164">
        <v>0</v>
      </c>
      <c r="AC164">
        <v>0</v>
      </c>
      <c r="AD164">
        <v>0</v>
      </c>
      <c r="AE164">
        <v>0</v>
      </c>
      <c r="AF164">
        <v>561459</v>
      </c>
      <c r="AG164">
        <v>0</v>
      </c>
      <c r="AH164">
        <v>0</v>
      </c>
      <c r="AI164">
        <v>0</v>
      </c>
      <c r="AJ164">
        <v>0</v>
      </c>
      <c r="AK164">
        <v>0</v>
      </c>
      <c r="AM164">
        <v>0</v>
      </c>
      <c r="AN164">
        <v>15500</v>
      </c>
      <c r="AO164">
        <v>0</v>
      </c>
      <c r="AP164">
        <v>0</v>
      </c>
      <c r="AQ164">
        <v>0</v>
      </c>
      <c r="AR164">
        <v>0</v>
      </c>
      <c r="AS164">
        <v>0</v>
      </c>
      <c r="AT164">
        <v>0</v>
      </c>
      <c r="AU164">
        <v>0</v>
      </c>
      <c r="AV164">
        <v>1393780</v>
      </c>
      <c r="AW164">
        <v>0</v>
      </c>
      <c r="AX164">
        <v>0</v>
      </c>
      <c r="AY164">
        <v>0</v>
      </c>
      <c r="AZ164">
        <v>0</v>
      </c>
      <c r="BA164">
        <v>0</v>
      </c>
      <c r="BB164">
        <v>0</v>
      </c>
      <c r="BC164">
        <v>0</v>
      </c>
      <c r="BD164">
        <v>0</v>
      </c>
      <c r="BE164">
        <v>0</v>
      </c>
      <c r="BF164">
        <v>0</v>
      </c>
      <c r="BG164">
        <v>0</v>
      </c>
      <c r="BH164">
        <v>0</v>
      </c>
      <c r="BI164">
        <v>19178</v>
      </c>
      <c r="BJ164">
        <v>0</v>
      </c>
      <c r="BK164">
        <v>0</v>
      </c>
      <c r="BL164">
        <v>0</v>
      </c>
      <c r="BM164">
        <v>0</v>
      </c>
      <c r="BN164">
        <v>365000</v>
      </c>
      <c r="BO164">
        <v>0</v>
      </c>
      <c r="BP164">
        <v>155000</v>
      </c>
      <c r="BQ164">
        <v>0</v>
      </c>
      <c r="BR164">
        <v>0</v>
      </c>
      <c r="BS164">
        <v>0</v>
      </c>
      <c r="BT164">
        <v>0</v>
      </c>
      <c r="BU164">
        <v>0</v>
      </c>
      <c r="BV164">
        <v>0</v>
      </c>
      <c r="BW164">
        <v>383742</v>
      </c>
      <c r="BX164">
        <v>0</v>
      </c>
      <c r="BY164">
        <v>0</v>
      </c>
      <c r="BZ164">
        <v>0</v>
      </c>
      <c r="CA164">
        <v>0</v>
      </c>
      <c r="CB164">
        <v>0</v>
      </c>
      <c r="CD164">
        <v>0</v>
      </c>
    </row>
    <row r="165" spans="1:82" x14ac:dyDescent="0.3">
      <c r="A165" s="155">
        <v>544</v>
      </c>
      <c r="B165" t="s">
        <v>52</v>
      </c>
      <c r="D165">
        <v>0</v>
      </c>
      <c r="E165">
        <v>0</v>
      </c>
      <c r="F165">
        <v>0</v>
      </c>
      <c r="G165">
        <v>0</v>
      </c>
      <c r="H165">
        <v>0</v>
      </c>
      <c r="I165">
        <v>0</v>
      </c>
      <c r="J165">
        <v>0</v>
      </c>
      <c r="K165">
        <v>0</v>
      </c>
      <c r="L165">
        <v>0</v>
      </c>
      <c r="M165">
        <v>0</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M165">
        <v>0</v>
      </c>
      <c r="AN165">
        <v>0</v>
      </c>
      <c r="AO165">
        <v>0.04</v>
      </c>
      <c r="AP165">
        <v>0</v>
      </c>
      <c r="AQ165">
        <v>0.03</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0.01</v>
      </c>
      <c r="BO165">
        <v>0</v>
      </c>
      <c r="BP165">
        <v>0</v>
      </c>
      <c r="BQ165">
        <v>0</v>
      </c>
      <c r="BR165">
        <v>0</v>
      </c>
      <c r="BS165">
        <v>0</v>
      </c>
      <c r="BT165">
        <v>0</v>
      </c>
      <c r="BU165">
        <v>0</v>
      </c>
      <c r="BV165">
        <v>0.03</v>
      </c>
      <c r="BW165">
        <v>0</v>
      </c>
      <c r="BX165">
        <v>0.03</v>
      </c>
      <c r="BY165">
        <v>0</v>
      </c>
      <c r="BZ165">
        <v>0</v>
      </c>
      <c r="CA165">
        <v>0</v>
      </c>
      <c r="CB165">
        <v>0</v>
      </c>
      <c r="CD165">
        <v>0</v>
      </c>
    </row>
    <row r="166" spans="1:82" x14ac:dyDescent="0.3">
      <c r="A166" s="155">
        <v>545</v>
      </c>
      <c r="B166" t="s">
        <v>53</v>
      </c>
      <c r="D166">
        <v>0</v>
      </c>
      <c r="E166">
        <v>0</v>
      </c>
      <c r="F166">
        <v>0</v>
      </c>
      <c r="G166">
        <v>0</v>
      </c>
      <c r="H166">
        <v>0</v>
      </c>
      <c r="I166">
        <v>0</v>
      </c>
      <c r="J166">
        <v>0</v>
      </c>
      <c r="K166">
        <v>0</v>
      </c>
      <c r="L166">
        <v>0</v>
      </c>
      <c r="M166">
        <v>0</v>
      </c>
      <c r="N166">
        <v>0</v>
      </c>
      <c r="O166">
        <v>0</v>
      </c>
      <c r="P166">
        <v>0</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M166">
        <v>0</v>
      </c>
      <c r="AN166">
        <v>0</v>
      </c>
      <c r="AO166">
        <v>0.02</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0.01</v>
      </c>
      <c r="BO166">
        <v>0</v>
      </c>
      <c r="BP166">
        <v>0.01</v>
      </c>
      <c r="BQ166">
        <v>1.4999999999999999E-2</v>
      </c>
      <c r="BR166">
        <v>0</v>
      </c>
      <c r="BS166">
        <v>0</v>
      </c>
      <c r="BT166">
        <v>0</v>
      </c>
      <c r="BU166">
        <v>0</v>
      </c>
      <c r="BV166">
        <v>0</v>
      </c>
      <c r="BW166">
        <v>0</v>
      </c>
      <c r="BX166">
        <v>0</v>
      </c>
      <c r="BY166">
        <v>0</v>
      </c>
      <c r="BZ166">
        <v>0</v>
      </c>
      <c r="CA166">
        <v>0</v>
      </c>
      <c r="CB166">
        <v>0</v>
      </c>
      <c r="CD166">
        <v>0</v>
      </c>
    </row>
    <row r="167" spans="1:82" x14ac:dyDescent="0.3">
      <c r="A167" s="155">
        <v>546</v>
      </c>
      <c r="B167" t="s">
        <v>930</v>
      </c>
      <c r="D167">
        <v>0</v>
      </c>
      <c r="E167">
        <v>0</v>
      </c>
      <c r="F167">
        <v>0</v>
      </c>
      <c r="G167">
        <v>0</v>
      </c>
      <c r="H167">
        <v>0</v>
      </c>
      <c r="I167">
        <v>0</v>
      </c>
      <c r="J167">
        <v>0</v>
      </c>
      <c r="K167">
        <v>0</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B167">
        <v>0</v>
      </c>
      <c r="CD167">
        <v>0</v>
      </c>
    </row>
    <row r="168" spans="1:82" x14ac:dyDescent="0.3">
      <c r="A168" s="155">
        <v>547</v>
      </c>
      <c r="B168" t="s">
        <v>931</v>
      </c>
      <c r="D168">
        <v>0</v>
      </c>
      <c r="E168">
        <v>2</v>
      </c>
      <c r="F168">
        <v>2</v>
      </c>
      <c r="G168">
        <v>2</v>
      </c>
      <c r="H168">
        <v>2</v>
      </c>
      <c r="I168">
        <v>2</v>
      </c>
      <c r="J168">
        <v>2</v>
      </c>
      <c r="K168">
        <v>2</v>
      </c>
      <c r="L168">
        <v>2</v>
      </c>
      <c r="M168">
        <v>3</v>
      </c>
      <c r="N168">
        <v>2</v>
      </c>
      <c r="O168">
        <v>3</v>
      </c>
      <c r="P168">
        <v>2</v>
      </c>
      <c r="Q168">
        <v>3</v>
      </c>
      <c r="R168">
        <v>2</v>
      </c>
      <c r="S168">
        <v>0</v>
      </c>
      <c r="T168">
        <v>3</v>
      </c>
      <c r="U168">
        <v>3</v>
      </c>
      <c r="V168">
        <v>3</v>
      </c>
      <c r="W168">
        <v>3</v>
      </c>
      <c r="X168">
        <v>2</v>
      </c>
      <c r="Y168">
        <v>2</v>
      </c>
      <c r="Z168">
        <v>2</v>
      </c>
      <c r="AA168">
        <v>3</v>
      </c>
      <c r="AB168">
        <v>2</v>
      </c>
      <c r="AC168">
        <v>3</v>
      </c>
      <c r="AD168">
        <v>2</v>
      </c>
      <c r="AE168">
        <v>2</v>
      </c>
      <c r="AF168">
        <v>3</v>
      </c>
      <c r="AG168">
        <v>3</v>
      </c>
      <c r="AH168">
        <v>2</v>
      </c>
      <c r="AI168">
        <v>3</v>
      </c>
      <c r="AJ168">
        <v>2</v>
      </c>
      <c r="AK168">
        <v>2</v>
      </c>
      <c r="AM168">
        <v>3</v>
      </c>
      <c r="AN168">
        <v>0</v>
      </c>
      <c r="AO168">
        <v>2</v>
      </c>
      <c r="AP168">
        <v>2</v>
      </c>
      <c r="AQ168">
        <v>2</v>
      </c>
      <c r="AR168">
        <v>3</v>
      </c>
      <c r="AS168">
        <v>2</v>
      </c>
      <c r="AT168">
        <v>3</v>
      </c>
      <c r="AU168">
        <v>0</v>
      </c>
      <c r="AV168">
        <v>3</v>
      </c>
      <c r="AW168">
        <v>2</v>
      </c>
      <c r="AX168">
        <v>2</v>
      </c>
      <c r="AY168">
        <v>2</v>
      </c>
      <c r="AZ168">
        <v>2</v>
      </c>
      <c r="BA168">
        <v>2</v>
      </c>
      <c r="BB168">
        <v>2</v>
      </c>
      <c r="BC168">
        <v>2</v>
      </c>
      <c r="BD168">
        <v>3</v>
      </c>
      <c r="BE168">
        <v>2</v>
      </c>
      <c r="BF168">
        <v>2</v>
      </c>
      <c r="BG168">
        <v>0</v>
      </c>
      <c r="BH168">
        <v>2</v>
      </c>
      <c r="BI168">
        <v>2</v>
      </c>
      <c r="BJ168">
        <v>2</v>
      </c>
      <c r="BK168">
        <v>3</v>
      </c>
      <c r="BL168">
        <v>2</v>
      </c>
      <c r="BM168">
        <v>2</v>
      </c>
      <c r="BN168">
        <v>2</v>
      </c>
      <c r="BO168">
        <v>2</v>
      </c>
      <c r="BP168">
        <v>2</v>
      </c>
      <c r="BQ168">
        <v>2</v>
      </c>
      <c r="BR168">
        <v>3</v>
      </c>
      <c r="BS168">
        <v>3</v>
      </c>
      <c r="BT168">
        <v>3</v>
      </c>
      <c r="BU168">
        <v>3</v>
      </c>
      <c r="BV168">
        <v>2</v>
      </c>
      <c r="BW168">
        <v>2</v>
      </c>
      <c r="BX168">
        <v>3</v>
      </c>
      <c r="BY168">
        <v>2</v>
      </c>
      <c r="BZ168">
        <v>2</v>
      </c>
      <c r="CA168">
        <v>2</v>
      </c>
      <c r="CB168">
        <v>2</v>
      </c>
      <c r="CD168">
        <v>2</v>
      </c>
    </row>
    <row r="169" spans="1:82" x14ac:dyDescent="0.3">
      <c r="A169" s="155">
        <v>554</v>
      </c>
      <c r="B169" t="s">
        <v>320</v>
      </c>
      <c r="F169">
        <v>475538</v>
      </c>
      <c r="M169">
        <v>311039</v>
      </c>
      <c r="O169">
        <v>1609421</v>
      </c>
      <c r="Q169">
        <v>2630912</v>
      </c>
      <c r="T169">
        <v>6524473</v>
      </c>
      <c r="U169">
        <v>1110983</v>
      </c>
      <c r="V169">
        <v>808551</v>
      </c>
      <c r="W169">
        <v>2509732</v>
      </c>
      <c r="Y169">
        <v>1669997</v>
      </c>
      <c r="AB169">
        <v>143557</v>
      </c>
      <c r="AI169">
        <v>6856132</v>
      </c>
      <c r="AQ169">
        <v>2857351</v>
      </c>
      <c r="AV169">
        <v>8304097</v>
      </c>
      <c r="AY169">
        <v>634597</v>
      </c>
      <c r="BD169">
        <v>5052273</v>
      </c>
      <c r="BG169">
        <v>0</v>
      </c>
      <c r="BM169">
        <v>0</v>
      </c>
      <c r="BO169">
        <v>779666</v>
      </c>
      <c r="BW169">
        <v>1261680</v>
      </c>
      <c r="BZ169">
        <v>197741</v>
      </c>
    </row>
    <row r="170" spans="1:82" x14ac:dyDescent="0.3">
      <c r="A170" s="155">
        <v>555</v>
      </c>
      <c r="B170" t="s">
        <v>321</v>
      </c>
      <c r="F170">
        <v>0</v>
      </c>
      <c r="M170">
        <v>0</v>
      </c>
      <c r="O170">
        <v>1259935</v>
      </c>
      <c r="Q170">
        <v>1873778</v>
      </c>
      <c r="T170">
        <v>4628966</v>
      </c>
      <c r="U170">
        <v>812398</v>
      </c>
      <c r="V170">
        <v>469616</v>
      </c>
      <c r="W170">
        <v>1963087</v>
      </c>
      <c r="Y170">
        <v>1253656</v>
      </c>
      <c r="AB170">
        <v>0</v>
      </c>
      <c r="AI170">
        <v>5521351</v>
      </c>
      <c r="AQ170">
        <v>2857351</v>
      </c>
      <c r="AV170">
        <v>8223616</v>
      </c>
      <c r="AY170">
        <v>0</v>
      </c>
      <c r="BD170">
        <v>4789613</v>
      </c>
      <c r="BG170">
        <v>4289</v>
      </c>
      <c r="BM170">
        <v>0</v>
      </c>
      <c r="BO170">
        <v>779666</v>
      </c>
      <c r="BW170">
        <v>1121873</v>
      </c>
      <c r="BZ170">
        <v>0</v>
      </c>
    </row>
    <row r="171" spans="1:82" x14ac:dyDescent="0.3">
      <c r="A171" s="155">
        <v>556</v>
      </c>
      <c r="B171" t="s">
        <v>322</v>
      </c>
      <c r="F171">
        <v>1681055</v>
      </c>
      <c r="M171">
        <v>606540</v>
      </c>
      <c r="O171">
        <v>174884</v>
      </c>
      <c r="Q171">
        <v>1031545</v>
      </c>
      <c r="T171">
        <v>1087279</v>
      </c>
      <c r="U171">
        <v>1059438</v>
      </c>
      <c r="V171">
        <v>994560</v>
      </c>
      <c r="W171">
        <v>448543</v>
      </c>
      <c r="Y171">
        <v>1589508</v>
      </c>
      <c r="AB171">
        <v>780357</v>
      </c>
      <c r="AI171">
        <v>2796073</v>
      </c>
      <c r="AQ171">
        <v>977238</v>
      </c>
      <c r="AV171">
        <v>2780255</v>
      </c>
      <c r="AY171">
        <v>1554488</v>
      </c>
      <c r="BD171">
        <v>5115599</v>
      </c>
      <c r="BG171">
        <v>665346</v>
      </c>
      <c r="BM171">
        <v>1918559</v>
      </c>
      <c r="BO171">
        <v>0</v>
      </c>
      <c r="BW171">
        <v>427934</v>
      </c>
      <c r="BZ171">
        <v>614096</v>
      </c>
    </row>
    <row r="172" spans="1:82" x14ac:dyDescent="0.3">
      <c r="A172" s="155">
        <v>557</v>
      </c>
      <c r="B172" t="s">
        <v>323</v>
      </c>
      <c r="F172">
        <v>1514600</v>
      </c>
      <c r="M172">
        <v>606540</v>
      </c>
      <c r="O172">
        <v>0</v>
      </c>
      <c r="Q172">
        <v>978867</v>
      </c>
      <c r="T172">
        <v>1004319</v>
      </c>
      <c r="U172">
        <v>614989</v>
      </c>
      <c r="V172">
        <v>609560</v>
      </c>
      <c r="W172">
        <v>0</v>
      </c>
      <c r="Y172">
        <v>783756</v>
      </c>
      <c r="AB172">
        <v>717378</v>
      </c>
      <c r="AI172">
        <v>2025294</v>
      </c>
      <c r="AQ172">
        <v>952450</v>
      </c>
      <c r="AV172">
        <v>2741205</v>
      </c>
      <c r="AY172">
        <v>1156510</v>
      </c>
      <c r="BD172">
        <v>4832702</v>
      </c>
      <c r="BG172">
        <v>662220</v>
      </c>
      <c r="BM172">
        <v>1833654</v>
      </c>
      <c r="BO172">
        <v>0</v>
      </c>
      <c r="BW172">
        <v>0</v>
      </c>
      <c r="BZ172">
        <v>513556</v>
      </c>
    </row>
    <row r="173" spans="1:82" x14ac:dyDescent="0.3">
      <c r="A173" s="155">
        <v>558</v>
      </c>
      <c r="B173" t="s">
        <v>932</v>
      </c>
      <c r="D173">
        <v>0</v>
      </c>
      <c r="E173">
        <v>0</v>
      </c>
      <c r="F173">
        <v>0</v>
      </c>
      <c r="G173">
        <v>0</v>
      </c>
      <c r="H173">
        <v>0</v>
      </c>
      <c r="I173">
        <v>0</v>
      </c>
      <c r="J173">
        <v>0</v>
      </c>
      <c r="K173">
        <v>0</v>
      </c>
      <c r="L173">
        <v>0</v>
      </c>
      <c r="M173">
        <v>0</v>
      </c>
      <c r="N173">
        <v>0</v>
      </c>
      <c r="O173">
        <v>0</v>
      </c>
      <c r="P173">
        <v>0</v>
      </c>
      <c r="Q173">
        <v>0</v>
      </c>
      <c r="R173">
        <v>0</v>
      </c>
      <c r="S173">
        <v>0</v>
      </c>
      <c r="T173">
        <v>0</v>
      </c>
      <c r="U173">
        <v>0</v>
      </c>
      <c r="V173">
        <v>0</v>
      </c>
      <c r="W173">
        <v>0</v>
      </c>
      <c r="X173">
        <v>0</v>
      </c>
      <c r="Y173">
        <v>0</v>
      </c>
      <c r="Z173">
        <v>0</v>
      </c>
      <c r="AA173">
        <v>0</v>
      </c>
      <c r="AB173">
        <v>0</v>
      </c>
      <c r="AC173">
        <v>0</v>
      </c>
      <c r="AD173">
        <v>0</v>
      </c>
      <c r="AE173">
        <v>0</v>
      </c>
      <c r="AF173">
        <v>0</v>
      </c>
      <c r="AG173">
        <v>0</v>
      </c>
      <c r="AH173">
        <v>0</v>
      </c>
      <c r="AI173">
        <v>0</v>
      </c>
      <c r="AJ173">
        <v>0</v>
      </c>
      <c r="AK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c r="BZ173">
        <v>0</v>
      </c>
      <c r="CA173">
        <v>0</v>
      </c>
      <c r="CB173">
        <v>0</v>
      </c>
      <c r="CD173">
        <v>0</v>
      </c>
    </row>
    <row r="174" spans="1:82" x14ac:dyDescent="0.3">
      <c r="A174" s="155">
        <v>559</v>
      </c>
      <c r="B174" t="s">
        <v>933</v>
      </c>
      <c r="D174">
        <v>0</v>
      </c>
      <c r="E174">
        <v>0</v>
      </c>
      <c r="F174">
        <v>0</v>
      </c>
      <c r="G174">
        <v>0</v>
      </c>
      <c r="H174">
        <v>0</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M174">
        <v>0</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D174">
        <v>0</v>
      </c>
    </row>
    <row r="175" spans="1:82" x14ac:dyDescent="0.3">
      <c r="A175" s="155">
        <v>560</v>
      </c>
      <c r="B175" t="s">
        <v>934</v>
      </c>
      <c r="D175">
        <v>0</v>
      </c>
      <c r="E175">
        <v>0</v>
      </c>
      <c r="F175">
        <v>0</v>
      </c>
      <c r="G175">
        <v>0</v>
      </c>
      <c r="H175">
        <v>0</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M175">
        <v>0</v>
      </c>
      <c r="AN175">
        <v>0</v>
      </c>
      <c r="AO175">
        <v>0</v>
      </c>
      <c r="AP175">
        <v>0</v>
      </c>
      <c r="AQ175">
        <v>0</v>
      </c>
      <c r="AR175">
        <v>0</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B175">
        <v>0</v>
      </c>
      <c r="CD175">
        <v>0</v>
      </c>
    </row>
    <row r="176" spans="1:82" x14ac:dyDescent="0.3">
      <c r="A176" s="155">
        <v>561</v>
      </c>
      <c r="B176" t="s">
        <v>935</v>
      </c>
      <c r="D176">
        <v>0</v>
      </c>
      <c r="E176">
        <v>0</v>
      </c>
      <c r="F176">
        <v>0</v>
      </c>
      <c r="G176">
        <v>0</v>
      </c>
      <c r="H176">
        <v>0</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M176">
        <v>0</v>
      </c>
      <c r="AN176">
        <v>0</v>
      </c>
      <c r="AO176">
        <v>0</v>
      </c>
      <c r="AP176">
        <v>0</v>
      </c>
      <c r="AQ176">
        <v>0</v>
      </c>
      <c r="AR176">
        <v>0</v>
      </c>
      <c r="AS176">
        <v>0</v>
      </c>
      <c r="AT176">
        <v>0</v>
      </c>
      <c r="AU176">
        <v>0</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D176">
        <v>0</v>
      </c>
    </row>
    <row r="177" spans="1:82" x14ac:dyDescent="0.3">
      <c r="A177" s="155">
        <v>562</v>
      </c>
      <c r="B177" t="s">
        <v>936</v>
      </c>
      <c r="D177">
        <v>0</v>
      </c>
      <c r="E177">
        <v>0</v>
      </c>
      <c r="F177">
        <v>0</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M177">
        <v>0</v>
      </c>
      <c r="AN177">
        <v>0</v>
      </c>
      <c r="AO177">
        <v>0</v>
      </c>
      <c r="AP177">
        <v>0</v>
      </c>
      <c r="AQ177">
        <v>0</v>
      </c>
      <c r="AR177">
        <v>0</v>
      </c>
      <c r="AS177">
        <v>0</v>
      </c>
      <c r="AT177">
        <v>0</v>
      </c>
      <c r="AU177">
        <v>0</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D177">
        <v>0</v>
      </c>
    </row>
    <row r="178" spans="1:82" x14ac:dyDescent="0.3">
      <c r="A178" s="155">
        <v>563</v>
      </c>
      <c r="B178" t="s">
        <v>937</v>
      </c>
      <c r="D178">
        <v>0</v>
      </c>
      <c r="E178">
        <v>0</v>
      </c>
      <c r="F178">
        <v>0</v>
      </c>
      <c r="G178">
        <v>0</v>
      </c>
      <c r="H178">
        <v>0</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M178">
        <v>0</v>
      </c>
      <c r="AN178">
        <v>0</v>
      </c>
      <c r="AO178">
        <v>0</v>
      </c>
      <c r="AP178">
        <v>0</v>
      </c>
      <c r="AQ178">
        <v>0</v>
      </c>
      <c r="AR178">
        <v>0</v>
      </c>
      <c r="AS178">
        <v>0</v>
      </c>
      <c r="AT178">
        <v>0</v>
      </c>
      <c r="AU178">
        <v>0</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D178">
        <v>0</v>
      </c>
    </row>
    <row r="179" spans="1:82" x14ac:dyDescent="0.3">
      <c r="A179" s="155">
        <v>564</v>
      </c>
      <c r="B179" t="s">
        <v>938</v>
      </c>
      <c r="D179">
        <v>0</v>
      </c>
      <c r="E179">
        <v>0</v>
      </c>
      <c r="F179">
        <v>0</v>
      </c>
      <c r="G179">
        <v>0</v>
      </c>
      <c r="H179">
        <v>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M179">
        <v>0</v>
      </c>
      <c r="AN179">
        <v>0</v>
      </c>
      <c r="AO179">
        <v>0</v>
      </c>
      <c r="AP179">
        <v>0</v>
      </c>
      <c r="AQ179">
        <v>0</v>
      </c>
      <c r="AR179">
        <v>0</v>
      </c>
      <c r="AS179">
        <v>0</v>
      </c>
      <c r="AT179">
        <v>0</v>
      </c>
      <c r="AU179">
        <v>0</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D179">
        <v>0</v>
      </c>
    </row>
    <row r="180" spans="1:82" x14ac:dyDescent="0.3">
      <c r="A180" s="155">
        <v>565</v>
      </c>
      <c r="B180" t="s">
        <v>939</v>
      </c>
      <c r="D180">
        <v>0</v>
      </c>
      <c r="E180">
        <v>0</v>
      </c>
      <c r="F180">
        <v>0</v>
      </c>
      <c r="G180">
        <v>0</v>
      </c>
      <c r="H180">
        <v>0</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M180">
        <v>0</v>
      </c>
      <c r="AN180">
        <v>0</v>
      </c>
      <c r="AO180">
        <v>0</v>
      </c>
      <c r="AP180">
        <v>0</v>
      </c>
      <c r="AQ180">
        <v>0</v>
      </c>
      <c r="AR180">
        <v>0</v>
      </c>
      <c r="AS180">
        <v>0</v>
      </c>
      <c r="AT180">
        <v>0</v>
      </c>
      <c r="AU180">
        <v>0</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D180">
        <v>0</v>
      </c>
    </row>
    <row r="181" spans="1:82" x14ac:dyDescent="0.3">
      <c r="A181" s="155">
        <v>566</v>
      </c>
      <c r="B181" t="s">
        <v>940</v>
      </c>
      <c r="D181">
        <v>0</v>
      </c>
      <c r="E181">
        <v>0</v>
      </c>
      <c r="F181">
        <v>0</v>
      </c>
      <c r="G181">
        <v>0</v>
      </c>
      <c r="H181">
        <v>0</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M181">
        <v>0</v>
      </c>
      <c r="AN181">
        <v>0</v>
      </c>
      <c r="AO181">
        <v>0</v>
      </c>
      <c r="AP181">
        <v>0</v>
      </c>
      <c r="AQ181">
        <v>0</v>
      </c>
      <c r="AR181">
        <v>0</v>
      </c>
      <c r="AS181">
        <v>0</v>
      </c>
      <c r="AT181">
        <v>0</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D181">
        <v>0</v>
      </c>
    </row>
    <row r="182" spans="1:82" x14ac:dyDescent="0.3">
      <c r="A182" s="155">
        <v>567</v>
      </c>
      <c r="B182" t="s">
        <v>941</v>
      </c>
      <c r="D182">
        <v>0</v>
      </c>
      <c r="E182">
        <v>0</v>
      </c>
      <c r="F182">
        <v>0</v>
      </c>
      <c r="G182">
        <v>0</v>
      </c>
      <c r="H182">
        <v>0</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M182">
        <v>0</v>
      </c>
      <c r="AN182">
        <v>0</v>
      </c>
      <c r="AO182">
        <v>0</v>
      </c>
      <c r="AP182">
        <v>0</v>
      </c>
      <c r="AQ182">
        <v>0</v>
      </c>
      <c r="AR182">
        <v>0</v>
      </c>
      <c r="AS182">
        <v>0</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D182">
        <v>0</v>
      </c>
    </row>
    <row r="183" spans="1:82" x14ac:dyDescent="0.3">
      <c r="A183" s="155">
        <v>568</v>
      </c>
      <c r="B183" t="s">
        <v>942</v>
      </c>
      <c r="D183">
        <v>0</v>
      </c>
      <c r="E183">
        <v>0</v>
      </c>
      <c r="F183">
        <v>0</v>
      </c>
      <c r="G183">
        <v>0</v>
      </c>
      <c r="H183">
        <v>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M183">
        <v>0</v>
      </c>
      <c r="AN183">
        <v>0</v>
      </c>
      <c r="AO183">
        <v>0</v>
      </c>
      <c r="AP183">
        <v>0</v>
      </c>
      <c r="AQ183">
        <v>0</v>
      </c>
      <c r="AR183">
        <v>0</v>
      </c>
      <c r="AS183">
        <v>0</v>
      </c>
      <c r="AT183">
        <v>0</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0</v>
      </c>
      <c r="BY183">
        <v>0</v>
      </c>
      <c r="BZ183">
        <v>0</v>
      </c>
      <c r="CA183">
        <v>0</v>
      </c>
      <c r="CB183">
        <v>0</v>
      </c>
      <c r="CD183">
        <v>0</v>
      </c>
    </row>
    <row r="184" spans="1:82" x14ac:dyDescent="0.3">
      <c r="A184" s="155">
        <v>569</v>
      </c>
      <c r="B184" t="s">
        <v>943</v>
      </c>
      <c r="D184">
        <v>0</v>
      </c>
      <c r="E184">
        <v>0</v>
      </c>
      <c r="F184">
        <v>0</v>
      </c>
      <c r="G184">
        <v>0</v>
      </c>
      <c r="H184">
        <v>0</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M184">
        <v>0</v>
      </c>
      <c r="AN184">
        <v>0</v>
      </c>
      <c r="AO184">
        <v>0</v>
      </c>
      <c r="AP184">
        <v>0</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0</v>
      </c>
      <c r="BY184">
        <v>0</v>
      </c>
      <c r="BZ184">
        <v>0</v>
      </c>
      <c r="CA184">
        <v>0</v>
      </c>
      <c r="CB184">
        <v>0</v>
      </c>
      <c r="CD184">
        <v>0</v>
      </c>
    </row>
    <row r="185" spans="1:82" x14ac:dyDescent="0.3">
      <c r="A185" s="155">
        <v>571</v>
      </c>
      <c r="B185" t="s">
        <v>670</v>
      </c>
      <c r="D185">
        <v>0</v>
      </c>
      <c r="E185">
        <v>0</v>
      </c>
      <c r="F185">
        <v>0</v>
      </c>
      <c r="G185">
        <v>0</v>
      </c>
      <c r="H185">
        <v>0</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M185">
        <v>0</v>
      </c>
      <c r="AN185">
        <v>0</v>
      </c>
      <c r="AO185">
        <v>0</v>
      </c>
      <c r="AP185">
        <v>0</v>
      </c>
      <c r="AQ185">
        <v>0</v>
      </c>
      <c r="AR185">
        <v>0</v>
      </c>
      <c r="AS185">
        <v>0</v>
      </c>
      <c r="AT185">
        <v>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0</v>
      </c>
      <c r="BY185">
        <v>0</v>
      </c>
      <c r="BZ185">
        <v>0</v>
      </c>
      <c r="CA185">
        <v>0</v>
      </c>
      <c r="CB185">
        <v>0</v>
      </c>
      <c r="CD185">
        <v>0</v>
      </c>
    </row>
    <row r="186" spans="1:82" x14ac:dyDescent="0.3">
      <c r="A186" s="155">
        <v>572</v>
      </c>
      <c r="B186" t="s">
        <v>671</v>
      </c>
      <c r="D186">
        <v>0</v>
      </c>
      <c r="E186">
        <v>0</v>
      </c>
      <c r="F186">
        <v>0</v>
      </c>
      <c r="G186">
        <v>0</v>
      </c>
      <c r="H186">
        <v>0</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0</v>
      </c>
      <c r="AD186">
        <v>0</v>
      </c>
      <c r="AE186">
        <v>0</v>
      </c>
      <c r="AF186">
        <v>0</v>
      </c>
      <c r="AG186">
        <v>0</v>
      </c>
      <c r="AH186">
        <v>0</v>
      </c>
      <c r="AI186">
        <v>0</v>
      </c>
      <c r="AJ186">
        <v>0</v>
      </c>
      <c r="AK186">
        <v>0</v>
      </c>
      <c r="AM186">
        <v>0</v>
      </c>
      <c r="AN186">
        <v>0</v>
      </c>
      <c r="AO186">
        <v>0</v>
      </c>
      <c r="AP186">
        <v>0</v>
      </c>
      <c r="AQ186">
        <v>0</v>
      </c>
      <c r="AR186">
        <v>0</v>
      </c>
      <c r="AS186">
        <v>0</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0</v>
      </c>
      <c r="BY186">
        <v>0</v>
      </c>
      <c r="BZ186">
        <v>0</v>
      </c>
      <c r="CA186">
        <v>0</v>
      </c>
      <c r="CB186">
        <v>0</v>
      </c>
      <c r="CD186">
        <v>0</v>
      </c>
    </row>
    <row r="187" spans="1:82" x14ac:dyDescent="0.3">
      <c r="A187" s="155">
        <v>573</v>
      </c>
      <c r="B187" t="s">
        <v>788</v>
      </c>
      <c r="D187">
        <v>0</v>
      </c>
      <c r="E187">
        <v>0</v>
      </c>
      <c r="F187">
        <v>0</v>
      </c>
      <c r="G187">
        <v>0</v>
      </c>
      <c r="H187">
        <v>0</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M187">
        <v>0</v>
      </c>
      <c r="AN187">
        <v>0</v>
      </c>
      <c r="AO187">
        <v>0</v>
      </c>
      <c r="AP187">
        <v>0</v>
      </c>
      <c r="AQ187">
        <v>0</v>
      </c>
      <c r="AR187">
        <v>0</v>
      </c>
      <c r="AS187">
        <v>0</v>
      </c>
      <c r="AT187">
        <v>0</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0</v>
      </c>
      <c r="BY187">
        <v>0</v>
      </c>
      <c r="BZ187">
        <v>0</v>
      </c>
      <c r="CA187">
        <v>0</v>
      </c>
      <c r="CB187">
        <v>0</v>
      </c>
      <c r="CD187">
        <v>0</v>
      </c>
    </row>
    <row r="188" spans="1:82" x14ac:dyDescent="0.3">
      <c r="A188" s="155">
        <v>575</v>
      </c>
      <c r="B188" t="s">
        <v>302</v>
      </c>
      <c r="D188">
        <v>0</v>
      </c>
      <c r="E188">
        <v>0</v>
      </c>
      <c r="F188">
        <v>0</v>
      </c>
      <c r="G188">
        <v>0</v>
      </c>
      <c r="H188">
        <v>0</v>
      </c>
      <c r="I188">
        <v>0</v>
      </c>
      <c r="J188">
        <v>0</v>
      </c>
      <c r="K188">
        <v>0</v>
      </c>
      <c r="L188">
        <v>0</v>
      </c>
      <c r="M188">
        <v>0</v>
      </c>
      <c r="N188">
        <v>0</v>
      </c>
      <c r="O188">
        <v>50000</v>
      </c>
      <c r="P188">
        <v>0</v>
      </c>
      <c r="Q188">
        <v>0</v>
      </c>
      <c r="R188">
        <v>0</v>
      </c>
      <c r="S188">
        <v>0</v>
      </c>
      <c r="T188">
        <v>0</v>
      </c>
      <c r="U188">
        <v>0</v>
      </c>
      <c r="V188">
        <v>0</v>
      </c>
      <c r="W188">
        <v>0</v>
      </c>
      <c r="X188">
        <v>0</v>
      </c>
      <c r="Y188">
        <v>0</v>
      </c>
      <c r="Z188">
        <v>0</v>
      </c>
      <c r="AA188">
        <v>0</v>
      </c>
      <c r="AB188">
        <v>250133</v>
      </c>
      <c r="AC188">
        <v>19179</v>
      </c>
      <c r="AD188">
        <v>0</v>
      </c>
      <c r="AE188">
        <v>0</v>
      </c>
      <c r="AF188">
        <v>0</v>
      </c>
      <c r="AG188">
        <v>0</v>
      </c>
      <c r="AH188">
        <v>0</v>
      </c>
      <c r="AI188">
        <v>0</v>
      </c>
      <c r="AJ188">
        <v>0</v>
      </c>
      <c r="AK188">
        <v>0</v>
      </c>
      <c r="AM188">
        <v>0</v>
      </c>
      <c r="AN188">
        <v>0</v>
      </c>
      <c r="AO188">
        <v>2626</v>
      </c>
      <c r="AP188">
        <v>0</v>
      </c>
      <c r="AQ188">
        <v>0</v>
      </c>
      <c r="AR188">
        <v>481071</v>
      </c>
      <c r="AS188">
        <v>0</v>
      </c>
      <c r="AT188">
        <v>0</v>
      </c>
      <c r="AU188">
        <v>0</v>
      </c>
      <c r="AV188">
        <v>0</v>
      </c>
      <c r="AW188">
        <v>0</v>
      </c>
      <c r="AX188">
        <v>0</v>
      </c>
      <c r="AY188">
        <v>67034</v>
      </c>
      <c r="AZ188">
        <v>0</v>
      </c>
      <c r="BA188">
        <v>25950</v>
      </c>
      <c r="BB188">
        <v>0</v>
      </c>
      <c r="BC188">
        <v>109130</v>
      </c>
      <c r="BD188">
        <v>0</v>
      </c>
      <c r="BE188">
        <v>0</v>
      </c>
      <c r="BF188">
        <v>73330</v>
      </c>
      <c r="BG188">
        <v>0</v>
      </c>
      <c r="BH188">
        <v>0</v>
      </c>
      <c r="BI188">
        <v>0</v>
      </c>
      <c r="BJ188">
        <v>0</v>
      </c>
      <c r="BK188">
        <v>0</v>
      </c>
      <c r="BL188">
        <v>0</v>
      </c>
      <c r="BM188">
        <v>218402</v>
      </c>
      <c r="BN188">
        <v>0</v>
      </c>
      <c r="BO188">
        <v>0</v>
      </c>
      <c r="BP188">
        <v>0</v>
      </c>
      <c r="BQ188">
        <v>0</v>
      </c>
      <c r="BR188">
        <v>0</v>
      </c>
      <c r="BS188">
        <v>0</v>
      </c>
      <c r="BT188">
        <v>1345</v>
      </c>
      <c r="BU188">
        <v>0</v>
      </c>
      <c r="BV188">
        <v>0</v>
      </c>
      <c r="BW188">
        <v>45437</v>
      </c>
      <c r="BX188">
        <v>0</v>
      </c>
      <c r="BY188">
        <v>14539</v>
      </c>
      <c r="BZ188">
        <v>379556</v>
      </c>
      <c r="CA188">
        <v>78</v>
      </c>
      <c r="CB188">
        <v>73756</v>
      </c>
      <c r="CD188">
        <v>0</v>
      </c>
    </row>
    <row r="189" spans="1:82" x14ac:dyDescent="0.3">
      <c r="A189" s="155">
        <v>576</v>
      </c>
      <c r="B189" t="s">
        <v>303</v>
      </c>
      <c r="D189">
        <v>11410</v>
      </c>
      <c r="E189">
        <v>0</v>
      </c>
      <c r="F189">
        <v>0</v>
      </c>
      <c r="G189">
        <v>0</v>
      </c>
      <c r="H189">
        <v>0</v>
      </c>
      <c r="I189">
        <v>0</v>
      </c>
      <c r="J189">
        <v>0</v>
      </c>
      <c r="K189">
        <v>0</v>
      </c>
      <c r="L189">
        <v>0</v>
      </c>
      <c r="M189">
        <v>0</v>
      </c>
      <c r="N189">
        <v>0</v>
      </c>
      <c r="O189">
        <v>0</v>
      </c>
      <c r="P189">
        <v>0</v>
      </c>
      <c r="Q189">
        <v>178084</v>
      </c>
      <c r="R189">
        <v>0</v>
      </c>
      <c r="S189">
        <v>0</v>
      </c>
      <c r="T189">
        <v>0</v>
      </c>
      <c r="U189">
        <v>0</v>
      </c>
      <c r="V189">
        <v>0</v>
      </c>
      <c r="W189">
        <v>0</v>
      </c>
      <c r="X189">
        <v>4173</v>
      </c>
      <c r="Y189">
        <v>110203</v>
      </c>
      <c r="Z189">
        <v>0</v>
      </c>
      <c r="AA189">
        <v>0</v>
      </c>
      <c r="AB189">
        <v>0</v>
      </c>
      <c r="AC189">
        <v>0</v>
      </c>
      <c r="AD189">
        <v>0</v>
      </c>
      <c r="AE189">
        <v>0</v>
      </c>
      <c r="AF189">
        <v>0</v>
      </c>
      <c r="AG189">
        <v>0</v>
      </c>
      <c r="AH189">
        <v>0</v>
      </c>
      <c r="AI189">
        <v>1163689</v>
      </c>
      <c r="AJ189">
        <v>0</v>
      </c>
      <c r="AK189">
        <v>0</v>
      </c>
      <c r="AM189">
        <v>55901</v>
      </c>
      <c r="AN189">
        <v>9186</v>
      </c>
      <c r="AO189">
        <v>0</v>
      </c>
      <c r="AP189">
        <v>0</v>
      </c>
      <c r="AQ189">
        <v>0</v>
      </c>
      <c r="AR189">
        <v>0</v>
      </c>
      <c r="AS189">
        <v>0</v>
      </c>
      <c r="AT189">
        <v>0</v>
      </c>
      <c r="AU189">
        <v>11193</v>
      </c>
      <c r="AV189">
        <v>0</v>
      </c>
      <c r="AW189">
        <v>0</v>
      </c>
      <c r="AX189">
        <v>0</v>
      </c>
      <c r="AY189">
        <v>0</v>
      </c>
      <c r="AZ189">
        <v>0</v>
      </c>
      <c r="BA189">
        <v>0</v>
      </c>
      <c r="BB189">
        <v>0</v>
      </c>
      <c r="BC189">
        <v>0</v>
      </c>
      <c r="BD189">
        <v>0</v>
      </c>
      <c r="BE189">
        <v>0</v>
      </c>
      <c r="BF189">
        <v>0</v>
      </c>
      <c r="BG189">
        <v>13361</v>
      </c>
      <c r="BH189">
        <v>0</v>
      </c>
      <c r="BI189">
        <v>0</v>
      </c>
      <c r="BJ189">
        <v>0</v>
      </c>
      <c r="BK189">
        <v>0</v>
      </c>
      <c r="BL189">
        <v>0</v>
      </c>
      <c r="BM189">
        <v>0</v>
      </c>
      <c r="BN189">
        <v>0</v>
      </c>
      <c r="BO189">
        <v>25829</v>
      </c>
      <c r="BP189">
        <v>0</v>
      </c>
      <c r="BQ189">
        <v>0</v>
      </c>
      <c r="BR189">
        <v>32063</v>
      </c>
      <c r="BS189">
        <v>0</v>
      </c>
      <c r="BT189">
        <v>0</v>
      </c>
      <c r="BU189">
        <v>0</v>
      </c>
      <c r="BV189">
        <v>0</v>
      </c>
      <c r="BW189">
        <v>0</v>
      </c>
      <c r="BX189">
        <v>0</v>
      </c>
      <c r="BY189">
        <v>0</v>
      </c>
      <c r="BZ189">
        <v>0</v>
      </c>
      <c r="CA189">
        <v>0</v>
      </c>
      <c r="CB189">
        <v>0</v>
      </c>
      <c r="CD189">
        <v>19722</v>
      </c>
    </row>
    <row r="190" spans="1:82" x14ac:dyDescent="0.3">
      <c r="A190" s="155">
        <v>577</v>
      </c>
      <c r="B190" t="s">
        <v>944</v>
      </c>
      <c r="D190">
        <v>2</v>
      </c>
      <c r="F190">
        <v>2</v>
      </c>
      <c r="G190">
        <v>2</v>
      </c>
      <c r="L190">
        <v>2</v>
      </c>
      <c r="M190">
        <v>2</v>
      </c>
      <c r="N190">
        <v>2</v>
      </c>
      <c r="O190">
        <v>2</v>
      </c>
      <c r="P190">
        <v>2</v>
      </c>
      <c r="Q190">
        <v>2</v>
      </c>
      <c r="R190">
        <v>2</v>
      </c>
      <c r="T190">
        <v>2</v>
      </c>
      <c r="U190">
        <v>2</v>
      </c>
      <c r="V190">
        <v>2</v>
      </c>
      <c r="W190">
        <v>2</v>
      </c>
      <c r="X190">
        <v>2</v>
      </c>
      <c r="Y190">
        <v>1</v>
      </c>
      <c r="Z190">
        <v>2</v>
      </c>
      <c r="AA190">
        <v>2</v>
      </c>
      <c r="AB190">
        <v>2</v>
      </c>
      <c r="AC190">
        <v>2</v>
      </c>
      <c r="AD190">
        <v>2</v>
      </c>
      <c r="AF190">
        <v>2</v>
      </c>
      <c r="AG190">
        <v>2</v>
      </c>
      <c r="AI190">
        <v>2</v>
      </c>
      <c r="AJ190">
        <v>2</v>
      </c>
      <c r="AK190">
        <v>2</v>
      </c>
      <c r="AM190">
        <v>2</v>
      </c>
      <c r="AO190">
        <v>2</v>
      </c>
      <c r="AP190">
        <v>2</v>
      </c>
      <c r="AR190">
        <v>2</v>
      </c>
      <c r="AT190">
        <v>2</v>
      </c>
      <c r="AU190">
        <v>2</v>
      </c>
      <c r="AV190">
        <v>2</v>
      </c>
      <c r="AW190">
        <v>2</v>
      </c>
      <c r="AX190">
        <v>2</v>
      </c>
      <c r="AY190">
        <v>2</v>
      </c>
      <c r="AZ190">
        <v>2</v>
      </c>
      <c r="BA190">
        <v>2</v>
      </c>
      <c r="BB190">
        <v>2</v>
      </c>
      <c r="BC190">
        <v>2</v>
      </c>
      <c r="BD190">
        <v>2</v>
      </c>
      <c r="BF190">
        <v>2</v>
      </c>
      <c r="BI190">
        <v>2</v>
      </c>
      <c r="BJ190">
        <v>2</v>
      </c>
      <c r="BK190">
        <v>2</v>
      </c>
      <c r="BL190">
        <v>2</v>
      </c>
      <c r="BM190">
        <v>2</v>
      </c>
      <c r="BN190">
        <v>2</v>
      </c>
      <c r="BO190">
        <v>2</v>
      </c>
      <c r="BP190">
        <v>2</v>
      </c>
      <c r="BQ190">
        <v>2</v>
      </c>
      <c r="BS190">
        <v>2</v>
      </c>
      <c r="BT190">
        <v>2</v>
      </c>
      <c r="BU190">
        <v>2</v>
      </c>
      <c r="BW190">
        <v>2</v>
      </c>
      <c r="BX190">
        <v>2</v>
      </c>
      <c r="BZ190">
        <v>2</v>
      </c>
      <c r="CA190">
        <v>2</v>
      </c>
      <c r="CB190">
        <v>2</v>
      </c>
      <c r="CD190">
        <v>2</v>
      </c>
    </row>
    <row r="191" spans="1:82" x14ac:dyDescent="0.3">
      <c r="A191" s="155">
        <v>578</v>
      </c>
      <c r="B191" t="s">
        <v>945</v>
      </c>
      <c r="D191">
        <v>0</v>
      </c>
      <c r="E191">
        <v>0</v>
      </c>
      <c r="F191">
        <v>0</v>
      </c>
      <c r="G191">
        <v>0</v>
      </c>
      <c r="H191">
        <v>0</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M191">
        <v>0</v>
      </c>
      <c r="AN191">
        <v>9186</v>
      </c>
      <c r="AO191">
        <v>0</v>
      </c>
      <c r="AP191">
        <v>0</v>
      </c>
      <c r="AQ191">
        <v>0</v>
      </c>
      <c r="AR191">
        <v>0</v>
      </c>
      <c r="AS191">
        <v>0</v>
      </c>
      <c r="AT191">
        <v>0</v>
      </c>
      <c r="AU191">
        <v>0</v>
      </c>
      <c r="AV191">
        <v>0</v>
      </c>
      <c r="AW191">
        <v>0</v>
      </c>
      <c r="AX191">
        <v>0</v>
      </c>
      <c r="AY191">
        <v>0</v>
      </c>
      <c r="AZ191">
        <v>0</v>
      </c>
      <c r="BA191">
        <v>25950</v>
      </c>
      <c r="BB191">
        <v>0</v>
      </c>
      <c r="BC191">
        <v>109130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682707</v>
      </c>
      <c r="BX191">
        <v>0</v>
      </c>
      <c r="BY191">
        <v>0</v>
      </c>
      <c r="BZ191">
        <v>0</v>
      </c>
      <c r="CA191">
        <v>0</v>
      </c>
      <c r="CB191">
        <v>0</v>
      </c>
      <c r="CD191">
        <v>0</v>
      </c>
    </row>
    <row r="192" spans="1:82" x14ac:dyDescent="0.3">
      <c r="A192" s="155">
        <v>579</v>
      </c>
      <c r="B192" t="s">
        <v>946</v>
      </c>
      <c r="D192">
        <v>0</v>
      </c>
      <c r="E192">
        <v>0</v>
      </c>
      <c r="F192">
        <v>0</v>
      </c>
      <c r="G192">
        <v>0</v>
      </c>
      <c r="H192">
        <v>0</v>
      </c>
      <c r="I192">
        <v>0</v>
      </c>
      <c r="J192">
        <v>0</v>
      </c>
      <c r="K192">
        <v>0</v>
      </c>
      <c r="L192">
        <v>0</v>
      </c>
      <c r="M192">
        <v>0</v>
      </c>
      <c r="N192">
        <v>0</v>
      </c>
      <c r="O192">
        <v>0</v>
      </c>
      <c r="P192">
        <v>0</v>
      </c>
      <c r="Q192">
        <v>0</v>
      </c>
      <c r="R192">
        <v>0</v>
      </c>
      <c r="S192">
        <v>0</v>
      </c>
      <c r="T192">
        <v>0</v>
      </c>
      <c r="U192">
        <v>0</v>
      </c>
      <c r="V192">
        <v>891577</v>
      </c>
      <c r="W192">
        <v>0</v>
      </c>
      <c r="X192">
        <v>4173</v>
      </c>
      <c r="Y192">
        <v>0</v>
      </c>
      <c r="Z192">
        <v>0</v>
      </c>
      <c r="AA192">
        <v>0</v>
      </c>
      <c r="AB192">
        <v>0</v>
      </c>
      <c r="AC192">
        <v>0</v>
      </c>
      <c r="AD192">
        <v>0</v>
      </c>
      <c r="AE192">
        <v>0</v>
      </c>
      <c r="AF192">
        <v>0</v>
      </c>
      <c r="AG192">
        <v>0</v>
      </c>
      <c r="AH192">
        <v>0</v>
      </c>
      <c r="AI192">
        <v>0</v>
      </c>
      <c r="AJ192">
        <v>0</v>
      </c>
      <c r="AK192">
        <v>0</v>
      </c>
      <c r="AM192">
        <v>0</v>
      </c>
      <c r="AN192">
        <v>6509</v>
      </c>
      <c r="AO192">
        <v>0</v>
      </c>
      <c r="AP192">
        <v>0</v>
      </c>
      <c r="AQ192">
        <v>0</v>
      </c>
      <c r="AR192">
        <v>0</v>
      </c>
      <c r="AS192">
        <v>0</v>
      </c>
      <c r="AT192">
        <v>0</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741296</v>
      </c>
      <c r="BX192">
        <v>0</v>
      </c>
      <c r="BY192">
        <v>0</v>
      </c>
      <c r="BZ192">
        <v>0</v>
      </c>
      <c r="CA192">
        <v>0</v>
      </c>
      <c r="CB192">
        <v>0</v>
      </c>
      <c r="CD192">
        <v>0</v>
      </c>
    </row>
    <row r="193" spans="1:82" x14ac:dyDescent="0.3">
      <c r="A193" s="155">
        <v>580</v>
      </c>
      <c r="B193" t="s">
        <v>947</v>
      </c>
      <c r="D193">
        <v>0</v>
      </c>
      <c r="E193">
        <v>0</v>
      </c>
      <c r="F193">
        <v>0</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D193">
        <v>0</v>
      </c>
    </row>
    <row r="194" spans="1:82" x14ac:dyDescent="0.3">
      <c r="A194" s="155">
        <v>581</v>
      </c>
      <c r="B194" t="s">
        <v>948</v>
      </c>
      <c r="D194">
        <v>0</v>
      </c>
      <c r="E194">
        <v>0</v>
      </c>
      <c r="F194">
        <v>0</v>
      </c>
      <c r="G194">
        <v>0</v>
      </c>
      <c r="H194">
        <v>0</v>
      </c>
      <c r="I194">
        <v>0</v>
      </c>
      <c r="J194">
        <v>0</v>
      </c>
      <c r="K194">
        <v>0</v>
      </c>
      <c r="L194">
        <v>0</v>
      </c>
      <c r="M194">
        <v>0</v>
      </c>
      <c r="N194">
        <v>0</v>
      </c>
      <c r="O194">
        <v>0</v>
      </c>
      <c r="P194">
        <v>0</v>
      </c>
      <c r="Q194">
        <v>232635</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M194">
        <v>0</v>
      </c>
      <c r="AN194">
        <v>0</v>
      </c>
      <c r="AO194">
        <v>0</v>
      </c>
      <c r="AP194">
        <v>0</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c r="BS194">
        <v>0</v>
      </c>
      <c r="BT194">
        <v>0</v>
      </c>
      <c r="BU194">
        <v>0</v>
      </c>
      <c r="BV194">
        <v>0</v>
      </c>
      <c r="BW194">
        <v>0</v>
      </c>
      <c r="BX194">
        <v>0</v>
      </c>
      <c r="BY194">
        <v>0</v>
      </c>
      <c r="BZ194">
        <v>0</v>
      </c>
      <c r="CA194">
        <v>0</v>
      </c>
      <c r="CB194">
        <v>0</v>
      </c>
      <c r="CD194">
        <v>0</v>
      </c>
    </row>
    <row r="195" spans="1:82" x14ac:dyDescent="0.3">
      <c r="A195" s="155">
        <v>585</v>
      </c>
      <c r="B195" t="s">
        <v>949</v>
      </c>
      <c r="D195">
        <v>0</v>
      </c>
      <c r="E195">
        <v>0</v>
      </c>
      <c r="F195">
        <v>0</v>
      </c>
      <c r="G195">
        <v>0</v>
      </c>
      <c r="H195">
        <v>0</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M195">
        <v>0</v>
      </c>
      <c r="AN195">
        <v>0</v>
      </c>
      <c r="AO195">
        <v>0</v>
      </c>
      <c r="AP195">
        <v>0</v>
      </c>
      <c r="AQ195">
        <v>0</v>
      </c>
      <c r="AR195">
        <v>0</v>
      </c>
      <c r="AS195">
        <v>0</v>
      </c>
      <c r="AT195">
        <v>0</v>
      </c>
      <c r="AU195">
        <v>0</v>
      </c>
      <c r="AV195">
        <v>0</v>
      </c>
      <c r="AW195">
        <v>0</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0</v>
      </c>
      <c r="BQ195">
        <v>0</v>
      </c>
      <c r="BR195">
        <v>0</v>
      </c>
      <c r="BS195">
        <v>0</v>
      </c>
      <c r="BT195">
        <v>0</v>
      </c>
      <c r="BU195">
        <v>0</v>
      </c>
      <c r="BV195">
        <v>0</v>
      </c>
      <c r="BW195">
        <v>0</v>
      </c>
      <c r="BX195">
        <v>0</v>
      </c>
      <c r="BY195">
        <v>0</v>
      </c>
      <c r="BZ195">
        <v>0</v>
      </c>
      <c r="CA195">
        <v>0</v>
      </c>
      <c r="CB195">
        <v>0</v>
      </c>
      <c r="CD195">
        <v>0</v>
      </c>
    </row>
    <row r="196" spans="1:82" x14ac:dyDescent="0.3">
      <c r="A196" s="155">
        <v>586</v>
      </c>
      <c r="B196" t="s">
        <v>950</v>
      </c>
      <c r="D196">
        <v>0</v>
      </c>
      <c r="E196">
        <v>0</v>
      </c>
      <c r="F196">
        <v>0</v>
      </c>
      <c r="G196">
        <v>0</v>
      </c>
      <c r="H196">
        <v>0</v>
      </c>
      <c r="I196">
        <v>0</v>
      </c>
      <c r="J196">
        <v>0</v>
      </c>
      <c r="K196">
        <v>0</v>
      </c>
      <c r="L196">
        <v>0</v>
      </c>
      <c r="M196">
        <v>0</v>
      </c>
      <c r="N196">
        <v>0</v>
      </c>
      <c r="O196">
        <v>1614373</v>
      </c>
      <c r="P196">
        <v>0</v>
      </c>
      <c r="Q196">
        <v>0</v>
      </c>
      <c r="R196">
        <v>0</v>
      </c>
      <c r="S196">
        <v>0</v>
      </c>
      <c r="T196">
        <v>0</v>
      </c>
      <c r="U196">
        <v>0</v>
      </c>
      <c r="V196">
        <v>0</v>
      </c>
      <c r="W196">
        <v>0</v>
      </c>
      <c r="X196">
        <v>40</v>
      </c>
      <c r="Y196">
        <v>0</v>
      </c>
      <c r="Z196">
        <v>0</v>
      </c>
      <c r="AA196">
        <v>0</v>
      </c>
      <c r="AB196">
        <v>0</v>
      </c>
      <c r="AC196">
        <v>21086</v>
      </c>
      <c r="AD196">
        <v>0</v>
      </c>
      <c r="AE196">
        <v>0</v>
      </c>
      <c r="AF196">
        <v>0</v>
      </c>
      <c r="AG196">
        <v>0</v>
      </c>
      <c r="AH196">
        <v>0</v>
      </c>
      <c r="AI196">
        <v>0</v>
      </c>
      <c r="AJ196">
        <v>0</v>
      </c>
      <c r="AK196">
        <v>0</v>
      </c>
      <c r="AM196">
        <v>0</v>
      </c>
      <c r="AN196">
        <v>0</v>
      </c>
      <c r="AO196">
        <v>0</v>
      </c>
      <c r="AP196">
        <v>0</v>
      </c>
      <c r="AQ196">
        <v>0</v>
      </c>
      <c r="AR196">
        <v>0</v>
      </c>
      <c r="AS196">
        <v>0</v>
      </c>
      <c r="AT196">
        <v>0</v>
      </c>
      <c r="AU196">
        <v>0</v>
      </c>
      <c r="AV196">
        <v>0</v>
      </c>
      <c r="AW196">
        <v>0</v>
      </c>
      <c r="AX196">
        <v>0</v>
      </c>
      <c r="AY196">
        <v>0</v>
      </c>
      <c r="AZ196">
        <v>0</v>
      </c>
      <c r="BA196">
        <v>0</v>
      </c>
      <c r="BB196">
        <v>0</v>
      </c>
      <c r="BC196">
        <v>109130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v>0</v>
      </c>
      <c r="BW196">
        <v>0</v>
      </c>
      <c r="BX196">
        <v>0</v>
      </c>
      <c r="BY196">
        <v>0</v>
      </c>
      <c r="BZ196">
        <v>0</v>
      </c>
      <c r="CA196">
        <v>0</v>
      </c>
      <c r="CB196">
        <v>0</v>
      </c>
      <c r="CD196">
        <v>0</v>
      </c>
    </row>
    <row r="197" spans="1:82" x14ac:dyDescent="0.3">
      <c r="A197" s="155">
        <v>587</v>
      </c>
      <c r="B197" t="s">
        <v>951</v>
      </c>
      <c r="D197">
        <v>0</v>
      </c>
      <c r="E197">
        <v>0</v>
      </c>
      <c r="F197">
        <v>0</v>
      </c>
      <c r="G197">
        <v>0</v>
      </c>
      <c r="H197">
        <v>0</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M197">
        <v>0</v>
      </c>
      <c r="AN197">
        <v>0</v>
      </c>
      <c r="AO197">
        <v>0</v>
      </c>
      <c r="AP197">
        <v>0</v>
      </c>
      <c r="AQ197">
        <v>0</v>
      </c>
      <c r="AR197">
        <v>0</v>
      </c>
      <c r="AS197">
        <v>0</v>
      </c>
      <c r="AT197">
        <v>0</v>
      </c>
      <c r="AU197">
        <v>0</v>
      </c>
      <c r="AV197">
        <v>0</v>
      </c>
      <c r="AW197">
        <v>0</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0</v>
      </c>
      <c r="BW197">
        <v>0</v>
      </c>
      <c r="BX197">
        <v>0</v>
      </c>
      <c r="BY197">
        <v>0</v>
      </c>
      <c r="BZ197">
        <v>0</v>
      </c>
      <c r="CA197">
        <v>0</v>
      </c>
      <c r="CB197">
        <v>0</v>
      </c>
      <c r="CD197">
        <v>0</v>
      </c>
    </row>
    <row r="198" spans="1:82" x14ac:dyDescent="0.3">
      <c r="A198" s="155">
        <v>588</v>
      </c>
      <c r="B198" t="s">
        <v>952</v>
      </c>
      <c r="D198">
        <v>0</v>
      </c>
      <c r="E198">
        <v>0</v>
      </c>
      <c r="F198">
        <v>0</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0</v>
      </c>
      <c r="BS198">
        <v>0</v>
      </c>
      <c r="BT198">
        <v>0</v>
      </c>
      <c r="BU198">
        <v>0</v>
      </c>
      <c r="BV198">
        <v>0</v>
      </c>
      <c r="BW198">
        <v>0</v>
      </c>
      <c r="BX198">
        <v>0</v>
      </c>
      <c r="BY198">
        <v>0</v>
      </c>
      <c r="BZ198">
        <v>0</v>
      </c>
      <c r="CA198">
        <v>0</v>
      </c>
      <c r="CB198">
        <v>0</v>
      </c>
      <c r="CD198">
        <v>0</v>
      </c>
    </row>
    <row r="199" spans="1:82" x14ac:dyDescent="0.3">
      <c r="A199" s="155">
        <v>589</v>
      </c>
      <c r="B199" t="s">
        <v>953</v>
      </c>
      <c r="D199">
        <v>0</v>
      </c>
      <c r="E199">
        <v>0</v>
      </c>
      <c r="F199">
        <v>0</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D199">
        <v>0</v>
      </c>
    </row>
    <row r="200" spans="1:82" x14ac:dyDescent="0.3">
      <c r="A200" s="155">
        <v>590</v>
      </c>
      <c r="B200" t="s">
        <v>1668</v>
      </c>
      <c r="S200" t="s">
        <v>430</v>
      </c>
      <c r="AF200" t="s">
        <v>1733</v>
      </c>
      <c r="AN200" t="s">
        <v>1733</v>
      </c>
      <c r="AU200" t="s">
        <v>1733</v>
      </c>
      <c r="AX200" t="s">
        <v>1733</v>
      </c>
      <c r="BA200" t="s">
        <v>1733</v>
      </c>
      <c r="BG200" t="s">
        <v>324</v>
      </c>
      <c r="BJ200" t="s">
        <v>430</v>
      </c>
      <c r="BS200" t="s">
        <v>430</v>
      </c>
      <c r="BV200" t="s">
        <v>1733</v>
      </c>
      <c r="BW200" t="s">
        <v>324</v>
      </c>
      <c r="BX200" t="s">
        <v>324</v>
      </c>
      <c r="CA200" t="s">
        <v>1733</v>
      </c>
    </row>
    <row r="201" spans="1:82" x14ac:dyDescent="0.3">
      <c r="A201" s="155">
        <v>591</v>
      </c>
      <c r="B201" t="s">
        <v>329</v>
      </c>
      <c r="D201">
        <v>390634</v>
      </c>
      <c r="E201">
        <v>0</v>
      </c>
      <c r="F201">
        <v>777846</v>
      </c>
      <c r="G201">
        <v>0</v>
      </c>
      <c r="H201">
        <v>0</v>
      </c>
      <c r="I201">
        <v>0</v>
      </c>
      <c r="J201">
        <v>177850</v>
      </c>
      <c r="K201">
        <v>0</v>
      </c>
      <c r="L201">
        <v>0</v>
      </c>
      <c r="M201">
        <v>0</v>
      </c>
      <c r="N201">
        <v>0</v>
      </c>
      <c r="O201">
        <v>6119986</v>
      </c>
      <c r="P201">
        <v>0</v>
      </c>
      <c r="Q201">
        <v>0</v>
      </c>
      <c r="R201">
        <v>276722</v>
      </c>
      <c r="S201">
        <v>0</v>
      </c>
      <c r="T201">
        <v>32146175</v>
      </c>
      <c r="U201">
        <v>9129109</v>
      </c>
      <c r="V201">
        <v>43114283</v>
      </c>
      <c r="W201">
        <v>245960</v>
      </c>
      <c r="X201">
        <v>290653</v>
      </c>
      <c r="Y201">
        <v>5840925</v>
      </c>
      <c r="Z201">
        <v>1514702</v>
      </c>
      <c r="AA201">
        <v>7859669</v>
      </c>
      <c r="AB201">
        <v>4247507</v>
      </c>
      <c r="AC201">
        <v>1169711</v>
      </c>
      <c r="AD201">
        <v>1435163</v>
      </c>
      <c r="AE201">
        <v>3310765</v>
      </c>
      <c r="AF201">
        <v>3950579</v>
      </c>
      <c r="AG201">
        <v>4793883</v>
      </c>
      <c r="AH201">
        <v>177069</v>
      </c>
      <c r="AI201">
        <v>71702948</v>
      </c>
      <c r="AJ201">
        <v>290429</v>
      </c>
      <c r="AK201">
        <v>552133</v>
      </c>
      <c r="AM201">
        <v>24638328</v>
      </c>
      <c r="AN201">
        <v>439977</v>
      </c>
      <c r="AO201">
        <v>839648</v>
      </c>
      <c r="AP201">
        <v>0</v>
      </c>
      <c r="AQ201">
        <v>0</v>
      </c>
      <c r="AR201">
        <v>2646232</v>
      </c>
      <c r="AS201">
        <v>0</v>
      </c>
      <c r="AT201">
        <v>1768727</v>
      </c>
      <c r="AU201">
        <v>393649</v>
      </c>
      <c r="AV201">
        <v>18944700</v>
      </c>
      <c r="AW201">
        <v>0</v>
      </c>
      <c r="AX201">
        <v>1235568</v>
      </c>
      <c r="AY201">
        <v>2872359</v>
      </c>
      <c r="AZ201">
        <v>618251</v>
      </c>
      <c r="BA201">
        <v>371495</v>
      </c>
      <c r="BB201">
        <v>0</v>
      </c>
      <c r="BC201">
        <v>150769</v>
      </c>
      <c r="BD201">
        <v>4993746</v>
      </c>
      <c r="BE201">
        <v>0</v>
      </c>
      <c r="BF201">
        <v>262997</v>
      </c>
      <c r="BG201">
        <v>161907</v>
      </c>
      <c r="BH201">
        <v>0</v>
      </c>
      <c r="BI201">
        <v>220229</v>
      </c>
      <c r="BJ201">
        <v>0</v>
      </c>
      <c r="BK201">
        <v>3005840</v>
      </c>
      <c r="BL201">
        <v>0</v>
      </c>
      <c r="BM201">
        <v>1167262</v>
      </c>
      <c r="BN201">
        <v>807713</v>
      </c>
      <c r="BO201">
        <v>964708</v>
      </c>
      <c r="BP201">
        <v>388107</v>
      </c>
      <c r="BQ201">
        <v>0</v>
      </c>
      <c r="BR201">
        <v>3072521</v>
      </c>
      <c r="BS201">
        <v>12689391</v>
      </c>
      <c r="BT201">
        <v>775285</v>
      </c>
      <c r="BU201">
        <v>3909602</v>
      </c>
      <c r="BV201">
        <v>0</v>
      </c>
      <c r="BW201">
        <v>2889856</v>
      </c>
      <c r="BX201">
        <v>348186</v>
      </c>
      <c r="BY201">
        <v>32015</v>
      </c>
      <c r="BZ201">
        <v>368104</v>
      </c>
      <c r="CA201">
        <v>324328</v>
      </c>
      <c r="CB201">
        <v>756578</v>
      </c>
      <c r="CD201">
        <v>67408</v>
      </c>
    </row>
    <row r="202" spans="1:82" x14ac:dyDescent="0.3">
      <c r="A202" s="155">
        <v>592</v>
      </c>
      <c r="B202" t="s">
        <v>330</v>
      </c>
      <c r="D202">
        <v>-81250</v>
      </c>
      <c r="E202">
        <v>0</v>
      </c>
      <c r="F202">
        <v>1692249</v>
      </c>
      <c r="G202">
        <v>0</v>
      </c>
      <c r="H202">
        <v>0</v>
      </c>
      <c r="I202">
        <v>0</v>
      </c>
      <c r="J202">
        <v>-46126</v>
      </c>
      <c r="K202">
        <v>0</v>
      </c>
      <c r="L202">
        <v>0</v>
      </c>
      <c r="M202">
        <v>0</v>
      </c>
      <c r="N202">
        <v>0</v>
      </c>
      <c r="O202">
        <v>66844</v>
      </c>
      <c r="P202">
        <v>0</v>
      </c>
      <c r="Q202">
        <v>0</v>
      </c>
      <c r="R202">
        <v>63649</v>
      </c>
      <c r="S202">
        <v>0</v>
      </c>
      <c r="T202">
        <v>430950</v>
      </c>
      <c r="U202">
        <v>876113</v>
      </c>
      <c r="V202">
        <v>10001503</v>
      </c>
      <c r="W202">
        <v>247075</v>
      </c>
      <c r="X202">
        <v>-71800</v>
      </c>
      <c r="Y202">
        <v>2613135</v>
      </c>
      <c r="Z202">
        <v>-152782</v>
      </c>
      <c r="AA202">
        <v>2940758</v>
      </c>
      <c r="AB202">
        <v>441263</v>
      </c>
      <c r="AC202">
        <v>109386</v>
      </c>
      <c r="AD202">
        <v>297828</v>
      </c>
      <c r="AE202">
        <v>-456066</v>
      </c>
      <c r="AF202">
        <v>-186871</v>
      </c>
      <c r="AG202">
        <v>-1218885</v>
      </c>
      <c r="AH202">
        <v>-3581193</v>
      </c>
      <c r="AI202">
        <v>6689475</v>
      </c>
      <c r="AJ202">
        <v>-540472</v>
      </c>
      <c r="AK202">
        <v>-69228</v>
      </c>
      <c r="AM202">
        <v>3038133</v>
      </c>
      <c r="AN202">
        <v>-64457</v>
      </c>
      <c r="AO202">
        <v>-61913</v>
      </c>
      <c r="AP202">
        <v>0</v>
      </c>
      <c r="AQ202">
        <v>0</v>
      </c>
      <c r="AR202">
        <v>596356</v>
      </c>
      <c r="AS202">
        <v>0</v>
      </c>
      <c r="AT202">
        <v>67264</v>
      </c>
      <c r="AU202">
        <v>3143</v>
      </c>
      <c r="AV202">
        <v>1411217</v>
      </c>
      <c r="AW202">
        <v>0</v>
      </c>
      <c r="AX202">
        <v>-108766</v>
      </c>
      <c r="AY202">
        <v>860494</v>
      </c>
      <c r="AZ202">
        <v>-78500</v>
      </c>
      <c r="BA202">
        <v>-48860</v>
      </c>
      <c r="BB202">
        <v>0</v>
      </c>
      <c r="BC202">
        <v>-50191</v>
      </c>
      <c r="BD202">
        <v>6222216</v>
      </c>
      <c r="BE202">
        <v>0</v>
      </c>
      <c r="BF202">
        <v>89137</v>
      </c>
      <c r="BG202">
        <v>600525</v>
      </c>
      <c r="BH202">
        <v>0</v>
      </c>
      <c r="BI202">
        <v>-48610</v>
      </c>
      <c r="BJ202">
        <v>0</v>
      </c>
      <c r="BK202">
        <v>-182192</v>
      </c>
      <c r="BL202">
        <v>1357751</v>
      </c>
      <c r="BM202">
        <v>820986</v>
      </c>
      <c r="BN202">
        <v>132108</v>
      </c>
      <c r="BO202">
        <v>-12960</v>
      </c>
      <c r="BP202">
        <v>47893</v>
      </c>
      <c r="BQ202">
        <v>0</v>
      </c>
      <c r="BR202">
        <v>309012</v>
      </c>
      <c r="BS202">
        <v>3106374</v>
      </c>
      <c r="BT202">
        <v>-174819</v>
      </c>
      <c r="BU202">
        <v>172230</v>
      </c>
      <c r="BV202">
        <v>0</v>
      </c>
      <c r="BW202">
        <v>47874</v>
      </c>
      <c r="BX202">
        <v>50443</v>
      </c>
      <c r="BY202">
        <v>-19003</v>
      </c>
      <c r="BZ202">
        <v>100842</v>
      </c>
      <c r="CA202">
        <v>-131854</v>
      </c>
      <c r="CB202">
        <v>-2929</v>
      </c>
      <c r="CD202">
        <v>-9868</v>
      </c>
    </row>
    <row r="203" spans="1:82" x14ac:dyDescent="0.3">
      <c r="A203" s="155">
        <v>593</v>
      </c>
      <c r="B203" t="s">
        <v>954</v>
      </c>
      <c r="D203">
        <v>0</v>
      </c>
      <c r="E203">
        <v>0</v>
      </c>
      <c r="F203">
        <v>0</v>
      </c>
      <c r="G203">
        <v>0</v>
      </c>
      <c r="H203">
        <v>0</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0</v>
      </c>
      <c r="AG203">
        <v>0</v>
      </c>
      <c r="AH203">
        <v>0</v>
      </c>
      <c r="AI203">
        <v>0</v>
      </c>
      <c r="AJ203">
        <v>0</v>
      </c>
      <c r="AK203">
        <v>0</v>
      </c>
      <c r="AM203">
        <v>0</v>
      </c>
      <c r="AN203">
        <v>0</v>
      </c>
      <c r="AO203">
        <v>0</v>
      </c>
      <c r="AP203">
        <v>0</v>
      </c>
      <c r="AQ203">
        <v>0</v>
      </c>
      <c r="AR203">
        <v>0</v>
      </c>
      <c r="AS203">
        <v>0</v>
      </c>
      <c r="AT203">
        <v>0</v>
      </c>
      <c r="AU203">
        <v>0</v>
      </c>
      <c r="AV203">
        <v>0</v>
      </c>
      <c r="AW203">
        <v>0</v>
      </c>
      <c r="AX203">
        <v>0</v>
      </c>
      <c r="AY203">
        <v>0</v>
      </c>
      <c r="AZ203">
        <v>0</v>
      </c>
      <c r="BA203">
        <v>0</v>
      </c>
      <c r="BB203">
        <v>0</v>
      </c>
      <c r="BC203">
        <v>0</v>
      </c>
      <c r="BD203">
        <v>0</v>
      </c>
      <c r="BE203">
        <v>0</v>
      </c>
      <c r="BF203">
        <v>0</v>
      </c>
      <c r="BG203">
        <v>0</v>
      </c>
      <c r="BH203">
        <v>0</v>
      </c>
      <c r="BI203">
        <v>0</v>
      </c>
      <c r="BJ203">
        <v>0</v>
      </c>
      <c r="BK203">
        <v>0</v>
      </c>
      <c r="BL203">
        <v>0</v>
      </c>
      <c r="BM203">
        <v>0</v>
      </c>
      <c r="BN203">
        <v>0</v>
      </c>
      <c r="BO203">
        <v>0</v>
      </c>
      <c r="BP203">
        <v>0</v>
      </c>
      <c r="BQ203">
        <v>0</v>
      </c>
      <c r="BR203">
        <v>0</v>
      </c>
      <c r="BS203">
        <v>0</v>
      </c>
      <c r="BT203">
        <v>0</v>
      </c>
      <c r="BU203">
        <v>0</v>
      </c>
      <c r="BV203">
        <v>0</v>
      </c>
      <c r="BW203">
        <v>0</v>
      </c>
      <c r="BX203">
        <v>0</v>
      </c>
      <c r="BY203">
        <v>0</v>
      </c>
      <c r="BZ203">
        <v>0</v>
      </c>
      <c r="CA203">
        <v>0</v>
      </c>
      <c r="CB203">
        <v>0</v>
      </c>
      <c r="CD203">
        <v>0</v>
      </c>
    </row>
    <row r="204" spans="1:82" x14ac:dyDescent="0.3">
      <c r="A204" s="155">
        <v>594</v>
      </c>
      <c r="B204" t="s">
        <v>955</v>
      </c>
      <c r="D204">
        <v>0</v>
      </c>
      <c r="E204">
        <v>0</v>
      </c>
      <c r="F204">
        <v>0</v>
      </c>
      <c r="G204">
        <v>0</v>
      </c>
      <c r="H204">
        <v>0</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0</v>
      </c>
      <c r="AG204">
        <v>0</v>
      </c>
      <c r="AH204">
        <v>0</v>
      </c>
      <c r="AI204">
        <v>0</v>
      </c>
      <c r="AJ204">
        <v>0</v>
      </c>
      <c r="AK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v>0</v>
      </c>
      <c r="BY204">
        <v>0</v>
      </c>
      <c r="BZ204">
        <v>0</v>
      </c>
      <c r="CA204">
        <v>0</v>
      </c>
      <c r="CB204">
        <v>0</v>
      </c>
      <c r="CD204">
        <v>0</v>
      </c>
    </row>
    <row r="205" spans="1:82" x14ac:dyDescent="0.3">
      <c r="A205" s="155">
        <v>596</v>
      </c>
      <c r="B205" t="s">
        <v>335</v>
      </c>
      <c r="D205">
        <v>52</v>
      </c>
      <c r="E205">
        <v>52</v>
      </c>
      <c r="F205">
        <v>52</v>
      </c>
      <c r="G205">
        <v>52</v>
      </c>
      <c r="H205">
        <v>0</v>
      </c>
      <c r="I205">
        <v>52</v>
      </c>
      <c r="J205">
        <v>52</v>
      </c>
      <c r="K205">
        <v>52</v>
      </c>
      <c r="L205">
        <v>0</v>
      </c>
      <c r="M205">
        <v>52</v>
      </c>
      <c r="N205">
        <v>52</v>
      </c>
      <c r="O205">
        <v>52</v>
      </c>
      <c r="P205">
        <v>52</v>
      </c>
      <c r="Q205">
        <v>52</v>
      </c>
      <c r="R205">
        <v>52</v>
      </c>
      <c r="S205">
        <v>0</v>
      </c>
      <c r="T205">
        <v>52</v>
      </c>
      <c r="U205">
        <v>52</v>
      </c>
      <c r="V205">
        <v>52</v>
      </c>
      <c r="W205">
        <v>52</v>
      </c>
      <c r="X205">
        <v>52</v>
      </c>
      <c r="Y205">
        <v>52</v>
      </c>
      <c r="Z205">
        <v>52</v>
      </c>
      <c r="AA205">
        <v>52</v>
      </c>
      <c r="AB205">
        <v>52</v>
      </c>
      <c r="AC205">
        <v>52</v>
      </c>
      <c r="AD205">
        <v>52</v>
      </c>
      <c r="AE205">
        <v>52</v>
      </c>
      <c r="AF205">
        <v>52</v>
      </c>
      <c r="AG205">
        <v>52</v>
      </c>
      <c r="AH205">
        <v>51</v>
      </c>
      <c r="AI205">
        <v>52</v>
      </c>
      <c r="AJ205">
        <v>52</v>
      </c>
      <c r="AK205">
        <v>52</v>
      </c>
      <c r="AM205">
        <v>52</v>
      </c>
      <c r="AN205">
        <v>52</v>
      </c>
      <c r="AO205">
        <v>52</v>
      </c>
      <c r="AP205">
        <v>52</v>
      </c>
      <c r="AQ205">
        <v>52</v>
      </c>
      <c r="AR205">
        <v>52</v>
      </c>
      <c r="AS205">
        <v>52</v>
      </c>
      <c r="AT205">
        <v>52</v>
      </c>
      <c r="AU205">
        <v>52</v>
      </c>
      <c r="AV205">
        <v>52</v>
      </c>
      <c r="AW205">
        <v>52</v>
      </c>
      <c r="AX205">
        <v>52</v>
      </c>
      <c r="AY205">
        <v>52</v>
      </c>
      <c r="AZ205">
        <v>52</v>
      </c>
      <c r="BA205">
        <v>52</v>
      </c>
      <c r="BB205">
        <v>0</v>
      </c>
      <c r="BC205">
        <v>52</v>
      </c>
      <c r="BD205">
        <v>0</v>
      </c>
      <c r="BE205">
        <v>52</v>
      </c>
      <c r="BF205">
        <v>52</v>
      </c>
      <c r="BG205">
        <v>52</v>
      </c>
      <c r="BH205">
        <v>0</v>
      </c>
      <c r="BI205">
        <v>52</v>
      </c>
      <c r="BJ205">
        <v>52</v>
      </c>
      <c r="BK205">
        <v>52</v>
      </c>
      <c r="BL205">
        <v>52</v>
      </c>
      <c r="BM205">
        <v>52</v>
      </c>
      <c r="BN205">
        <v>52</v>
      </c>
      <c r="BO205">
        <v>52</v>
      </c>
      <c r="BP205">
        <v>52</v>
      </c>
      <c r="BQ205">
        <v>52</v>
      </c>
      <c r="BR205">
        <v>52</v>
      </c>
      <c r="BS205">
        <v>52</v>
      </c>
      <c r="BT205">
        <v>52</v>
      </c>
      <c r="BU205">
        <v>52</v>
      </c>
      <c r="BV205">
        <v>0</v>
      </c>
      <c r="BW205">
        <v>52</v>
      </c>
      <c r="BX205">
        <v>52</v>
      </c>
      <c r="BY205">
        <v>52</v>
      </c>
      <c r="BZ205">
        <v>52</v>
      </c>
      <c r="CA205">
        <v>52</v>
      </c>
      <c r="CB205">
        <v>52</v>
      </c>
      <c r="CD205">
        <v>52</v>
      </c>
    </row>
    <row r="206" spans="1:82" x14ac:dyDescent="0.3">
      <c r="A206" s="155">
        <v>597</v>
      </c>
      <c r="B206" t="s">
        <v>338</v>
      </c>
      <c r="D206">
        <v>0</v>
      </c>
      <c r="E206">
        <v>0</v>
      </c>
      <c r="F206">
        <v>1184</v>
      </c>
      <c r="G206">
        <v>1901</v>
      </c>
      <c r="H206">
        <v>42838</v>
      </c>
      <c r="I206">
        <v>10498</v>
      </c>
      <c r="J206">
        <v>20</v>
      </c>
      <c r="K206">
        <v>0</v>
      </c>
      <c r="L206">
        <v>6182</v>
      </c>
      <c r="M206">
        <v>4854</v>
      </c>
      <c r="N206">
        <v>1743</v>
      </c>
      <c r="O206">
        <v>1617</v>
      </c>
      <c r="P206">
        <v>0</v>
      </c>
      <c r="Q206">
        <v>-857216</v>
      </c>
      <c r="R206">
        <v>522</v>
      </c>
      <c r="S206">
        <v>1166</v>
      </c>
      <c r="T206">
        <v>43422</v>
      </c>
      <c r="U206">
        <v>10718</v>
      </c>
      <c r="V206">
        <v>39461</v>
      </c>
      <c r="W206">
        <v>0</v>
      </c>
      <c r="X206">
        <v>311</v>
      </c>
      <c r="Y206">
        <v>12009</v>
      </c>
      <c r="Z206">
        <v>493</v>
      </c>
      <c r="AA206">
        <v>6771</v>
      </c>
      <c r="AB206">
        <v>0</v>
      </c>
      <c r="AC206">
        <v>5847</v>
      </c>
      <c r="AD206">
        <v>211</v>
      </c>
      <c r="AE206">
        <v>5592</v>
      </c>
      <c r="AF206">
        <v>-143666</v>
      </c>
      <c r="AG206">
        <v>5081</v>
      </c>
      <c r="AH206">
        <v>192</v>
      </c>
      <c r="AI206">
        <v>7738</v>
      </c>
      <c r="AJ206">
        <v>252947</v>
      </c>
      <c r="AK206">
        <v>2827</v>
      </c>
      <c r="AM206">
        <v>5048</v>
      </c>
      <c r="AN206">
        <v>1977</v>
      </c>
      <c r="AO206">
        <v>1</v>
      </c>
      <c r="AP206">
        <v>359</v>
      </c>
      <c r="AQ206">
        <v>20196</v>
      </c>
      <c r="AR206">
        <v>253438</v>
      </c>
      <c r="AS206">
        <v>97</v>
      </c>
      <c r="AT206">
        <v>1752</v>
      </c>
      <c r="AU206">
        <v>2081</v>
      </c>
      <c r="AV206">
        <v>42027</v>
      </c>
      <c r="AW206">
        <v>20330</v>
      </c>
      <c r="AX206">
        <v>4864</v>
      </c>
      <c r="AY206">
        <v>88623</v>
      </c>
      <c r="AZ206">
        <v>15823</v>
      </c>
      <c r="BA206">
        <v>286</v>
      </c>
      <c r="BB206">
        <v>0</v>
      </c>
      <c r="BC206">
        <v>4407</v>
      </c>
      <c r="BD206">
        <v>24956</v>
      </c>
      <c r="BE206">
        <v>8493</v>
      </c>
      <c r="BF206">
        <v>490</v>
      </c>
      <c r="BG206">
        <v>22</v>
      </c>
      <c r="BH206">
        <v>817</v>
      </c>
      <c r="BI206">
        <v>1782</v>
      </c>
      <c r="BJ206">
        <v>142</v>
      </c>
      <c r="BK206">
        <v>21596</v>
      </c>
      <c r="BL206">
        <v>1617</v>
      </c>
      <c r="BM206">
        <v>6</v>
      </c>
      <c r="BN206">
        <v>9392</v>
      </c>
      <c r="BO206">
        <v>283</v>
      </c>
      <c r="BP206">
        <v>2198</v>
      </c>
      <c r="BQ206">
        <v>2879</v>
      </c>
      <c r="BR206">
        <v>0</v>
      </c>
      <c r="BS206">
        <v>16720</v>
      </c>
      <c r="BT206">
        <v>332</v>
      </c>
      <c r="BU206">
        <v>3530</v>
      </c>
      <c r="BV206">
        <v>0</v>
      </c>
      <c r="BW206">
        <v>648</v>
      </c>
      <c r="BX206">
        <v>0</v>
      </c>
      <c r="BY206">
        <v>839</v>
      </c>
      <c r="BZ206">
        <v>6054</v>
      </c>
      <c r="CA206">
        <v>408</v>
      </c>
      <c r="CB206">
        <v>19061</v>
      </c>
      <c r="CD206">
        <v>1389</v>
      </c>
    </row>
    <row r="207" spans="1:82" x14ac:dyDescent="0.3">
      <c r="A207" s="155">
        <v>598</v>
      </c>
      <c r="B207" t="s">
        <v>343</v>
      </c>
      <c r="D207">
        <v>0</v>
      </c>
      <c r="E207">
        <v>0</v>
      </c>
      <c r="F207">
        <v>0</v>
      </c>
      <c r="G207">
        <v>0</v>
      </c>
      <c r="H207">
        <v>0</v>
      </c>
      <c r="I207">
        <v>0</v>
      </c>
      <c r="J207">
        <v>0</v>
      </c>
      <c r="K207">
        <v>0</v>
      </c>
      <c r="L207">
        <v>0</v>
      </c>
      <c r="M207">
        <v>0</v>
      </c>
      <c r="N207">
        <v>0</v>
      </c>
      <c r="O207">
        <v>13319</v>
      </c>
      <c r="P207">
        <v>0</v>
      </c>
      <c r="Q207">
        <v>248431</v>
      </c>
      <c r="R207">
        <v>0</v>
      </c>
      <c r="S207">
        <v>0</v>
      </c>
      <c r="T207">
        <v>83738</v>
      </c>
      <c r="U207">
        <v>72049</v>
      </c>
      <c r="V207">
        <v>236927</v>
      </c>
      <c r="W207">
        <v>95191</v>
      </c>
      <c r="X207">
        <v>0</v>
      </c>
      <c r="Y207">
        <v>95470</v>
      </c>
      <c r="Z207">
        <v>0</v>
      </c>
      <c r="AA207">
        <v>67353</v>
      </c>
      <c r="AB207">
        <v>19665</v>
      </c>
      <c r="AC207">
        <v>0</v>
      </c>
      <c r="AD207">
        <v>45993</v>
      </c>
      <c r="AE207">
        <v>0</v>
      </c>
      <c r="AF207">
        <v>64113</v>
      </c>
      <c r="AG207">
        <v>97450</v>
      </c>
      <c r="AH207">
        <v>0</v>
      </c>
      <c r="AI207">
        <v>254018</v>
      </c>
      <c r="AJ207">
        <v>0</v>
      </c>
      <c r="AK207">
        <v>0</v>
      </c>
      <c r="AM207">
        <v>45947</v>
      </c>
      <c r="AN207">
        <v>0</v>
      </c>
      <c r="AO207">
        <v>0</v>
      </c>
      <c r="AP207">
        <v>0</v>
      </c>
      <c r="AQ207">
        <v>36625</v>
      </c>
      <c r="AR207">
        <v>60181</v>
      </c>
      <c r="AS207">
        <v>0</v>
      </c>
      <c r="AT207">
        <v>13499</v>
      </c>
      <c r="AU207">
        <v>0</v>
      </c>
      <c r="AV207">
        <v>30048</v>
      </c>
      <c r="AW207">
        <v>0</v>
      </c>
      <c r="AX207">
        <v>0</v>
      </c>
      <c r="AY207">
        <v>0</v>
      </c>
      <c r="AZ207">
        <v>0</v>
      </c>
      <c r="BA207">
        <v>0</v>
      </c>
      <c r="BB207">
        <v>0</v>
      </c>
      <c r="BC207">
        <v>0</v>
      </c>
      <c r="BD207">
        <v>63269</v>
      </c>
      <c r="BE207">
        <v>0</v>
      </c>
      <c r="BF207">
        <v>0</v>
      </c>
      <c r="BG207">
        <v>0</v>
      </c>
      <c r="BH207">
        <v>0</v>
      </c>
      <c r="BI207">
        <v>0</v>
      </c>
      <c r="BJ207">
        <v>0</v>
      </c>
      <c r="BK207">
        <v>10272</v>
      </c>
      <c r="BL207">
        <v>1691</v>
      </c>
      <c r="BM207">
        <v>17769</v>
      </c>
      <c r="BN207">
        <v>0</v>
      </c>
      <c r="BO207">
        <v>0</v>
      </c>
      <c r="BP207">
        <v>0</v>
      </c>
      <c r="BQ207">
        <v>123021</v>
      </c>
      <c r="BR207">
        <v>0</v>
      </c>
      <c r="BS207">
        <v>38232</v>
      </c>
      <c r="BT207">
        <v>0</v>
      </c>
      <c r="BU207">
        <v>36893</v>
      </c>
      <c r="BV207">
        <v>0</v>
      </c>
      <c r="BW207">
        <v>0</v>
      </c>
      <c r="BX207">
        <v>0</v>
      </c>
      <c r="BY207">
        <v>0</v>
      </c>
      <c r="BZ207">
        <v>0</v>
      </c>
      <c r="CA207">
        <v>0</v>
      </c>
      <c r="CB207">
        <v>0</v>
      </c>
      <c r="CD207">
        <v>0</v>
      </c>
    </row>
    <row r="208" spans="1:82" x14ac:dyDescent="0.3">
      <c r="A208" s="155">
        <v>599</v>
      </c>
      <c r="B208" t="s">
        <v>342</v>
      </c>
      <c r="D208">
        <v>8976</v>
      </c>
      <c r="E208">
        <v>0</v>
      </c>
      <c r="F208">
        <v>120945</v>
      </c>
      <c r="G208">
        <v>0</v>
      </c>
      <c r="H208">
        <v>0</v>
      </c>
      <c r="I208">
        <v>0</v>
      </c>
      <c r="J208">
        <v>0</v>
      </c>
      <c r="K208">
        <v>0</v>
      </c>
      <c r="L208">
        <v>0</v>
      </c>
      <c r="M208">
        <v>1297791</v>
      </c>
      <c r="N208">
        <v>88361</v>
      </c>
      <c r="O208">
        <v>467329</v>
      </c>
      <c r="P208">
        <v>0</v>
      </c>
      <c r="Q208">
        <v>5026861</v>
      </c>
      <c r="R208">
        <v>0</v>
      </c>
      <c r="S208">
        <v>0</v>
      </c>
      <c r="T208">
        <v>4780028</v>
      </c>
      <c r="U208">
        <v>1955798</v>
      </c>
      <c r="V208">
        <v>3165133</v>
      </c>
      <c r="W208">
        <v>2468521</v>
      </c>
      <c r="X208">
        <v>0</v>
      </c>
      <c r="Y208">
        <v>1852418</v>
      </c>
      <c r="Z208">
        <v>75020</v>
      </c>
      <c r="AA208">
        <v>1636920</v>
      </c>
      <c r="AB208">
        <v>566453</v>
      </c>
      <c r="AC208">
        <v>0</v>
      </c>
      <c r="AD208">
        <v>486352</v>
      </c>
      <c r="AE208">
        <v>348600</v>
      </c>
      <c r="AF208">
        <v>1303038</v>
      </c>
      <c r="AG208">
        <v>473045</v>
      </c>
      <c r="AH208">
        <v>15576</v>
      </c>
      <c r="AI208">
        <v>3630645</v>
      </c>
      <c r="AJ208">
        <v>0</v>
      </c>
      <c r="AK208">
        <v>141703</v>
      </c>
      <c r="AM208">
        <v>1354197</v>
      </c>
      <c r="AN208">
        <v>93728</v>
      </c>
      <c r="AO208">
        <v>32437</v>
      </c>
      <c r="AP208">
        <v>0</v>
      </c>
      <c r="AQ208">
        <v>357351</v>
      </c>
      <c r="AR208">
        <v>981757</v>
      </c>
      <c r="AS208">
        <v>35073</v>
      </c>
      <c r="AT208">
        <v>209715</v>
      </c>
      <c r="AU208">
        <v>0</v>
      </c>
      <c r="AV208">
        <v>1053145</v>
      </c>
      <c r="AW208">
        <v>0</v>
      </c>
      <c r="AX208">
        <v>129041</v>
      </c>
      <c r="AY208">
        <v>344947</v>
      </c>
      <c r="AZ208">
        <v>109454</v>
      </c>
      <c r="BA208">
        <v>0</v>
      </c>
      <c r="BB208">
        <v>0</v>
      </c>
      <c r="BC208">
        <v>0</v>
      </c>
      <c r="BD208">
        <v>999302</v>
      </c>
      <c r="BE208">
        <v>0</v>
      </c>
      <c r="BF208">
        <v>4089</v>
      </c>
      <c r="BG208">
        <v>0</v>
      </c>
      <c r="BH208">
        <v>0</v>
      </c>
      <c r="BI208">
        <v>0</v>
      </c>
      <c r="BJ208">
        <v>0</v>
      </c>
      <c r="BK208">
        <v>400139</v>
      </c>
      <c r="BL208">
        <v>133698</v>
      </c>
      <c r="BM208">
        <v>148499</v>
      </c>
      <c r="BN208">
        <v>167203</v>
      </c>
      <c r="BO208">
        <v>213134</v>
      </c>
      <c r="BP208">
        <v>164101</v>
      </c>
      <c r="BQ208">
        <v>1687722</v>
      </c>
      <c r="BR208">
        <v>95065</v>
      </c>
      <c r="BS208">
        <v>1926028</v>
      </c>
      <c r="BT208">
        <v>95779</v>
      </c>
      <c r="BU208">
        <v>675832</v>
      </c>
      <c r="BV208">
        <v>0</v>
      </c>
      <c r="BW208">
        <v>192148</v>
      </c>
      <c r="BX208">
        <v>41965</v>
      </c>
      <c r="BY208">
        <v>0</v>
      </c>
      <c r="BZ208">
        <v>0</v>
      </c>
      <c r="CA208">
        <v>0</v>
      </c>
      <c r="CB208">
        <v>63357</v>
      </c>
      <c r="CD208">
        <v>0</v>
      </c>
    </row>
    <row r="209" spans="1:82" x14ac:dyDescent="0.3">
      <c r="A209" s="155">
        <v>602</v>
      </c>
      <c r="B209" t="s">
        <v>344</v>
      </c>
      <c r="D209">
        <v>0</v>
      </c>
      <c r="E209">
        <v>0</v>
      </c>
      <c r="F209">
        <v>0</v>
      </c>
      <c r="G209">
        <v>0</v>
      </c>
      <c r="H209">
        <v>0</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0</v>
      </c>
      <c r="AK209">
        <v>0</v>
      </c>
      <c r="AM209">
        <v>0</v>
      </c>
      <c r="AN209">
        <v>0</v>
      </c>
      <c r="AO209">
        <v>0</v>
      </c>
      <c r="AP209">
        <v>0</v>
      </c>
      <c r="AQ209">
        <v>0</v>
      </c>
      <c r="AR209">
        <v>0</v>
      </c>
      <c r="AS209">
        <v>0</v>
      </c>
      <c r="AT209">
        <v>0</v>
      </c>
      <c r="AU209">
        <v>0</v>
      </c>
      <c r="AV209">
        <v>0</v>
      </c>
      <c r="AW209">
        <v>0</v>
      </c>
      <c r="AX209">
        <v>0</v>
      </c>
      <c r="AY209">
        <v>0</v>
      </c>
      <c r="AZ209">
        <v>0</v>
      </c>
      <c r="BA209">
        <v>0</v>
      </c>
      <c r="BB209">
        <v>0</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0</v>
      </c>
      <c r="BY209">
        <v>0</v>
      </c>
      <c r="BZ209">
        <v>0</v>
      </c>
      <c r="CA209">
        <v>0</v>
      </c>
      <c r="CB209">
        <v>0</v>
      </c>
      <c r="CD209">
        <v>0</v>
      </c>
    </row>
    <row r="210" spans="1:82" x14ac:dyDescent="0.3">
      <c r="A210" s="155">
        <v>606</v>
      </c>
      <c r="B210" t="s">
        <v>956</v>
      </c>
      <c r="F210">
        <v>1</v>
      </c>
      <c r="M210">
        <v>1</v>
      </c>
      <c r="O210">
        <v>1</v>
      </c>
      <c r="Q210">
        <v>1</v>
      </c>
      <c r="T210">
        <v>1</v>
      </c>
      <c r="U210">
        <v>1</v>
      </c>
      <c r="V210">
        <v>1</v>
      </c>
      <c r="W210">
        <v>1</v>
      </c>
      <c r="Y210">
        <v>1</v>
      </c>
      <c r="AB210">
        <v>1</v>
      </c>
      <c r="AI210">
        <v>1</v>
      </c>
      <c r="AQ210">
        <v>1</v>
      </c>
      <c r="AV210">
        <v>1</v>
      </c>
      <c r="AY210">
        <v>1</v>
      </c>
      <c r="BD210">
        <v>1</v>
      </c>
      <c r="BG210">
        <v>1</v>
      </c>
      <c r="BM210">
        <v>1</v>
      </c>
      <c r="BO210">
        <v>1</v>
      </c>
      <c r="BW210">
        <v>1</v>
      </c>
      <c r="BZ210">
        <v>1</v>
      </c>
    </row>
    <row r="211" spans="1:82" x14ac:dyDescent="0.3">
      <c r="A211" s="155">
        <v>619</v>
      </c>
      <c r="B211" t="s">
        <v>957</v>
      </c>
      <c r="D211">
        <v>0</v>
      </c>
      <c r="E211">
        <v>0</v>
      </c>
      <c r="F211">
        <v>52.1</v>
      </c>
      <c r="G211">
        <v>0</v>
      </c>
      <c r="H211">
        <v>0</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0</v>
      </c>
      <c r="AI211">
        <v>0</v>
      </c>
      <c r="AJ211">
        <v>0</v>
      </c>
      <c r="AK211">
        <v>0</v>
      </c>
      <c r="AM211">
        <v>0</v>
      </c>
      <c r="AN211">
        <v>0</v>
      </c>
      <c r="AO211">
        <v>0</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0</v>
      </c>
      <c r="BY211">
        <v>0</v>
      </c>
      <c r="BZ211">
        <v>0</v>
      </c>
      <c r="CA211">
        <v>0</v>
      </c>
      <c r="CB211">
        <v>0</v>
      </c>
      <c r="CD211">
        <v>0</v>
      </c>
    </row>
    <row r="212" spans="1:82" x14ac:dyDescent="0.3">
      <c r="A212" s="155">
        <v>620</v>
      </c>
      <c r="B212" t="s">
        <v>958</v>
      </c>
      <c r="D212">
        <v>2</v>
      </c>
      <c r="E212">
        <v>2</v>
      </c>
      <c r="F212">
        <v>2</v>
      </c>
      <c r="G212">
        <v>2</v>
      </c>
      <c r="H212">
        <v>1</v>
      </c>
      <c r="I212">
        <v>2</v>
      </c>
      <c r="J212">
        <v>1</v>
      </c>
      <c r="K212">
        <v>2</v>
      </c>
      <c r="L212">
        <v>2</v>
      </c>
      <c r="M212">
        <v>2</v>
      </c>
      <c r="N212">
        <v>2</v>
      </c>
      <c r="O212">
        <v>1</v>
      </c>
      <c r="P212">
        <v>2</v>
      </c>
      <c r="Q212">
        <v>2</v>
      </c>
      <c r="R212">
        <v>2</v>
      </c>
      <c r="S212">
        <v>2</v>
      </c>
      <c r="T212">
        <v>2</v>
      </c>
      <c r="U212">
        <v>1</v>
      </c>
      <c r="V212">
        <v>1</v>
      </c>
      <c r="W212">
        <v>1</v>
      </c>
      <c r="X212">
        <v>2</v>
      </c>
      <c r="Y212">
        <v>1</v>
      </c>
      <c r="Z212">
        <v>2</v>
      </c>
      <c r="AA212">
        <v>1</v>
      </c>
      <c r="AB212">
        <v>2</v>
      </c>
      <c r="AC212">
        <v>2</v>
      </c>
      <c r="AD212">
        <v>1</v>
      </c>
      <c r="AE212">
        <v>2</v>
      </c>
      <c r="AF212">
        <v>1</v>
      </c>
      <c r="AG212">
        <v>2</v>
      </c>
      <c r="AH212">
        <v>2</v>
      </c>
      <c r="AI212">
        <v>1</v>
      </c>
      <c r="AJ212">
        <v>2</v>
      </c>
      <c r="AK212">
        <v>2</v>
      </c>
      <c r="AM212">
        <v>1</v>
      </c>
      <c r="AN212">
        <v>2</v>
      </c>
      <c r="AO212">
        <v>2</v>
      </c>
      <c r="AP212">
        <v>2</v>
      </c>
      <c r="AQ212">
        <v>1</v>
      </c>
      <c r="AR212">
        <v>2</v>
      </c>
      <c r="AS212">
        <v>2</v>
      </c>
      <c r="AT212">
        <v>2</v>
      </c>
      <c r="AU212">
        <v>2</v>
      </c>
      <c r="AV212">
        <v>1</v>
      </c>
      <c r="AW212">
        <v>1</v>
      </c>
      <c r="AX212">
        <v>2</v>
      </c>
      <c r="AY212">
        <v>2</v>
      </c>
      <c r="AZ212">
        <v>2</v>
      </c>
      <c r="BA212">
        <v>2</v>
      </c>
      <c r="BB212">
        <v>2</v>
      </c>
      <c r="BC212">
        <v>2</v>
      </c>
      <c r="BD212">
        <v>2</v>
      </c>
      <c r="BE212">
        <v>2</v>
      </c>
      <c r="BF212">
        <v>2</v>
      </c>
      <c r="BG212">
        <v>0</v>
      </c>
      <c r="BH212">
        <v>2</v>
      </c>
      <c r="BI212">
        <v>2</v>
      </c>
      <c r="BJ212">
        <v>2</v>
      </c>
      <c r="BK212">
        <v>2</v>
      </c>
      <c r="BL212">
        <v>2</v>
      </c>
      <c r="BM212">
        <v>2</v>
      </c>
      <c r="BN212">
        <v>2</v>
      </c>
      <c r="BO212">
        <v>2</v>
      </c>
      <c r="BP212">
        <v>2</v>
      </c>
      <c r="BQ212">
        <v>2</v>
      </c>
      <c r="BR212">
        <v>2</v>
      </c>
      <c r="BS212">
        <v>2</v>
      </c>
      <c r="BT212">
        <v>2</v>
      </c>
      <c r="BU212">
        <v>1</v>
      </c>
      <c r="BV212">
        <v>2</v>
      </c>
      <c r="BW212">
        <v>2</v>
      </c>
      <c r="BX212">
        <v>2</v>
      </c>
      <c r="BY212">
        <v>2</v>
      </c>
      <c r="BZ212">
        <v>2</v>
      </c>
      <c r="CA212">
        <v>2</v>
      </c>
      <c r="CB212">
        <v>1</v>
      </c>
      <c r="CD212">
        <v>2</v>
      </c>
    </row>
    <row r="213" spans="1:82" x14ac:dyDescent="0.3">
      <c r="A213" s="155">
        <v>621</v>
      </c>
      <c r="B213" t="s">
        <v>959</v>
      </c>
      <c r="D213">
        <v>0</v>
      </c>
      <c r="E213">
        <v>0</v>
      </c>
      <c r="F213">
        <v>0</v>
      </c>
      <c r="G213">
        <v>0</v>
      </c>
      <c r="H213">
        <v>0</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0</v>
      </c>
      <c r="AF213">
        <v>0</v>
      </c>
      <c r="AG213">
        <v>0</v>
      </c>
      <c r="AH213">
        <v>0</v>
      </c>
      <c r="AI213">
        <v>0</v>
      </c>
      <c r="AJ213">
        <v>0</v>
      </c>
      <c r="AK213">
        <v>0</v>
      </c>
      <c r="AM213">
        <v>0</v>
      </c>
      <c r="AN213">
        <v>0</v>
      </c>
      <c r="AO213">
        <v>0</v>
      </c>
      <c r="AP213">
        <v>0</v>
      </c>
      <c r="AQ213">
        <v>0</v>
      </c>
      <c r="AR213">
        <v>0</v>
      </c>
      <c r="AS213">
        <v>0</v>
      </c>
      <c r="AT213">
        <v>0</v>
      </c>
      <c r="AU213">
        <v>0</v>
      </c>
      <c r="AV213">
        <v>0</v>
      </c>
      <c r="AW213">
        <v>0</v>
      </c>
      <c r="AX213">
        <v>0</v>
      </c>
      <c r="AY213">
        <v>0</v>
      </c>
      <c r="AZ213">
        <v>0</v>
      </c>
      <c r="BA213">
        <v>0</v>
      </c>
      <c r="BB213">
        <v>0</v>
      </c>
      <c r="BC213">
        <v>0</v>
      </c>
      <c r="BD213">
        <v>0</v>
      </c>
      <c r="BE213">
        <v>0</v>
      </c>
      <c r="BF213">
        <v>0</v>
      </c>
      <c r="BG213">
        <v>0</v>
      </c>
      <c r="BH213">
        <v>0</v>
      </c>
      <c r="BI213">
        <v>0</v>
      </c>
      <c r="BJ213">
        <v>0</v>
      </c>
      <c r="BK213">
        <v>0</v>
      </c>
      <c r="BL213">
        <v>0</v>
      </c>
      <c r="BM213">
        <v>0</v>
      </c>
      <c r="BN213">
        <v>0</v>
      </c>
      <c r="BO213">
        <v>0</v>
      </c>
      <c r="BP213">
        <v>0</v>
      </c>
      <c r="BQ213">
        <v>0</v>
      </c>
      <c r="BR213">
        <v>0</v>
      </c>
      <c r="BS213">
        <v>0</v>
      </c>
      <c r="BT213">
        <v>0</v>
      </c>
      <c r="BU213">
        <v>0</v>
      </c>
      <c r="BV213">
        <v>0</v>
      </c>
      <c r="BW213">
        <v>0</v>
      </c>
      <c r="BX213">
        <v>0</v>
      </c>
      <c r="BY213">
        <v>0</v>
      </c>
      <c r="BZ213">
        <v>0</v>
      </c>
      <c r="CA213">
        <v>0</v>
      </c>
      <c r="CB213">
        <v>0</v>
      </c>
      <c r="CD213">
        <v>0</v>
      </c>
    </row>
    <row r="214" spans="1:82" x14ac:dyDescent="0.3">
      <c r="A214" s="155">
        <v>622</v>
      </c>
      <c r="B214" t="s">
        <v>960</v>
      </c>
      <c r="D214">
        <v>0</v>
      </c>
      <c r="E214">
        <v>0</v>
      </c>
      <c r="F214">
        <v>173311</v>
      </c>
      <c r="G214">
        <v>131859</v>
      </c>
      <c r="H214">
        <v>15366</v>
      </c>
      <c r="I214">
        <v>207975</v>
      </c>
      <c r="J214">
        <v>0</v>
      </c>
      <c r="K214">
        <v>0</v>
      </c>
      <c r="L214">
        <v>0</v>
      </c>
      <c r="M214">
        <v>2962013</v>
      </c>
      <c r="N214">
        <v>125427</v>
      </c>
      <c r="O214">
        <v>1115266</v>
      </c>
      <c r="P214">
        <v>0</v>
      </c>
      <c r="Q214">
        <v>13730889</v>
      </c>
      <c r="R214">
        <v>330542</v>
      </c>
      <c r="S214">
        <v>0</v>
      </c>
      <c r="T214">
        <v>13423932</v>
      </c>
      <c r="U214">
        <v>5346547</v>
      </c>
      <c r="V214">
        <v>6838823</v>
      </c>
      <c r="W214">
        <v>6248493</v>
      </c>
      <c r="X214">
        <v>6790</v>
      </c>
      <c r="Y214">
        <v>3354018</v>
      </c>
      <c r="Z214">
        <v>315891</v>
      </c>
      <c r="AA214">
        <v>3906827</v>
      </c>
      <c r="AB214">
        <v>1180660</v>
      </c>
      <c r="AC214">
        <v>247638</v>
      </c>
      <c r="AD214">
        <v>394506</v>
      </c>
      <c r="AE214">
        <v>746846</v>
      </c>
      <c r="AF214">
        <v>3431204</v>
      </c>
      <c r="AG214">
        <v>1511559</v>
      </c>
      <c r="AH214">
        <v>127930</v>
      </c>
      <c r="AI214">
        <v>11900223</v>
      </c>
      <c r="AJ214">
        <v>23942</v>
      </c>
      <c r="AK214">
        <v>247638</v>
      </c>
      <c r="AM214">
        <v>4877010</v>
      </c>
      <c r="AN214">
        <v>0</v>
      </c>
      <c r="AO214">
        <v>196896</v>
      </c>
      <c r="AP214">
        <v>0</v>
      </c>
      <c r="AQ214">
        <v>969828</v>
      </c>
      <c r="AR214">
        <v>1527997</v>
      </c>
      <c r="AS214">
        <v>0</v>
      </c>
      <c r="AT214">
        <v>386287</v>
      </c>
      <c r="AU214">
        <v>21083</v>
      </c>
      <c r="AV214">
        <v>3416910</v>
      </c>
      <c r="AW214">
        <v>175813</v>
      </c>
      <c r="AX214">
        <v>427382</v>
      </c>
      <c r="AY214">
        <v>1356115</v>
      </c>
      <c r="AZ214">
        <v>179029</v>
      </c>
      <c r="BA214">
        <v>269436</v>
      </c>
      <c r="BB214">
        <v>0</v>
      </c>
      <c r="BC214">
        <v>0</v>
      </c>
      <c r="BD214">
        <v>2203374</v>
      </c>
      <c r="BE214">
        <v>0</v>
      </c>
      <c r="BF214">
        <v>50385</v>
      </c>
      <c r="BG214">
        <v>0</v>
      </c>
      <c r="BH214">
        <v>0</v>
      </c>
      <c r="BI214">
        <v>20726</v>
      </c>
      <c r="BJ214">
        <v>0</v>
      </c>
      <c r="BK214">
        <v>914440</v>
      </c>
      <c r="BL214">
        <v>232987</v>
      </c>
      <c r="BM214">
        <v>379498</v>
      </c>
      <c r="BN214">
        <v>1087036</v>
      </c>
      <c r="BO214">
        <v>263004</v>
      </c>
      <c r="BP214">
        <v>169023</v>
      </c>
      <c r="BQ214">
        <v>3736674</v>
      </c>
      <c r="BR214">
        <v>475623</v>
      </c>
      <c r="BS214">
        <v>2517479</v>
      </c>
      <c r="BT214">
        <v>90050</v>
      </c>
      <c r="BU214">
        <v>1404714</v>
      </c>
      <c r="BV214">
        <v>0</v>
      </c>
      <c r="BW214">
        <v>383777</v>
      </c>
      <c r="BX214">
        <v>173311</v>
      </c>
      <c r="BY214">
        <v>0</v>
      </c>
      <c r="BZ214">
        <v>6075</v>
      </c>
      <c r="CA214">
        <v>0</v>
      </c>
      <c r="CB214">
        <v>257644</v>
      </c>
      <c r="CD214">
        <v>0</v>
      </c>
    </row>
    <row r="215" spans="1:82" x14ac:dyDescent="0.3">
      <c r="A215" s="155">
        <v>624</v>
      </c>
      <c r="B215" t="s">
        <v>357</v>
      </c>
      <c r="D215">
        <v>1</v>
      </c>
      <c r="E215">
        <v>1</v>
      </c>
      <c r="F215">
        <v>2</v>
      </c>
      <c r="G215">
        <v>1</v>
      </c>
      <c r="H215">
        <v>2</v>
      </c>
      <c r="I215">
        <v>2</v>
      </c>
      <c r="J215">
        <v>1</v>
      </c>
      <c r="K215">
        <v>1</v>
      </c>
      <c r="L215">
        <v>1</v>
      </c>
      <c r="M215">
        <v>1</v>
      </c>
      <c r="N215">
        <v>1</v>
      </c>
      <c r="O215">
        <v>1</v>
      </c>
      <c r="P215">
        <v>1</v>
      </c>
      <c r="Q215">
        <v>2</v>
      </c>
      <c r="R215">
        <v>1</v>
      </c>
      <c r="S215">
        <v>0</v>
      </c>
      <c r="T215">
        <v>1</v>
      </c>
      <c r="U215">
        <v>2</v>
      </c>
      <c r="V215">
        <v>2</v>
      </c>
      <c r="W215">
        <v>1</v>
      </c>
      <c r="X215">
        <v>1</v>
      </c>
      <c r="Y215">
        <v>2</v>
      </c>
      <c r="Z215">
        <v>1</v>
      </c>
      <c r="AA215">
        <v>1</v>
      </c>
      <c r="AB215">
        <v>1</v>
      </c>
      <c r="AC215">
        <v>1</v>
      </c>
      <c r="AD215">
        <v>1</v>
      </c>
      <c r="AE215">
        <v>1</v>
      </c>
      <c r="AF215">
        <v>2</v>
      </c>
      <c r="AG215">
        <v>1</v>
      </c>
      <c r="AH215">
        <v>1</v>
      </c>
      <c r="AI215">
        <v>1</v>
      </c>
      <c r="AJ215">
        <v>1</v>
      </c>
      <c r="AK215">
        <v>2</v>
      </c>
      <c r="AM215">
        <v>1</v>
      </c>
      <c r="AN215">
        <v>2</v>
      </c>
      <c r="AO215">
        <v>1</v>
      </c>
      <c r="AP215">
        <v>2</v>
      </c>
      <c r="AQ215">
        <v>1</v>
      </c>
      <c r="AR215">
        <v>1</v>
      </c>
      <c r="AS215">
        <v>0</v>
      </c>
      <c r="AT215">
        <v>2</v>
      </c>
      <c r="AU215">
        <v>1</v>
      </c>
      <c r="AV215">
        <v>2</v>
      </c>
      <c r="AW215">
        <v>1</v>
      </c>
      <c r="AX215">
        <v>1</v>
      </c>
      <c r="AY215">
        <v>2</v>
      </c>
      <c r="AZ215">
        <v>2</v>
      </c>
      <c r="BA215">
        <v>1</v>
      </c>
      <c r="BB215">
        <v>2</v>
      </c>
      <c r="BC215">
        <v>1</v>
      </c>
      <c r="BD215">
        <v>1</v>
      </c>
      <c r="BE215">
        <v>2</v>
      </c>
      <c r="BF215">
        <v>2</v>
      </c>
      <c r="BG215">
        <v>1</v>
      </c>
      <c r="BH215">
        <v>1</v>
      </c>
      <c r="BI215">
        <v>1</v>
      </c>
      <c r="BJ215">
        <v>1</v>
      </c>
      <c r="BK215">
        <v>2</v>
      </c>
      <c r="BL215">
        <v>2</v>
      </c>
      <c r="BM215">
        <v>1</v>
      </c>
      <c r="BN215">
        <v>2</v>
      </c>
      <c r="BO215">
        <v>1</v>
      </c>
      <c r="BP215">
        <v>2</v>
      </c>
      <c r="BQ215">
        <v>1</v>
      </c>
      <c r="BR215">
        <v>2</v>
      </c>
      <c r="BS215">
        <v>1</v>
      </c>
      <c r="BT215">
        <v>1</v>
      </c>
      <c r="BU215">
        <v>2</v>
      </c>
      <c r="BV215">
        <v>1</v>
      </c>
      <c r="BW215">
        <v>1</v>
      </c>
      <c r="BX215">
        <v>1</v>
      </c>
      <c r="BY215">
        <v>1</v>
      </c>
      <c r="BZ215">
        <v>1</v>
      </c>
      <c r="CA215">
        <v>1</v>
      </c>
      <c r="CB215">
        <v>1</v>
      </c>
      <c r="CD215">
        <v>1</v>
      </c>
    </row>
    <row r="216" spans="1:82" x14ac:dyDescent="0.3">
      <c r="A216" s="155">
        <v>626</v>
      </c>
      <c r="B216" t="s">
        <v>961</v>
      </c>
      <c r="D216">
        <v>71865</v>
      </c>
      <c r="E216">
        <v>6984</v>
      </c>
      <c r="F216">
        <v>35382</v>
      </c>
      <c r="G216">
        <v>109158</v>
      </c>
      <c r="H216">
        <v>62428</v>
      </c>
      <c r="I216">
        <v>51855</v>
      </c>
      <c r="J216">
        <v>322</v>
      </c>
      <c r="K216">
        <v>1996</v>
      </c>
      <c r="L216">
        <v>6482</v>
      </c>
      <c r="M216">
        <v>1421950</v>
      </c>
      <c r="N216">
        <v>39205</v>
      </c>
      <c r="O216">
        <v>472333</v>
      </c>
      <c r="P216">
        <v>2011</v>
      </c>
      <c r="Q216">
        <v>6533116</v>
      </c>
      <c r="R216">
        <v>143018</v>
      </c>
      <c r="S216">
        <v>4092</v>
      </c>
      <c r="T216">
        <v>19468452</v>
      </c>
      <c r="U216">
        <v>2667399</v>
      </c>
      <c r="V216">
        <v>5306216</v>
      </c>
      <c r="W216">
        <v>6632364</v>
      </c>
      <c r="X216">
        <v>22361</v>
      </c>
      <c r="Y216">
        <v>1864753</v>
      </c>
      <c r="Z216">
        <v>32504</v>
      </c>
      <c r="AA216">
        <v>1600295</v>
      </c>
      <c r="AB216">
        <v>267349</v>
      </c>
      <c r="AC216">
        <v>147229</v>
      </c>
      <c r="AD216">
        <v>61768</v>
      </c>
      <c r="AE216">
        <v>145396</v>
      </c>
      <c r="AF216">
        <v>4804372</v>
      </c>
      <c r="AG216">
        <v>347220</v>
      </c>
      <c r="AH216">
        <v>11958</v>
      </c>
      <c r="AI216">
        <v>11734326</v>
      </c>
      <c r="AJ216">
        <v>14310</v>
      </c>
      <c r="AK216">
        <v>9169</v>
      </c>
      <c r="AM216">
        <v>2400724</v>
      </c>
      <c r="AN216">
        <v>30258</v>
      </c>
      <c r="AO216">
        <v>30036</v>
      </c>
      <c r="AP216">
        <v>0</v>
      </c>
      <c r="AQ216">
        <v>786919</v>
      </c>
      <c r="AR216">
        <v>407976</v>
      </c>
      <c r="AS216">
        <v>20677</v>
      </c>
      <c r="AT216">
        <v>205978</v>
      </c>
      <c r="AU216">
        <v>16678</v>
      </c>
      <c r="AV216">
        <v>340036</v>
      </c>
      <c r="AW216">
        <v>342326</v>
      </c>
      <c r="AX216">
        <v>68409</v>
      </c>
      <c r="AY216">
        <v>2656423</v>
      </c>
      <c r="AZ216">
        <v>129621</v>
      </c>
      <c r="BA216">
        <v>81095</v>
      </c>
      <c r="BB216">
        <v>0</v>
      </c>
      <c r="BC216">
        <v>48002</v>
      </c>
      <c r="BD216">
        <v>893210</v>
      </c>
      <c r="BE216">
        <v>2846</v>
      </c>
      <c r="BF216">
        <v>2804</v>
      </c>
      <c r="BG216">
        <v>13361</v>
      </c>
      <c r="BH216">
        <v>1121</v>
      </c>
      <c r="BI216">
        <v>2862</v>
      </c>
      <c r="BJ216">
        <v>82516</v>
      </c>
      <c r="BK216">
        <v>973721</v>
      </c>
      <c r="BL216">
        <v>23815</v>
      </c>
      <c r="BM216">
        <v>167888</v>
      </c>
      <c r="BN216">
        <v>474823</v>
      </c>
      <c r="BO216">
        <v>105533</v>
      </c>
      <c r="BP216">
        <v>107062</v>
      </c>
      <c r="BQ216">
        <v>1809761</v>
      </c>
      <c r="BR216">
        <v>124599</v>
      </c>
      <c r="BS216">
        <v>2061370</v>
      </c>
      <c r="BT216">
        <v>28619</v>
      </c>
      <c r="BU216">
        <v>1233922</v>
      </c>
      <c r="BV216">
        <v>50002</v>
      </c>
      <c r="BW216">
        <v>197064</v>
      </c>
      <c r="BX216">
        <v>49597</v>
      </c>
      <c r="BY216">
        <v>2229</v>
      </c>
      <c r="BZ216">
        <v>117574</v>
      </c>
      <c r="CA216">
        <v>8136</v>
      </c>
      <c r="CB216">
        <v>172194</v>
      </c>
      <c r="CD216">
        <v>20738</v>
      </c>
    </row>
    <row r="217" spans="1:82" x14ac:dyDescent="0.3">
      <c r="A217" s="155">
        <v>627</v>
      </c>
      <c r="B217" t="s">
        <v>962</v>
      </c>
      <c r="D217">
        <v>0</v>
      </c>
      <c r="E217">
        <v>0</v>
      </c>
      <c r="F217">
        <v>0</v>
      </c>
      <c r="G217">
        <v>0</v>
      </c>
      <c r="H217">
        <v>0</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M217">
        <v>0</v>
      </c>
      <c r="AN217">
        <v>0</v>
      </c>
      <c r="AO217">
        <v>0</v>
      </c>
      <c r="AP217">
        <v>0</v>
      </c>
      <c r="AQ217">
        <v>0</v>
      </c>
      <c r="AR217">
        <v>0</v>
      </c>
      <c r="AS217">
        <v>0</v>
      </c>
      <c r="AT217">
        <v>93354</v>
      </c>
      <c r="AU217">
        <v>0</v>
      </c>
      <c r="AV217">
        <v>0</v>
      </c>
      <c r="AW217">
        <v>0</v>
      </c>
      <c r="AX217">
        <v>0</v>
      </c>
      <c r="AY217">
        <v>0</v>
      </c>
      <c r="AZ217">
        <v>0</v>
      </c>
      <c r="BA217">
        <v>0</v>
      </c>
      <c r="BB217">
        <v>0</v>
      </c>
      <c r="BC217">
        <v>0</v>
      </c>
      <c r="BD217">
        <v>0</v>
      </c>
      <c r="BE217">
        <v>0</v>
      </c>
      <c r="BF217">
        <v>0</v>
      </c>
      <c r="BG217">
        <v>0</v>
      </c>
      <c r="BH217">
        <v>0</v>
      </c>
      <c r="BI217">
        <v>0</v>
      </c>
      <c r="BJ217">
        <v>0</v>
      </c>
      <c r="BK217">
        <v>0</v>
      </c>
      <c r="BL217">
        <v>0</v>
      </c>
      <c r="BM217">
        <v>0</v>
      </c>
      <c r="BN217">
        <v>0</v>
      </c>
      <c r="BO217">
        <v>0</v>
      </c>
      <c r="BP217">
        <v>0</v>
      </c>
      <c r="BQ217">
        <v>0</v>
      </c>
      <c r="BR217">
        <v>19243</v>
      </c>
      <c r="BS217">
        <v>0</v>
      </c>
      <c r="BT217">
        <v>0</v>
      </c>
      <c r="BU217">
        <v>0</v>
      </c>
      <c r="BV217">
        <v>0</v>
      </c>
      <c r="BW217">
        <v>0</v>
      </c>
      <c r="BX217">
        <v>0</v>
      </c>
      <c r="BY217">
        <v>0</v>
      </c>
      <c r="BZ217">
        <v>0</v>
      </c>
      <c r="CA217">
        <v>0</v>
      </c>
      <c r="CB217">
        <v>62334</v>
      </c>
      <c r="CD217">
        <v>0</v>
      </c>
    </row>
    <row r="218" spans="1:82" x14ac:dyDescent="0.3">
      <c r="A218" s="155">
        <v>628</v>
      </c>
      <c r="B218" t="s">
        <v>963</v>
      </c>
      <c r="D218">
        <v>0</v>
      </c>
      <c r="E218">
        <v>0</v>
      </c>
      <c r="F218">
        <v>0</v>
      </c>
      <c r="G218">
        <v>2144</v>
      </c>
      <c r="H218">
        <v>0</v>
      </c>
      <c r="I218">
        <v>33341</v>
      </c>
      <c r="J218">
        <v>0</v>
      </c>
      <c r="K218">
        <v>0</v>
      </c>
      <c r="L218">
        <v>0</v>
      </c>
      <c r="M218">
        <v>0</v>
      </c>
      <c r="N218">
        <v>0</v>
      </c>
      <c r="O218">
        <v>0</v>
      </c>
      <c r="P218">
        <v>0</v>
      </c>
      <c r="Q218">
        <v>1886057</v>
      </c>
      <c r="R218">
        <v>0</v>
      </c>
      <c r="S218">
        <v>0</v>
      </c>
      <c r="T218">
        <v>2004143</v>
      </c>
      <c r="U218">
        <v>532267</v>
      </c>
      <c r="V218">
        <v>89835</v>
      </c>
      <c r="W218">
        <v>1183328</v>
      </c>
      <c r="X218">
        <v>0</v>
      </c>
      <c r="Y218">
        <v>262136</v>
      </c>
      <c r="Z218">
        <v>0</v>
      </c>
      <c r="AA218">
        <v>161529</v>
      </c>
      <c r="AB218">
        <v>35000</v>
      </c>
      <c r="AC218">
        <v>0</v>
      </c>
      <c r="AD218">
        <v>19252</v>
      </c>
      <c r="AE218">
        <v>0</v>
      </c>
      <c r="AF218">
        <v>310000</v>
      </c>
      <c r="AG218">
        <v>0</v>
      </c>
      <c r="AH218">
        <v>0</v>
      </c>
      <c r="AI218">
        <v>506990</v>
      </c>
      <c r="AJ218">
        <v>0</v>
      </c>
      <c r="AK218">
        <v>0</v>
      </c>
      <c r="AM218">
        <v>313629</v>
      </c>
      <c r="AN218">
        <v>0</v>
      </c>
      <c r="AO218">
        <v>0</v>
      </c>
      <c r="AP218">
        <v>0</v>
      </c>
      <c r="AQ218">
        <v>0</v>
      </c>
      <c r="AR218">
        <v>71371</v>
      </c>
      <c r="AS218">
        <v>0</v>
      </c>
      <c r="AT218">
        <v>15440</v>
      </c>
      <c r="AU218">
        <v>0</v>
      </c>
      <c r="AV218">
        <v>0</v>
      </c>
      <c r="AW218">
        <v>22436</v>
      </c>
      <c r="AX218">
        <v>0</v>
      </c>
      <c r="AY218">
        <v>98599</v>
      </c>
      <c r="AZ218">
        <v>0</v>
      </c>
      <c r="BA218">
        <v>2611</v>
      </c>
      <c r="BB218">
        <v>0</v>
      </c>
      <c r="BC218">
        <v>0</v>
      </c>
      <c r="BD218">
        <v>142397</v>
      </c>
      <c r="BE218">
        <v>0</v>
      </c>
      <c r="BF218">
        <v>0</v>
      </c>
      <c r="BG218">
        <v>0</v>
      </c>
      <c r="BH218">
        <v>0</v>
      </c>
      <c r="BI218">
        <v>0</v>
      </c>
      <c r="BJ218">
        <v>0</v>
      </c>
      <c r="BK218">
        <v>0</v>
      </c>
      <c r="BL218">
        <v>0</v>
      </c>
      <c r="BM218">
        <v>41551</v>
      </c>
      <c r="BN218">
        <v>80000</v>
      </c>
      <c r="BO218">
        <v>0</v>
      </c>
      <c r="BP218">
        <v>0</v>
      </c>
      <c r="BQ218">
        <v>494770</v>
      </c>
      <c r="BR218">
        <v>57022</v>
      </c>
      <c r="BS218">
        <v>31470</v>
      </c>
      <c r="BT218">
        <v>1666</v>
      </c>
      <c r="BU218">
        <v>0</v>
      </c>
      <c r="BV218">
        <v>0</v>
      </c>
      <c r="BW218">
        <v>9575</v>
      </c>
      <c r="BX218">
        <v>0</v>
      </c>
      <c r="BY218">
        <v>0</v>
      </c>
      <c r="BZ218">
        <v>0</v>
      </c>
      <c r="CA218">
        <v>0</v>
      </c>
      <c r="CB218">
        <v>0</v>
      </c>
      <c r="CD218">
        <v>0</v>
      </c>
    </row>
    <row r="219" spans="1:82" x14ac:dyDescent="0.3">
      <c r="A219" s="155">
        <v>629</v>
      </c>
      <c r="B219" t="s">
        <v>964</v>
      </c>
      <c r="D219">
        <v>0</v>
      </c>
      <c r="E219">
        <v>0</v>
      </c>
      <c r="F219">
        <v>0</v>
      </c>
      <c r="G219">
        <v>0</v>
      </c>
      <c r="H219">
        <v>0</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M219">
        <v>0</v>
      </c>
      <c r="AN219">
        <v>0</v>
      </c>
      <c r="AO219">
        <v>0</v>
      </c>
      <c r="AP219">
        <v>0</v>
      </c>
      <c r="AQ219">
        <v>0</v>
      </c>
      <c r="AR219">
        <v>0</v>
      </c>
      <c r="AS219">
        <v>0</v>
      </c>
      <c r="AT219">
        <v>0</v>
      </c>
      <c r="AU219">
        <v>0</v>
      </c>
      <c r="AV219">
        <v>0</v>
      </c>
      <c r="AW219">
        <v>0</v>
      </c>
      <c r="AX219">
        <v>0</v>
      </c>
      <c r="AY219">
        <v>0</v>
      </c>
      <c r="AZ219">
        <v>0</v>
      </c>
      <c r="BA219">
        <v>0</v>
      </c>
      <c r="BB219">
        <v>0</v>
      </c>
      <c r="BC219">
        <v>0</v>
      </c>
      <c r="BD219">
        <v>0</v>
      </c>
      <c r="BE219">
        <v>0</v>
      </c>
      <c r="BF219">
        <v>0</v>
      </c>
      <c r="BG219">
        <v>0</v>
      </c>
      <c r="BH219">
        <v>0</v>
      </c>
      <c r="BI219">
        <v>0</v>
      </c>
      <c r="BJ219">
        <v>0</v>
      </c>
      <c r="BK219">
        <v>0</v>
      </c>
      <c r="BL219">
        <v>0</v>
      </c>
      <c r="BM219">
        <v>0</v>
      </c>
      <c r="BN219">
        <v>0</v>
      </c>
      <c r="BO219">
        <v>0</v>
      </c>
      <c r="BP219">
        <v>0</v>
      </c>
      <c r="BQ219">
        <v>0</v>
      </c>
      <c r="BR219">
        <v>0</v>
      </c>
      <c r="BS219">
        <v>0</v>
      </c>
      <c r="BT219">
        <v>0</v>
      </c>
      <c r="BU219">
        <v>0</v>
      </c>
      <c r="BV219">
        <v>0</v>
      </c>
      <c r="BW219">
        <v>0</v>
      </c>
      <c r="BX219">
        <v>0</v>
      </c>
      <c r="BY219">
        <v>0</v>
      </c>
      <c r="BZ219">
        <v>0</v>
      </c>
      <c r="CA219">
        <v>0</v>
      </c>
      <c r="CB219">
        <v>0</v>
      </c>
      <c r="CD219">
        <v>0</v>
      </c>
    </row>
    <row r="220" spans="1:82" x14ac:dyDescent="0.3">
      <c r="A220" s="155">
        <v>630</v>
      </c>
      <c r="B220" t="s">
        <v>965</v>
      </c>
      <c r="D220">
        <v>0</v>
      </c>
      <c r="E220">
        <v>0</v>
      </c>
      <c r="F220">
        <v>0</v>
      </c>
      <c r="G220">
        <v>0</v>
      </c>
      <c r="H220">
        <v>0</v>
      </c>
      <c r="I220">
        <v>0</v>
      </c>
      <c r="J220">
        <v>0</v>
      </c>
      <c r="K220">
        <v>0</v>
      </c>
      <c r="L220">
        <v>0</v>
      </c>
      <c r="M220">
        <v>203748</v>
      </c>
      <c r="N220">
        <v>0</v>
      </c>
      <c r="O220">
        <v>0</v>
      </c>
      <c r="P220">
        <v>0</v>
      </c>
      <c r="Q220">
        <v>235302</v>
      </c>
      <c r="R220">
        <v>0</v>
      </c>
      <c r="S220">
        <v>0</v>
      </c>
      <c r="T220">
        <v>2365979</v>
      </c>
      <c r="U220">
        <v>0</v>
      </c>
      <c r="V220">
        <v>0</v>
      </c>
      <c r="W220">
        <v>132359</v>
      </c>
      <c r="X220">
        <v>0</v>
      </c>
      <c r="Y220">
        <v>377030</v>
      </c>
      <c r="Z220">
        <v>0</v>
      </c>
      <c r="AA220">
        <v>83775</v>
      </c>
      <c r="AB220">
        <v>0</v>
      </c>
      <c r="AC220">
        <v>0</v>
      </c>
      <c r="AD220">
        <v>0</v>
      </c>
      <c r="AE220">
        <v>0</v>
      </c>
      <c r="AF220">
        <v>4300</v>
      </c>
      <c r="AG220">
        <v>0</v>
      </c>
      <c r="AH220">
        <v>0</v>
      </c>
      <c r="AI220">
        <v>0</v>
      </c>
      <c r="AJ220">
        <v>0</v>
      </c>
      <c r="AK220">
        <v>0</v>
      </c>
      <c r="AM220">
        <v>32340</v>
      </c>
      <c r="AN220">
        <v>0</v>
      </c>
      <c r="AO220">
        <v>0</v>
      </c>
      <c r="AP220">
        <v>0</v>
      </c>
      <c r="AQ220">
        <v>0</v>
      </c>
      <c r="AR220">
        <v>0</v>
      </c>
      <c r="AS220">
        <v>0</v>
      </c>
      <c r="AT220">
        <v>0</v>
      </c>
      <c r="AU220">
        <v>0</v>
      </c>
      <c r="AV220">
        <v>0</v>
      </c>
      <c r="AW220">
        <v>12905</v>
      </c>
      <c r="AX220">
        <v>33000</v>
      </c>
      <c r="AY220">
        <v>0</v>
      </c>
      <c r="AZ220">
        <v>0</v>
      </c>
      <c r="BA220">
        <v>0</v>
      </c>
      <c r="BB220">
        <v>0</v>
      </c>
      <c r="BC220">
        <v>3075</v>
      </c>
      <c r="BD220">
        <v>0</v>
      </c>
      <c r="BE220">
        <v>0</v>
      </c>
      <c r="BF220">
        <v>0</v>
      </c>
      <c r="BG220">
        <v>0</v>
      </c>
      <c r="BH220">
        <v>0</v>
      </c>
      <c r="BI220">
        <v>0</v>
      </c>
      <c r="BJ220">
        <v>0</v>
      </c>
      <c r="BK220">
        <v>0</v>
      </c>
      <c r="BL220">
        <v>0</v>
      </c>
      <c r="BM220">
        <v>0</v>
      </c>
      <c r="BN220">
        <v>26000</v>
      </c>
      <c r="BO220">
        <v>0</v>
      </c>
      <c r="BP220">
        <v>0</v>
      </c>
      <c r="BQ220">
        <v>0</v>
      </c>
      <c r="BR220">
        <v>0</v>
      </c>
      <c r="BS220">
        <v>0</v>
      </c>
      <c r="BT220">
        <v>0</v>
      </c>
      <c r="BU220">
        <v>863875</v>
      </c>
      <c r="BV220">
        <v>0</v>
      </c>
      <c r="BW220">
        <v>0</v>
      </c>
      <c r="BX220">
        <v>0</v>
      </c>
      <c r="BY220">
        <v>0</v>
      </c>
      <c r="BZ220">
        <v>0</v>
      </c>
      <c r="CA220">
        <v>0</v>
      </c>
      <c r="CB220">
        <v>0</v>
      </c>
      <c r="CD220">
        <v>0</v>
      </c>
    </row>
    <row r="221" spans="1:82" x14ac:dyDescent="0.3">
      <c r="A221" s="155">
        <v>631</v>
      </c>
      <c r="B221" t="s">
        <v>966</v>
      </c>
      <c r="D221">
        <v>0</v>
      </c>
      <c r="E221">
        <v>0</v>
      </c>
      <c r="F221">
        <v>0</v>
      </c>
      <c r="G221">
        <v>0</v>
      </c>
      <c r="H221">
        <v>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M221">
        <v>0</v>
      </c>
      <c r="AN221">
        <v>0</v>
      </c>
      <c r="AO221">
        <v>0</v>
      </c>
      <c r="AP221">
        <v>0</v>
      </c>
      <c r="AQ221">
        <v>0</v>
      </c>
      <c r="AR221">
        <v>0</v>
      </c>
      <c r="AS221">
        <v>0</v>
      </c>
      <c r="AT221">
        <v>0</v>
      </c>
      <c r="AU221">
        <v>0</v>
      </c>
      <c r="AV221">
        <v>0</v>
      </c>
      <c r="AW221">
        <v>0</v>
      </c>
      <c r="AX221">
        <v>0</v>
      </c>
      <c r="AY221">
        <v>0</v>
      </c>
      <c r="AZ221">
        <v>0</v>
      </c>
      <c r="BA221">
        <v>0</v>
      </c>
      <c r="BB221">
        <v>0</v>
      </c>
      <c r="BC221">
        <v>0</v>
      </c>
      <c r="BD221">
        <v>0</v>
      </c>
      <c r="BE221">
        <v>0</v>
      </c>
      <c r="BF221">
        <v>0</v>
      </c>
      <c r="BG221">
        <v>0</v>
      </c>
      <c r="BH221">
        <v>0</v>
      </c>
      <c r="BI221">
        <v>0</v>
      </c>
      <c r="BJ221">
        <v>0</v>
      </c>
      <c r="BK221">
        <v>0</v>
      </c>
      <c r="BL221">
        <v>0</v>
      </c>
      <c r="BM221">
        <v>0</v>
      </c>
      <c r="BN221">
        <v>0</v>
      </c>
      <c r="BO221">
        <v>0</v>
      </c>
      <c r="BP221">
        <v>0</v>
      </c>
      <c r="BQ221">
        <v>0</v>
      </c>
      <c r="BR221">
        <v>0</v>
      </c>
      <c r="BS221">
        <v>0</v>
      </c>
      <c r="BT221">
        <v>0</v>
      </c>
      <c r="BU221">
        <v>0</v>
      </c>
      <c r="BV221">
        <v>0</v>
      </c>
      <c r="BW221">
        <v>0</v>
      </c>
      <c r="BX221">
        <v>0</v>
      </c>
      <c r="BY221">
        <v>0</v>
      </c>
      <c r="BZ221">
        <v>0</v>
      </c>
      <c r="CA221">
        <v>0</v>
      </c>
      <c r="CB221">
        <v>0</v>
      </c>
      <c r="CD221">
        <v>0</v>
      </c>
    </row>
    <row r="222" spans="1:82" x14ac:dyDescent="0.3">
      <c r="A222" s="155">
        <v>632</v>
      </c>
      <c r="B222" t="s">
        <v>967</v>
      </c>
      <c r="D222">
        <v>0</v>
      </c>
      <c r="E222">
        <v>0</v>
      </c>
      <c r="F222">
        <v>0</v>
      </c>
      <c r="G222">
        <v>0</v>
      </c>
      <c r="H222">
        <v>0</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M222">
        <v>0</v>
      </c>
      <c r="AN222">
        <v>0</v>
      </c>
      <c r="AO222">
        <v>0</v>
      </c>
      <c r="AP222">
        <v>0</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0</v>
      </c>
      <c r="BY222">
        <v>0</v>
      </c>
      <c r="BZ222">
        <v>0</v>
      </c>
      <c r="CA222">
        <v>0</v>
      </c>
      <c r="CB222">
        <v>0</v>
      </c>
      <c r="CD222">
        <v>0</v>
      </c>
    </row>
    <row r="223" spans="1:82" x14ac:dyDescent="0.3">
      <c r="A223" s="155">
        <v>633</v>
      </c>
      <c r="B223" t="s">
        <v>373</v>
      </c>
      <c r="D223">
        <v>79508</v>
      </c>
      <c r="E223">
        <v>0</v>
      </c>
      <c r="F223">
        <v>502190</v>
      </c>
      <c r="G223">
        <v>0</v>
      </c>
      <c r="H223">
        <v>0</v>
      </c>
      <c r="I223">
        <v>0</v>
      </c>
      <c r="J223">
        <v>18852</v>
      </c>
      <c r="K223">
        <v>0</v>
      </c>
      <c r="L223">
        <v>0</v>
      </c>
      <c r="M223">
        <v>0</v>
      </c>
      <c r="N223">
        <v>0</v>
      </c>
      <c r="O223">
        <v>491779</v>
      </c>
      <c r="P223">
        <v>0</v>
      </c>
      <c r="Q223">
        <v>2196727</v>
      </c>
      <c r="R223">
        <v>54743</v>
      </c>
      <c r="S223">
        <v>0</v>
      </c>
      <c r="T223">
        <v>15994103</v>
      </c>
      <c r="U223">
        <v>2355639</v>
      </c>
      <c r="V223">
        <v>2280782</v>
      </c>
      <c r="W223">
        <v>0</v>
      </c>
      <c r="X223">
        <v>15142</v>
      </c>
      <c r="Y223">
        <v>1450853</v>
      </c>
      <c r="Z223">
        <v>276087</v>
      </c>
      <c r="AA223">
        <v>740515</v>
      </c>
      <c r="AB223">
        <v>579282</v>
      </c>
      <c r="AC223">
        <v>294606</v>
      </c>
      <c r="AD223">
        <v>461386</v>
      </c>
      <c r="AE223">
        <v>256131</v>
      </c>
      <c r="AF223">
        <v>720831</v>
      </c>
      <c r="AG223">
        <v>275889</v>
      </c>
      <c r="AH223">
        <v>0</v>
      </c>
      <c r="AI223">
        <v>5313118</v>
      </c>
      <c r="AJ223">
        <v>32360</v>
      </c>
      <c r="AK223">
        <v>55471</v>
      </c>
      <c r="AM223">
        <v>1603332</v>
      </c>
      <c r="AN223">
        <v>72883</v>
      </c>
      <c r="AO223">
        <v>188702</v>
      </c>
      <c r="AP223">
        <v>0</v>
      </c>
      <c r="AQ223">
        <v>0</v>
      </c>
      <c r="AR223">
        <v>912832</v>
      </c>
      <c r="AS223">
        <v>0</v>
      </c>
      <c r="AT223">
        <v>594761</v>
      </c>
      <c r="AU223">
        <v>0</v>
      </c>
      <c r="AV223">
        <v>5036144</v>
      </c>
      <c r="AW223">
        <v>0</v>
      </c>
      <c r="AX223">
        <v>301706</v>
      </c>
      <c r="AY223">
        <v>181212</v>
      </c>
      <c r="AZ223">
        <v>125480</v>
      </c>
      <c r="BA223">
        <v>93743</v>
      </c>
      <c r="BB223">
        <v>0</v>
      </c>
      <c r="BC223">
        <v>126074</v>
      </c>
      <c r="BD223">
        <v>3128883</v>
      </c>
      <c r="BE223">
        <v>0</v>
      </c>
      <c r="BF223">
        <v>105524</v>
      </c>
      <c r="BG223">
        <v>5856</v>
      </c>
      <c r="BH223">
        <v>0</v>
      </c>
      <c r="BI223">
        <v>30738</v>
      </c>
      <c r="BJ223">
        <v>0</v>
      </c>
      <c r="BK223">
        <v>341371</v>
      </c>
      <c r="BL223">
        <v>121358</v>
      </c>
      <c r="BM223">
        <v>544787</v>
      </c>
      <c r="BN223">
        <v>143606</v>
      </c>
      <c r="BO223">
        <v>159667</v>
      </c>
      <c r="BP223">
        <v>95453</v>
      </c>
      <c r="BQ223">
        <v>0</v>
      </c>
      <c r="BR223">
        <v>209375</v>
      </c>
      <c r="BS223">
        <v>0</v>
      </c>
      <c r="BT223">
        <v>73992</v>
      </c>
      <c r="BU223">
        <v>426207</v>
      </c>
      <c r="BV223">
        <v>0</v>
      </c>
      <c r="BW223">
        <v>1142782</v>
      </c>
      <c r="BX223">
        <v>51675</v>
      </c>
      <c r="BY223">
        <v>15489</v>
      </c>
      <c r="BZ223">
        <v>703727</v>
      </c>
      <c r="CA223">
        <v>24329</v>
      </c>
      <c r="CB223">
        <v>133371</v>
      </c>
      <c r="CD223">
        <v>0</v>
      </c>
    </row>
    <row r="224" spans="1:82" x14ac:dyDescent="0.3">
      <c r="A224" s="155">
        <v>634</v>
      </c>
      <c r="B224" t="s">
        <v>374</v>
      </c>
      <c r="D224">
        <v>28000</v>
      </c>
      <c r="E224">
        <v>0</v>
      </c>
      <c r="F224">
        <v>0</v>
      </c>
      <c r="G224">
        <v>0</v>
      </c>
      <c r="H224">
        <v>0</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8000</v>
      </c>
      <c r="AE224">
        <v>0</v>
      </c>
      <c r="AF224">
        <v>0</v>
      </c>
      <c r="AG224">
        <v>0</v>
      </c>
      <c r="AH224">
        <v>0</v>
      </c>
      <c r="AI224">
        <v>0</v>
      </c>
      <c r="AJ224">
        <v>0</v>
      </c>
      <c r="AK224">
        <v>0</v>
      </c>
      <c r="AM224">
        <v>0</v>
      </c>
      <c r="AN224">
        <v>0</v>
      </c>
      <c r="AO224">
        <v>0</v>
      </c>
      <c r="AP224">
        <v>0</v>
      </c>
      <c r="AQ224">
        <v>0</v>
      </c>
      <c r="AR224">
        <v>0</v>
      </c>
      <c r="AS224">
        <v>0</v>
      </c>
      <c r="AT224">
        <v>166674</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64209</v>
      </c>
      <c r="BP224">
        <v>0</v>
      </c>
      <c r="BQ224">
        <v>0</v>
      </c>
      <c r="BR224">
        <v>78693</v>
      </c>
      <c r="BS224">
        <v>0</v>
      </c>
      <c r="BT224">
        <v>0</v>
      </c>
      <c r="BU224">
        <v>18000</v>
      </c>
      <c r="BV224">
        <v>0</v>
      </c>
      <c r="BW224">
        <v>0</v>
      </c>
      <c r="BX224">
        <v>0</v>
      </c>
      <c r="BY224">
        <v>0</v>
      </c>
      <c r="BZ224">
        <v>0</v>
      </c>
      <c r="CA224">
        <v>0</v>
      </c>
      <c r="CB224">
        <v>55533</v>
      </c>
      <c r="CD224">
        <v>0</v>
      </c>
    </row>
    <row r="225" spans="1:82" x14ac:dyDescent="0.3">
      <c r="A225" s="155">
        <v>635</v>
      </c>
      <c r="B225" t="s">
        <v>375</v>
      </c>
      <c r="D225">
        <v>0</v>
      </c>
      <c r="E225">
        <v>0</v>
      </c>
      <c r="F225">
        <v>2781</v>
      </c>
      <c r="G225">
        <v>0</v>
      </c>
      <c r="H225">
        <v>0</v>
      </c>
      <c r="I225">
        <v>0</v>
      </c>
      <c r="J225">
        <v>0</v>
      </c>
      <c r="K225">
        <v>0</v>
      </c>
      <c r="L225">
        <v>0</v>
      </c>
      <c r="M225">
        <v>0</v>
      </c>
      <c r="N225">
        <v>0</v>
      </c>
      <c r="O225">
        <v>0</v>
      </c>
      <c r="P225">
        <v>0</v>
      </c>
      <c r="Q225">
        <v>239893</v>
      </c>
      <c r="R225">
        <v>0</v>
      </c>
      <c r="S225">
        <v>0</v>
      </c>
      <c r="T225">
        <v>319774</v>
      </c>
      <c r="U225">
        <v>99389</v>
      </c>
      <c r="V225">
        <v>14196</v>
      </c>
      <c r="W225">
        <v>0</v>
      </c>
      <c r="X225">
        <v>0</v>
      </c>
      <c r="Y225">
        <v>47088</v>
      </c>
      <c r="Z225">
        <v>0</v>
      </c>
      <c r="AA225">
        <v>34441</v>
      </c>
      <c r="AB225">
        <v>0</v>
      </c>
      <c r="AC225">
        <v>0</v>
      </c>
      <c r="AD225">
        <v>15915</v>
      </c>
      <c r="AE225">
        <v>9000</v>
      </c>
      <c r="AF225">
        <v>20000</v>
      </c>
      <c r="AG225">
        <v>0</v>
      </c>
      <c r="AH225">
        <v>0</v>
      </c>
      <c r="AI225">
        <v>88643</v>
      </c>
      <c r="AJ225">
        <v>0</v>
      </c>
      <c r="AK225">
        <v>0</v>
      </c>
      <c r="AM225">
        <v>59036</v>
      </c>
      <c r="AN225">
        <v>0</v>
      </c>
      <c r="AO225">
        <v>0</v>
      </c>
      <c r="AP225">
        <v>0</v>
      </c>
      <c r="AQ225">
        <v>0</v>
      </c>
      <c r="AR225">
        <v>18440</v>
      </c>
      <c r="AS225">
        <v>0</v>
      </c>
      <c r="AT225">
        <v>3203</v>
      </c>
      <c r="AU225">
        <v>0</v>
      </c>
      <c r="AV225">
        <v>142660</v>
      </c>
      <c r="AW225">
        <v>0</v>
      </c>
      <c r="AX225">
        <v>0</v>
      </c>
      <c r="AY225">
        <v>14406</v>
      </c>
      <c r="AZ225">
        <v>0</v>
      </c>
      <c r="BA225">
        <v>0</v>
      </c>
      <c r="BB225">
        <v>0</v>
      </c>
      <c r="BC225">
        <v>0</v>
      </c>
      <c r="BD225">
        <v>34023</v>
      </c>
      <c r="BE225">
        <v>0</v>
      </c>
      <c r="BF225">
        <v>0</v>
      </c>
      <c r="BG225">
        <v>0</v>
      </c>
      <c r="BH225">
        <v>0</v>
      </c>
      <c r="BI225">
        <v>0</v>
      </c>
      <c r="BJ225">
        <v>0</v>
      </c>
      <c r="BK225">
        <v>0</v>
      </c>
      <c r="BL225">
        <v>2781</v>
      </c>
      <c r="BM225">
        <v>9919</v>
      </c>
      <c r="BN225">
        <v>8000</v>
      </c>
      <c r="BO225">
        <v>0</v>
      </c>
      <c r="BP225">
        <v>0</v>
      </c>
      <c r="BQ225">
        <v>0</v>
      </c>
      <c r="BR225">
        <v>0</v>
      </c>
      <c r="BS225">
        <v>0</v>
      </c>
      <c r="BT225">
        <v>2278</v>
      </c>
      <c r="BU225">
        <v>0</v>
      </c>
      <c r="BV225">
        <v>0</v>
      </c>
      <c r="BW225">
        <v>8969</v>
      </c>
      <c r="BX225">
        <v>0</v>
      </c>
      <c r="BY225">
        <v>0</v>
      </c>
      <c r="BZ225">
        <v>0</v>
      </c>
      <c r="CA225">
        <v>0</v>
      </c>
      <c r="CB225">
        <v>0</v>
      </c>
      <c r="CD225">
        <v>0</v>
      </c>
    </row>
    <row r="226" spans="1:82" x14ac:dyDescent="0.3">
      <c r="A226" s="155">
        <v>636</v>
      </c>
      <c r="B226" t="s">
        <v>1670</v>
      </c>
      <c r="D226">
        <v>0</v>
      </c>
      <c r="E226">
        <v>0</v>
      </c>
      <c r="F226">
        <v>4364</v>
      </c>
      <c r="G226">
        <v>0</v>
      </c>
      <c r="H226">
        <v>0</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M226">
        <v>0</v>
      </c>
      <c r="AN226">
        <v>0</v>
      </c>
      <c r="AO226">
        <v>0</v>
      </c>
      <c r="AP226">
        <v>0</v>
      </c>
      <c r="AQ226">
        <v>0</v>
      </c>
      <c r="AR226">
        <v>0</v>
      </c>
      <c r="AS226">
        <v>0</v>
      </c>
      <c r="AT226">
        <v>0</v>
      </c>
      <c r="AU226">
        <v>0</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D226">
        <v>0</v>
      </c>
    </row>
    <row r="227" spans="1:82" x14ac:dyDescent="0.3">
      <c r="A227" s="155">
        <v>637</v>
      </c>
      <c r="B227" t="s">
        <v>1671</v>
      </c>
      <c r="D227">
        <v>0</v>
      </c>
      <c r="E227">
        <v>0</v>
      </c>
      <c r="F227">
        <v>67577</v>
      </c>
      <c r="G227">
        <v>0</v>
      </c>
      <c r="H227">
        <v>0</v>
      </c>
      <c r="I227">
        <v>0</v>
      </c>
      <c r="J227">
        <v>9594</v>
      </c>
      <c r="K227">
        <v>0</v>
      </c>
      <c r="L227">
        <v>0</v>
      </c>
      <c r="M227">
        <v>0</v>
      </c>
      <c r="N227">
        <v>0</v>
      </c>
      <c r="O227">
        <v>115204</v>
      </c>
      <c r="P227">
        <v>0</v>
      </c>
      <c r="Q227">
        <v>0</v>
      </c>
      <c r="R227">
        <v>6023</v>
      </c>
      <c r="S227">
        <v>0</v>
      </c>
      <c r="T227">
        <v>0</v>
      </c>
      <c r="U227">
        <v>0</v>
      </c>
      <c r="V227">
        <v>0</v>
      </c>
      <c r="W227">
        <v>0</v>
      </c>
      <c r="X227">
        <v>0</v>
      </c>
      <c r="Y227">
        <v>51419</v>
      </c>
      <c r="Z227">
        <v>0</v>
      </c>
      <c r="AA227">
        <v>277557</v>
      </c>
      <c r="AB227">
        <v>0</v>
      </c>
      <c r="AC227">
        <v>87476</v>
      </c>
      <c r="AD227">
        <v>134890</v>
      </c>
      <c r="AE227">
        <v>122509</v>
      </c>
      <c r="AF227">
        <v>447202</v>
      </c>
      <c r="AG227">
        <v>176874</v>
      </c>
      <c r="AH227">
        <v>0</v>
      </c>
      <c r="AI227">
        <v>0</v>
      </c>
      <c r="AJ227">
        <v>0</v>
      </c>
      <c r="AK227">
        <v>11900</v>
      </c>
      <c r="AM227">
        <v>106608</v>
      </c>
      <c r="AN227">
        <v>25772</v>
      </c>
      <c r="AO227">
        <v>0</v>
      </c>
      <c r="AP227">
        <v>0</v>
      </c>
      <c r="AQ227">
        <v>0</v>
      </c>
      <c r="AR227">
        <v>0</v>
      </c>
      <c r="AS227">
        <v>0</v>
      </c>
      <c r="AT227">
        <v>0</v>
      </c>
      <c r="AU227">
        <v>0</v>
      </c>
      <c r="AV227">
        <v>3390000</v>
      </c>
      <c r="AW227">
        <v>0</v>
      </c>
      <c r="AX227">
        <v>26829</v>
      </c>
      <c r="AY227">
        <v>0</v>
      </c>
      <c r="AZ227">
        <v>33600</v>
      </c>
      <c r="BA227">
        <v>0</v>
      </c>
      <c r="BB227">
        <v>0</v>
      </c>
      <c r="BC227">
        <v>9710</v>
      </c>
      <c r="BD227">
        <v>0</v>
      </c>
      <c r="BE227">
        <v>0</v>
      </c>
      <c r="BF227">
        <v>0</v>
      </c>
      <c r="BG227">
        <v>0</v>
      </c>
      <c r="BH227">
        <v>0</v>
      </c>
      <c r="BI227">
        <v>20620</v>
      </c>
      <c r="BJ227">
        <v>0</v>
      </c>
      <c r="BK227">
        <v>0</v>
      </c>
      <c r="BL227">
        <v>0</v>
      </c>
      <c r="BM227">
        <v>40822</v>
      </c>
      <c r="BN227">
        <v>3527</v>
      </c>
      <c r="BO227">
        <v>66935</v>
      </c>
      <c r="BP227">
        <v>0</v>
      </c>
      <c r="BQ227">
        <v>0</v>
      </c>
      <c r="BR227">
        <v>47750</v>
      </c>
      <c r="BS227">
        <v>0</v>
      </c>
      <c r="BT227">
        <v>0</v>
      </c>
      <c r="BU227">
        <v>120577</v>
      </c>
      <c r="BV227">
        <v>0</v>
      </c>
      <c r="BW227">
        <v>124377</v>
      </c>
      <c r="BX227">
        <v>36656</v>
      </c>
      <c r="BY227">
        <v>0</v>
      </c>
      <c r="BZ227">
        <v>0</v>
      </c>
      <c r="CA227">
        <v>12829</v>
      </c>
      <c r="CB227">
        <v>50875</v>
      </c>
      <c r="CD227">
        <v>0</v>
      </c>
    </row>
    <row r="228" spans="1:82" x14ac:dyDescent="0.3">
      <c r="A228" s="155">
        <v>638</v>
      </c>
      <c r="B228" t="s">
        <v>1672</v>
      </c>
      <c r="D228">
        <v>0</v>
      </c>
      <c r="E228">
        <v>0</v>
      </c>
      <c r="F228">
        <v>0</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M228">
        <v>0</v>
      </c>
      <c r="AN228">
        <v>0</v>
      </c>
      <c r="AO228">
        <v>0</v>
      </c>
      <c r="AP228">
        <v>0</v>
      </c>
      <c r="AQ228">
        <v>0</v>
      </c>
      <c r="AR228">
        <v>0</v>
      </c>
      <c r="AS228">
        <v>0</v>
      </c>
      <c r="AT228">
        <v>0</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D228">
        <v>0</v>
      </c>
    </row>
    <row r="229" spans="1:82" x14ac:dyDescent="0.3">
      <c r="A229" s="155">
        <v>639</v>
      </c>
      <c r="B229" t="s">
        <v>1673</v>
      </c>
      <c r="D229">
        <v>0</v>
      </c>
      <c r="E229">
        <v>0</v>
      </c>
      <c r="F229">
        <v>0</v>
      </c>
      <c r="G229">
        <v>0</v>
      </c>
      <c r="H229">
        <v>0</v>
      </c>
      <c r="I229">
        <v>0</v>
      </c>
      <c r="J229">
        <v>0</v>
      </c>
      <c r="K229">
        <v>0</v>
      </c>
      <c r="L229">
        <v>0</v>
      </c>
      <c r="M229">
        <v>0</v>
      </c>
      <c r="N229">
        <v>0</v>
      </c>
      <c r="O229">
        <v>0</v>
      </c>
      <c r="P229">
        <v>0</v>
      </c>
      <c r="Q229">
        <v>6183628</v>
      </c>
      <c r="R229">
        <v>0</v>
      </c>
      <c r="S229">
        <v>0</v>
      </c>
      <c r="T229">
        <v>0</v>
      </c>
      <c r="U229">
        <v>0</v>
      </c>
      <c r="V229">
        <v>3218011</v>
      </c>
      <c r="W229">
        <v>0</v>
      </c>
      <c r="X229">
        <v>0</v>
      </c>
      <c r="Y229">
        <v>0</v>
      </c>
      <c r="Z229">
        <v>0</v>
      </c>
      <c r="AA229">
        <v>0</v>
      </c>
      <c r="AB229">
        <v>0</v>
      </c>
      <c r="AC229">
        <v>0</v>
      </c>
      <c r="AD229">
        <v>0</v>
      </c>
      <c r="AE229">
        <v>0</v>
      </c>
      <c r="AF229">
        <v>0</v>
      </c>
      <c r="AG229">
        <v>0</v>
      </c>
      <c r="AH229">
        <v>0</v>
      </c>
      <c r="AI229">
        <v>8317523</v>
      </c>
      <c r="AJ229">
        <v>0</v>
      </c>
      <c r="AK229">
        <v>0</v>
      </c>
      <c r="AM229">
        <v>2391349</v>
      </c>
      <c r="AN229">
        <v>0</v>
      </c>
      <c r="AO229">
        <v>0</v>
      </c>
      <c r="AP229">
        <v>0</v>
      </c>
      <c r="AQ229">
        <v>0</v>
      </c>
      <c r="AR229">
        <v>0</v>
      </c>
      <c r="AS229">
        <v>0</v>
      </c>
      <c r="AT229">
        <v>0</v>
      </c>
      <c r="AU229">
        <v>56796</v>
      </c>
      <c r="AV229">
        <v>0</v>
      </c>
      <c r="AW229">
        <v>0</v>
      </c>
      <c r="AX229">
        <v>0</v>
      </c>
      <c r="AY229">
        <v>0</v>
      </c>
      <c r="AZ229">
        <v>0</v>
      </c>
      <c r="BA229">
        <v>0</v>
      </c>
      <c r="BB229">
        <v>0</v>
      </c>
      <c r="BC229">
        <v>0</v>
      </c>
      <c r="BD229">
        <v>0</v>
      </c>
      <c r="BE229">
        <v>0</v>
      </c>
      <c r="BF229">
        <v>0</v>
      </c>
      <c r="BG229">
        <v>0</v>
      </c>
      <c r="BH229">
        <v>0</v>
      </c>
      <c r="BI229">
        <v>0</v>
      </c>
      <c r="BJ229">
        <v>0</v>
      </c>
      <c r="BK229">
        <v>0</v>
      </c>
      <c r="BL229">
        <v>207091</v>
      </c>
      <c r="BM229">
        <v>0</v>
      </c>
      <c r="BN229">
        <v>0</v>
      </c>
      <c r="BO229">
        <v>0</v>
      </c>
      <c r="BP229">
        <v>0</v>
      </c>
      <c r="BQ229">
        <v>0</v>
      </c>
      <c r="BR229">
        <v>247193</v>
      </c>
      <c r="BS229">
        <v>1257438</v>
      </c>
      <c r="BT229">
        <v>0</v>
      </c>
      <c r="BU229">
        <v>0</v>
      </c>
      <c r="BV229">
        <v>0</v>
      </c>
      <c r="BW229">
        <v>0</v>
      </c>
      <c r="BX229">
        <v>0</v>
      </c>
      <c r="BY229">
        <v>0</v>
      </c>
      <c r="BZ229">
        <v>0</v>
      </c>
      <c r="CA229">
        <v>0</v>
      </c>
      <c r="CB229">
        <v>0</v>
      </c>
      <c r="CD229">
        <v>0</v>
      </c>
    </row>
    <row r="230" spans="1:82" x14ac:dyDescent="0.3">
      <c r="A230" s="155">
        <v>640</v>
      </c>
      <c r="B230" t="s">
        <v>1674</v>
      </c>
      <c r="D230">
        <v>0</v>
      </c>
      <c r="E230">
        <v>0</v>
      </c>
      <c r="F230">
        <v>0</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M230">
        <v>0</v>
      </c>
      <c r="AN230">
        <v>0</v>
      </c>
      <c r="AO230">
        <v>0</v>
      </c>
      <c r="AP230">
        <v>0</v>
      </c>
      <c r="AQ230">
        <v>0</v>
      </c>
      <c r="AR230">
        <v>0</v>
      </c>
      <c r="AS230">
        <v>0</v>
      </c>
      <c r="AT230">
        <v>0</v>
      </c>
      <c r="AU230">
        <v>0</v>
      </c>
      <c r="AV230">
        <v>0</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6602</v>
      </c>
      <c r="BS230">
        <v>0</v>
      </c>
      <c r="BT230">
        <v>0</v>
      </c>
      <c r="BU230">
        <v>0</v>
      </c>
      <c r="BV230">
        <v>0</v>
      </c>
      <c r="BW230">
        <v>0</v>
      </c>
      <c r="BX230">
        <v>0</v>
      </c>
      <c r="BY230">
        <v>0</v>
      </c>
      <c r="BZ230">
        <v>0</v>
      </c>
      <c r="CA230">
        <v>0</v>
      </c>
      <c r="CB230">
        <v>0</v>
      </c>
      <c r="CD230">
        <v>0</v>
      </c>
    </row>
    <row r="231" spans="1:82" x14ac:dyDescent="0.3">
      <c r="A231" s="155">
        <v>641</v>
      </c>
      <c r="B231" t="s">
        <v>1675</v>
      </c>
      <c r="D231">
        <v>0</v>
      </c>
      <c r="E231">
        <v>0</v>
      </c>
      <c r="F231">
        <v>0</v>
      </c>
      <c r="G231">
        <v>0</v>
      </c>
      <c r="H231">
        <v>0</v>
      </c>
      <c r="I231">
        <v>0</v>
      </c>
      <c r="J231">
        <v>0</v>
      </c>
      <c r="K231">
        <v>0</v>
      </c>
      <c r="L231">
        <v>0</v>
      </c>
      <c r="M231">
        <v>0</v>
      </c>
      <c r="N231">
        <v>0</v>
      </c>
      <c r="O231">
        <v>0</v>
      </c>
      <c r="P231">
        <v>0</v>
      </c>
      <c r="Q231">
        <v>214990</v>
      </c>
      <c r="R231">
        <v>0</v>
      </c>
      <c r="S231">
        <v>0</v>
      </c>
      <c r="T231">
        <v>0</v>
      </c>
      <c r="U231">
        <v>0</v>
      </c>
      <c r="V231">
        <v>11643</v>
      </c>
      <c r="W231">
        <v>0</v>
      </c>
      <c r="X231">
        <v>0</v>
      </c>
      <c r="Y231">
        <v>0</v>
      </c>
      <c r="Z231">
        <v>0</v>
      </c>
      <c r="AA231">
        <v>0</v>
      </c>
      <c r="AB231">
        <v>0</v>
      </c>
      <c r="AC231">
        <v>0</v>
      </c>
      <c r="AD231">
        <v>0</v>
      </c>
      <c r="AE231">
        <v>0</v>
      </c>
      <c r="AF231">
        <v>0</v>
      </c>
      <c r="AG231">
        <v>0</v>
      </c>
      <c r="AH231">
        <v>0</v>
      </c>
      <c r="AI231">
        <v>114236</v>
      </c>
      <c r="AJ231">
        <v>0</v>
      </c>
      <c r="AK231">
        <v>0</v>
      </c>
      <c r="AM231">
        <v>38328</v>
      </c>
      <c r="AN231">
        <v>0</v>
      </c>
      <c r="AO231">
        <v>0</v>
      </c>
      <c r="AP231">
        <v>0</v>
      </c>
      <c r="AQ231">
        <v>0</v>
      </c>
      <c r="AR231">
        <v>0</v>
      </c>
      <c r="AS231">
        <v>0</v>
      </c>
      <c r="AT231">
        <v>0</v>
      </c>
      <c r="AU231">
        <v>0</v>
      </c>
      <c r="AV231">
        <v>0</v>
      </c>
      <c r="AW231">
        <v>0</v>
      </c>
      <c r="AX231">
        <v>0</v>
      </c>
      <c r="AY231">
        <v>0</v>
      </c>
      <c r="AZ231">
        <v>0</v>
      </c>
      <c r="BA231">
        <v>0</v>
      </c>
      <c r="BB231">
        <v>0</v>
      </c>
      <c r="BC231">
        <v>0</v>
      </c>
      <c r="BD231">
        <v>0</v>
      </c>
      <c r="BE231">
        <v>0</v>
      </c>
      <c r="BF231">
        <v>0</v>
      </c>
      <c r="BG231">
        <v>0</v>
      </c>
      <c r="BH231">
        <v>0</v>
      </c>
      <c r="BI231">
        <v>0</v>
      </c>
      <c r="BJ231">
        <v>0</v>
      </c>
      <c r="BK231">
        <v>0</v>
      </c>
      <c r="BL231">
        <v>892</v>
      </c>
      <c r="BM231">
        <v>0</v>
      </c>
      <c r="BN231">
        <v>0</v>
      </c>
      <c r="BO231">
        <v>0</v>
      </c>
      <c r="BP231">
        <v>0</v>
      </c>
      <c r="BQ231">
        <v>0</v>
      </c>
      <c r="BR231">
        <v>1465</v>
      </c>
      <c r="BS231">
        <v>2034</v>
      </c>
      <c r="BT231">
        <v>0</v>
      </c>
      <c r="BU231">
        <v>0</v>
      </c>
      <c r="BV231">
        <v>0</v>
      </c>
      <c r="BW231">
        <v>0</v>
      </c>
      <c r="BX231">
        <v>0</v>
      </c>
      <c r="BY231">
        <v>0</v>
      </c>
      <c r="BZ231">
        <v>0</v>
      </c>
      <c r="CA231">
        <v>0</v>
      </c>
      <c r="CB231">
        <v>0</v>
      </c>
      <c r="CD231">
        <v>0</v>
      </c>
    </row>
    <row r="232" spans="1:82" x14ac:dyDescent="0.3">
      <c r="A232" s="155">
        <v>642</v>
      </c>
      <c r="B232" t="s">
        <v>1676</v>
      </c>
      <c r="D232">
        <v>0</v>
      </c>
      <c r="E232">
        <v>0</v>
      </c>
      <c r="F232">
        <v>0</v>
      </c>
      <c r="G232">
        <v>0</v>
      </c>
      <c r="H232">
        <v>0</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0</v>
      </c>
      <c r="AG232">
        <v>0</v>
      </c>
      <c r="AH232">
        <v>0</v>
      </c>
      <c r="AI232">
        <v>0</v>
      </c>
      <c r="AJ232">
        <v>0</v>
      </c>
      <c r="AK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v>0</v>
      </c>
      <c r="BY232">
        <v>0</v>
      </c>
      <c r="BZ232">
        <v>0</v>
      </c>
      <c r="CA232">
        <v>0</v>
      </c>
      <c r="CB232">
        <v>0</v>
      </c>
      <c r="CD232">
        <v>0</v>
      </c>
    </row>
    <row r="233" spans="1:82" x14ac:dyDescent="0.3">
      <c r="A233" s="155">
        <v>643</v>
      </c>
      <c r="B233" t="s">
        <v>1677</v>
      </c>
      <c r="D233">
        <v>0</v>
      </c>
      <c r="E233">
        <v>0</v>
      </c>
      <c r="F233">
        <v>0</v>
      </c>
      <c r="G233">
        <v>0</v>
      </c>
      <c r="H233">
        <v>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M233">
        <v>313179</v>
      </c>
      <c r="AN233">
        <v>0</v>
      </c>
      <c r="AO233">
        <v>0</v>
      </c>
      <c r="AP233">
        <v>0</v>
      </c>
      <c r="AQ233">
        <v>0</v>
      </c>
      <c r="AR233">
        <v>0</v>
      </c>
      <c r="AS233">
        <v>0</v>
      </c>
      <c r="AT233">
        <v>0</v>
      </c>
      <c r="AU233">
        <v>31643</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80620</v>
      </c>
      <c r="BS233">
        <v>254550</v>
      </c>
      <c r="BT233">
        <v>0</v>
      </c>
      <c r="BU233">
        <v>0</v>
      </c>
      <c r="BV233">
        <v>0</v>
      </c>
      <c r="BW233">
        <v>0</v>
      </c>
      <c r="BX233">
        <v>0</v>
      </c>
      <c r="BY233">
        <v>0</v>
      </c>
      <c r="BZ233">
        <v>0</v>
      </c>
      <c r="CA233">
        <v>0</v>
      </c>
      <c r="CB233">
        <v>0</v>
      </c>
      <c r="CD233">
        <v>0</v>
      </c>
    </row>
    <row r="234" spans="1:82" x14ac:dyDescent="0.3">
      <c r="A234" s="155">
        <v>644</v>
      </c>
      <c r="B234" t="s">
        <v>1678</v>
      </c>
      <c r="D234">
        <v>0</v>
      </c>
      <c r="E234">
        <v>0</v>
      </c>
      <c r="F234">
        <v>0</v>
      </c>
      <c r="G234">
        <v>0</v>
      </c>
      <c r="H234">
        <v>0</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0</v>
      </c>
      <c r="BY234">
        <v>0</v>
      </c>
      <c r="BZ234">
        <v>0</v>
      </c>
      <c r="CA234">
        <v>0</v>
      </c>
      <c r="CB234">
        <v>0</v>
      </c>
      <c r="CD234">
        <v>0</v>
      </c>
    </row>
    <row r="235" spans="1:82" x14ac:dyDescent="0.3">
      <c r="A235" s="155">
        <v>645</v>
      </c>
      <c r="B235" t="s">
        <v>386</v>
      </c>
      <c r="D235">
        <v>0</v>
      </c>
      <c r="E235">
        <v>0</v>
      </c>
      <c r="F235">
        <v>58135</v>
      </c>
      <c r="G235">
        <v>110000</v>
      </c>
      <c r="H235">
        <v>1361025</v>
      </c>
      <c r="I235">
        <v>40869</v>
      </c>
      <c r="J235">
        <v>16038</v>
      </c>
      <c r="K235">
        <v>0</v>
      </c>
      <c r="L235">
        <v>0</v>
      </c>
      <c r="M235">
        <v>1590509</v>
      </c>
      <c r="N235">
        <v>12938</v>
      </c>
      <c r="O235">
        <v>121149</v>
      </c>
      <c r="P235">
        <v>10851</v>
      </c>
      <c r="Q235">
        <v>18377984</v>
      </c>
      <c r="R235">
        <v>34983</v>
      </c>
      <c r="S235">
        <v>0</v>
      </c>
      <c r="T235">
        <v>0</v>
      </c>
      <c r="U235">
        <v>2015752</v>
      </c>
      <c r="V235">
        <v>0</v>
      </c>
      <c r="W235">
        <v>2577037</v>
      </c>
      <c r="X235">
        <v>0</v>
      </c>
      <c r="Y235">
        <v>1299230</v>
      </c>
      <c r="Z235">
        <v>569066</v>
      </c>
      <c r="AA235">
        <v>2003356</v>
      </c>
      <c r="AB235">
        <v>0</v>
      </c>
      <c r="AC235">
        <v>520905</v>
      </c>
      <c r="AD235">
        <v>0</v>
      </c>
      <c r="AE235">
        <v>595052</v>
      </c>
      <c r="AF235">
        <v>316712</v>
      </c>
      <c r="AG235">
        <v>0</v>
      </c>
      <c r="AH235">
        <v>0</v>
      </c>
      <c r="AI235">
        <v>143310</v>
      </c>
      <c r="AJ235">
        <v>0</v>
      </c>
      <c r="AK235">
        <v>0</v>
      </c>
      <c r="AM235">
        <v>617870</v>
      </c>
      <c r="AN235">
        <v>97900</v>
      </c>
      <c r="AO235">
        <v>0</v>
      </c>
      <c r="AP235">
        <v>14187</v>
      </c>
      <c r="AQ235">
        <v>0</v>
      </c>
      <c r="AR235">
        <v>0</v>
      </c>
      <c r="AS235">
        <v>0</v>
      </c>
      <c r="AT235">
        <v>445064</v>
      </c>
      <c r="AU235">
        <v>15678</v>
      </c>
      <c r="AV235">
        <v>0</v>
      </c>
      <c r="AW235">
        <v>712623</v>
      </c>
      <c r="AX235">
        <v>0</v>
      </c>
      <c r="AY235">
        <v>0</v>
      </c>
      <c r="AZ235">
        <v>0</v>
      </c>
      <c r="BA235">
        <v>263156</v>
      </c>
      <c r="BB235">
        <v>0</v>
      </c>
      <c r="BC235">
        <v>0</v>
      </c>
      <c r="BD235">
        <v>230955</v>
      </c>
      <c r="BE235">
        <v>0</v>
      </c>
      <c r="BF235">
        <v>0</v>
      </c>
      <c r="BG235">
        <v>0</v>
      </c>
      <c r="BH235">
        <v>0</v>
      </c>
      <c r="BI235">
        <v>156135</v>
      </c>
      <c r="BJ235">
        <v>63846</v>
      </c>
      <c r="BK235">
        <v>100000</v>
      </c>
      <c r="BL235">
        <v>214415</v>
      </c>
      <c r="BM235">
        <v>0</v>
      </c>
      <c r="BN235">
        <v>167000</v>
      </c>
      <c r="BO235">
        <v>0</v>
      </c>
      <c r="BP235">
        <v>254861</v>
      </c>
      <c r="BQ235">
        <v>2530950</v>
      </c>
      <c r="BR235">
        <v>0</v>
      </c>
      <c r="BS235">
        <v>320000</v>
      </c>
      <c r="BT235">
        <v>36502</v>
      </c>
      <c r="BU235">
        <v>14429</v>
      </c>
      <c r="BV235">
        <v>0</v>
      </c>
      <c r="BW235">
        <v>289212</v>
      </c>
      <c r="BX235">
        <v>138316</v>
      </c>
      <c r="BY235">
        <v>0</v>
      </c>
      <c r="BZ235">
        <v>0</v>
      </c>
      <c r="CA235">
        <v>0</v>
      </c>
      <c r="CB235">
        <v>0</v>
      </c>
      <c r="CD235">
        <v>0</v>
      </c>
    </row>
    <row r="236" spans="1:82" x14ac:dyDescent="0.3">
      <c r="A236" s="155">
        <v>646</v>
      </c>
      <c r="B236" t="s">
        <v>361</v>
      </c>
      <c r="D236">
        <v>0</v>
      </c>
      <c r="E236">
        <v>149052</v>
      </c>
      <c r="F236">
        <v>705742</v>
      </c>
      <c r="G236">
        <v>1871450</v>
      </c>
      <c r="H236">
        <v>4590509</v>
      </c>
      <c r="I236">
        <v>4776828</v>
      </c>
      <c r="J236">
        <v>100235</v>
      </c>
      <c r="K236">
        <v>1000571</v>
      </c>
      <c r="L236">
        <v>912037</v>
      </c>
      <c r="M236">
        <v>5888378</v>
      </c>
      <c r="N236">
        <v>553434</v>
      </c>
      <c r="O236">
        <v>4753688</v>
      </c>
      <c r="P236">
        <v>294877</v>
      </c>
      <c r="Q236">
        <v>11183063</v>
      </c>
      <c r="R236">
        <v>465950</v>
      </c>
      <c r="S236">
        <v>174176</v>
      </c>
      <c r="T236">
        <v>56128087</v>
      </c>
      <c r="U236">
        <v>4464526</v>
      </c>
      <c r="V236">
        <v>18833682</v>
      </c>
      <c r="W236">
        <v>13784522</v>
      </c>
      <c r="X236">
        <v>141508</v>
      </c>
      <c r="Y236">
        <v>9665039</v>
      </c>
      <c r="Z236">
        <v>833406</v>
      </c>
      <c r="AA236">
        <v>10888792</v>
      </c>
      <c r="AB236">
        <v>671724</v>
      </c>
      <c r="AC236">
        <v>1701427</v>
      </c>
      <c r="AD236">
        <v>971738</v>
      </c>
      <c r="AE236">
        <v>2920310</v>
      </c>
      <c r="AF236">
        <v>8185984</v>
      </c>
      <c r="AG236">
        <v>4712583</v>
      </c>
      <c r="AH236">
        <v>1025098</v>
      </c>
      <c r="AI236">
        <v>9823280</v>
      </c>
      <c r="AJ236">
        <v>3522703</v>
      </c>
      <c r="AK236">
        <v>891884</v>
      </c>
      <c r="AM236">
        <v>8247946</v>
      </c>
      <c r="AN236">
        <v>463673</v>
      </c>
      <c r="AO236">
        <v>516344</v>
      </c>
      <c r="AP236">
        <v>56230</v>
      </c>
      <c r="AQ236">
        <v>3663528</v>
      </c>
      <c r="AR236">
        <v>6034467</v>
      </c>
      <c r="AS236">
        <v>680258</v>
      </c>
      <c r="AT236">
        <v>1148115</v>
      </c>
      <c r="AU236">
        <v>233504</v>
      </c>
      <c r="AV236">
        <v>15954442</v>
      </c>
      <c r="AW236">
        <v>1386565</v>
      </c>
      <c r="AX236">
        <v>788487</v>
      </c>
      <c r="AY236">
        <v>5265341</v>
      </c>
      <c r="AZ236">
        <v>2114789</v>
      </c>
      <c r="BA236">
        <v>774823</v>
      </c>
      <c r="BB236">
        <v>120922</v>
      </c>
      <c r="BC236">
        <v>431486</v>
      </c>
      <c r="BD236">
        <v>6292226</v>
      </c>
      <c r="BE236">
        <v>623224</v>
      </c>
      <c r="BF236">
        <v>766421</v>
      </c>
      <c r="BG236">
        <v>202813</v>
      </c>
      <c r="BH236">
        <v>327869</v>
      </c>
      <c r="BI236">
        <v>290014</v>
      </c>
      <c r="BJ236">
        <v>176064</v>
      </c>
      <c r="BK236">
        <v>1964212</v>
      </c>
      <c r="BL236">
        <v>447359</v>
      </c>
      <c r="BM236">
        <v>32524</v>
      </c>
      <c r="BN236">
        <v>1209294</v>
      </c>
      <c r="BO236">
        <v>1114431</v>
      </c>
      <c r="BP236">
        <v>1881472</v>
      </c>
      <c r="BQ236">
        <v>2891475</v>
      </c>
      <c r="BR236">
        <v>316359</v>
      </c>
      <c r="BS236">
        <v>15690912</v>
      </c>
      <c r="BT236">
        <v>491392</v>
      </c>
      <c r="BU236">
        <v>3818287</v>
      </c>
      <c r="BV236">
        <v>836082</v>
      </c>
      <c r="BW236">
        <v>751675</v>
      </c>
      <c r="BX236">
        <v>1611120</v>
      </c>
      <c r="BY236">
        <v>202195</v>
      </c>
      <c r="BZ236">
        <v>118951</v>
      </c>
      <c r="CA236">
        <v>164509</v>
      </c>
      <c r="CB236">
        <v>471404</v>
      </c>
      <c r="CD236">
        <v>367651</v>
      </c>
    </row>
    <row r="237" spans="1:82" x14ac:dyDescent="0.3">
      <c r="A237" s="155">
        <v>647</v>
      </c>
      <c r="B237" t="s">
        <v>968</v>
      </c>
      <c r="D237">
        <v>0</v>
      </c>
      <c r="E237">
        <v>0</v>
      </c>
      <c r="F237">
        <v>0</v>
      </c>
      <c r="G237">
        <v>0</v>
      </c>
      <c r="H237">
        <v>0</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D237">
        <v>0</v>
      </c>
    </row>
    <row r="238" spans="1:82" x14ac:dyDescent="0.3">
      <c r="A238" s="155">
        <v>648</v>
      </c>
      <c r="B238" t="s">
        <v>608</v>
      </c>
      <c r="D238">
        <v>0.55000000000000004</v>
      </c>
      <c r="E238">
        <v>0.45</v>
      </c>
      <c r="F238">
        <v>5.7000000000000002E-2</v>
      </c>
      <c r="G238">
        <v>0.22</v>
      </c>
      <c r="H238">
        <v>0</v>
      </c>
      <c r="I238">
        <v>0.19</v>
      </c>
      <c r="J238">
        <v>0</v>
      </c>
      <c r="K238">
        <v>2.5000000000000001E-2</v>
      </c>
      <c r="L238">
        <v>0</v>
      </c>
      <c r="M238">
        <v>0.255</v>
      </c>
      <c r="N238">
        <v>0.22</v>
      </c>
      <c r="O238">
        <v>0.28999999999999998</v>
      </c>
      <c r="P238">
        <v>0.13</v>
      </c>
      <c r="Q238">
        <v>0.61629999999999996</v>
      </c>
      <c r="R238">
        <v>0.43</v>
      </c>
      <c r="S238">
        <v>0</v>
      </c>
      <c r="T238">
        <v>0.57999999999999996</v>
      </c>
      <c r="U238">
        <v>0.38</v>
      </c>
      <c r="V238">
        <v>0.56999999999999995</v>
      </c>
      <c r="W238">
        <v>0.36</v>
      </c>
      <c r="X238">
        <v>0</v>
      </c>
      <c r="Y238">
        <v>0.6</v>
      </c>
      <c r="Z238">
        <v>0.56999999999999995</v>
      </c>
      <c r="AA238">
        <v>0.48499999999999999</v>
      </c>
      <c r="AB238">
        <v>0.64</v>
      </c>
      <c r="AC238">
        <v>0.505</v>
      </c>
      <c r="AD238">
        <v>0</v>
      </c>
      <c r="AE238">
        <v>0</v>
      </c>
      <c r="AF238">
        <v>0.26500000000000001</v>
      </c>
      <c r="AG238">
        <v>0.57999999999999996</v>
      </c>
      <c r="AH238">
        <v>0.2</v>
      </c>
      <c r="AI238">
        <v>0.48220000000000002</v>
      </c>
      <c r="AJ238">
        <v>0.16</v>
      </c>
      <c r="AK238">
        <v>0.52</v>
      </c>
      <c r="AM238">
        <v>0.54</v>
      </c>
      <c r="AN238">
        <v>0.38</v>
      </c>
      <c r="AO238">
        <v>0.68</v>
      </c>
      <c r="AP238">
        <v>0</v>
      </c>
      <c r="AQ238">
        <v>0</v>
      </c>
      <c r="AR238">
        <v>0.52</v>
      </c>
      <c r="AS238">
        <v>0.24</v>
      </c>
      <c r="AT238">
        <v>0.39</v>
      </c>
      <c r="AU238">
        <v>0.45</v>
      </c>
      <c r="AV238">
        <v>0.28000000000000003</v>
      </c>
      <c r="AW238">
        <v>0.08</v>
      </c>
      <c r="AX238">
        <v>0.41</v>
      </c>
      <c r="AY238">
        <v>0.16389999999999999</v>
      </c>
      <c r="AZ238">
        <v>0.32</v>
      </c>
      <c r="BA238">
        <v>0.22</v>
      </c>
      <c r="BB238">
        <v>0</v>
      </c>
      <c r="BC238">
        <v>0.21249999999999999</v>
      </c>
      <c r="BD238">
        <v>0.64</v>
      </c>
      <c r="BE238">
        <v>0</v>
      </c>
      <c r="BF238">
        <v>0</v>
      </c>
      <c r="BG238">
        <v>0.68</v>
      </c>
      <c r="BH238">
        <v>0.15</v>
      </c>
      <c r="BI238">
        <v>0.3</v>
      </c>
      <c r="BJ238">
        <v>0</v>
      </c>
      <c r="BK238">
        <v>0.64</v>
      </c>
      <c r="BL238">
        <v>0.69</v>
      </c>
      <c r="BM238">
        <v>0.56999999999999995</v>
      </c>
      <c r="BN238">
        <v>0.20699999999999999</v>
      </c>
      <c r="BO238">
        <v>0.46</v>
      </c>
      <c r="BP238">
        <v>0.4</v>
      </c>
      <c r="BQ238">
        <v>0.3</v>
      </c>
      <c r="BR238">
        <v>0.46</v>
      </c>
      <c r="BS238">
        <v>0.33</v>
      </c>
      <c r="BT238">
        <v>0.55000000000000004</v>
      </c>
      <c r="BU238">
        <v>0.43330000000000002</v>
      </c>
      <c r="BV238">
        <v>0.08</v>
      </c>
      <c r="BW238">
        <v>0.54</v>
      </c>
      <c r="BX238">
        <v>0.3</v>
      </c>
      <c r="BY238">
        <v>0.05</v>
      </c>
      <c r="BZ238">
        <v>0.38</v>
      </c>
      <c r="CA238">
        <v>0.33</v>
      </c>
      <c r="CB238">
        <v>0.56000000000000005</v>
      </c>
      <c r="CD238">
        <v>2E-3</v>
      </c>
    </row>
    <row r="239" spans="1:82" x14ac:dyDescent="0.3">
      <c r="A239" s="155">
        <v>654</v>
      </c>
      <c r="B239" t="s">
        <v>416</v>
      </c>
      <c r="D239">
        <v>277154</v>
      </c>
      <c r="E239">
        <v>0</v>
      </c>
      <c r="F239">
        <v>1161266</v>
      </c>
      <c r="G239">
        <v>0</v>
      </c>
      <c r="H239">
        <v>0</v>
      </c>
      <c r="I239">
        <v>0</v>
      </c>
      <c r="J239">
        <v>67143</v>
      </c>
      <c r="K239">
        <v>0</v>
      </c>
      <c r="L239">
        <v>0</v>
      </c>
      <c r="M239">
        <v>0</v>
      </c>
      <c r="N239">
        <v>0</v>
      </c>
      <c r="O239">
        <v>1523985</v>
      </c>
      <c r="P239">
        <v>0</v>
      </c>
      <c r="Q239">
        <v>49253908</v>
      </c>
      <c r="R239">
        <v>885537</v>
      </c>
      <c r="S239">
        <v>0</v>
      </c>
      <c r="T239">
        <v>68591998</v>
      </c>
      <c r="U239">
        <v>9058579</v>
      </c>
      <c r="V239">
        <v>19770716</v>
      </c>
      <c r="W239">
        <v>0</v>
      </c>
      <c r="X239">
        <v>260223</v>
      </c>
      <c r="Y239">
        <v>6038120</v>
      </c>
      <c r="Z239">
        <v>1805746</v>
      </c>
      <c r="AA239">
        <v>18459489</v>
      </c>
      <c r="AB239">
        <v>1287315</v>
      </c>
      <c r="AC239">
        <v>1161400</v>
      </c>
      <c r="AD239">
        <v>1206366</v>
      </c>
      <c r="AE239">
        <v>2401640</v>
      </c>
      <c r="AF239">
        <v>5416202</v>
      </c>
      <c r="AG239">
        <v>894852</v>
      </c>
      <c r="AH239">
        <v>0</v>
      </c>
      <c r="AI239">
        <v>22994466</v>
      </c>
      <c r="AJ239">
        <v>388694</v>
      </c>
      <c r="AK239">
        <v>543866</v>
      </c>
      <c r="AM239">
        <v>4454527</v>
      </c>
      <c r="AN239">
        <v>109141</v>
      </c>
      <c r="AO239">
        <v>264880</v>
      </c>
      <c r="AP239">
        <v>0</v>
      </c>
      <c r="AQ239">
        <v>0</v>
      </c>
      <c r="AR239">
        <v>5355731</v>
      </c>
      <c r="AS239">
        <v>0</v>
      </c>
      <c r="AT239">
        <v>761976</v>
      </c>
      <c r="AU239">
        <v>0</v>
      </c>
      <c r="AV239">
        <v>35706822</v>
      </c>
      <c r="AW239">
        <v>0</v>
      </c>
      <c r="AX239">
        <v>2076447</v>
      </c>
      <c r="AY239">
        <v>6304483</v>
      </c>
      <c r="AZ239">
        <v>1089937</v>
      </c>
      <c r="BA239">
        <v>299149</v>
      </c>
      <c r="BB239">
        <v>0</v>
      </c>
      <c r="BC239">
        <v>81137</v>
      </c>
      <c r="BD239">
        <v>12055179</v>
      </c>
      <c r="BE239">
        <v>0</v>
      </c>
      <c r="BF239">
        <v>373505</v>
      </c>
      <c r="BG239">
        <v>122681</v>
      </c>
      <c r="BH239">
        <v>0</v>
      </c>
      <c r="BI239">
        <v>332408</v>
      </c>
      <c r="BJ239">
        <v>0</v>
      </c>
      <c r="BK239">
        <v>2464561</v>
      </c>
      <c r="BL239">
        <v>520857</v>
      </c>
      <c r="BM239">
        <v>571818</v>
      </c>
      <c r="BN239">
        <v>1013958</v>
      </c>
      <c r="BO239">
        <v>2071756</v>
      </c>
      <c r="BP239">
        <v>1148570</v>
      </c>
      <c r="BQ239">
        <v>0</v>
      </c>
      <c r="BR239">
        <v>571747</v>
      </c>
      <c r="BS239">
        <v>0</v>
      </c>
      <c r="BT239">
        <v>686586</v>
      </c>
      <c r="BU239">
        <v>5446089</v>
      </c>
      <c r="BV239">
        <v>0</v>
      </c>
      <c r="BW239">
        <v>1876360</v>
      </c>
      <c r="BX239">
        <v>1320582</v>
      </c>
      <c r="BY239">
        <v>16371</v>
      </c>
      <c r="BZ239">
        <v>389424</v>
      </c>
      <c r="CA239">
        <v>56264</v>
      </c>
      <c r="CB239">
        <v>583892</v>
      </c>
      <c r="CD239">
        <v>27349</v>
      </c>
    </row>
    <row r="240" spans="1:82" x14ac:dyDescent="0.3">
      <c r="A240" s="155">
        <v>655</v>
      </c>
      <c r="B240" t="s">
        <v>969</v>
      </c>
      <c r="D240">
        <v>50097</v>
      </c>
      <c r="E240">
        <v>0</v>
      </c>
      <c r="F240">
        <v>67577</v>
      </c>
      <c r="G240">
        <v>0</v>
      </c>
      <c r="H240">
        <v>0</v>
      </c>
      <c r="I240">
        <v>0</v>
      </c>
      <c r="J240">
        <v>9594</v>
      </c>
      <c r="K240">
        <v>0</v>
      </c>
      <c r="L240">
        <v>0</v>
      </c>
      <c r="M240">
        <v>0</v>
      </c>
      <c r="N240">
        <v>0</v>
      </c>
      <c r="O240">
        <v>115204</v>
      </c>
      <c r="P240">
        <v>0</v>
      </c>
      <c r="Q240">
        <v>1034358</v>
      </c>
      <c r="R240">
        <v>6023</v>
      </c>
      <c r="S240">
        <v>0</v>
      </c>
      <c r="T240">
        <v>17181796</v>
      </c>
      <c r="U240">
        <v>213739</v>
      </c>
      <c r="V240">
        <v>239773</v>
      </c>
      <c r="W240">
        <v>0</v>
      </c>
      <c r="X240">
        <v>0</v>
      </c>
      <c r="Y240">
        <v>69634</v>
      </c>
      <c r="Z240">
        <v>160718</v>
      </c>
      <c r="AA240">
        <v>3743865</v>
      </c>
      <c r="AB240">
        <v>194915</v>
      </c>
      <c r="AC240">
        <v>112476</v>
      </c>
      <c r="AD240">
        <v>134890</v>
      </c>
      <c r="AE240">
        <v>122509</v>
      </c>
      <c r="AF240">
        <v>492634</v>
      </c>
      <c r="AG240">
        <v>176874</v>
      </c>
      <c r="AH240">
        <v>0</v>
      </c>
      <c r="AI240">
        <v>0</v>
      </c>
      <c r="AJ240">
        <v>12635</v>
      </c>
      <c r="AK240">
        <v>11900</v>
      </c>
      <c r="AM240">
        <v>404092</v>
      </c>
      <c r="AN240">
        <v>0</v>
      </c>
      <c r="AO240">
        <v>89154</v>
      </c>
      <c r="AP240">
        <v>0</v>
      </c>
      <c r="AQ240">
        <v>0</v>
      </c>
      <c r="AR240">
        <v>75393</v>
      </c>
      <c r="AS240">
        <v>0</v>
      </c>
      <c r="AT240">
        <v>38650</v>
      </c>
      <c r="AU240">
        <v>0</v>
      </c>
      <c r="AV240">
        <v>0</v>
      </c>
      <c r="AW240">
        <v>0</v>
      </c>
      <c r="AX240">
        <v>26829</v>
      </c>
      <c r="AY240">
        <v>0</v>
      </c>
      <c r="AZ240">
        <v>33600</v>
      </c>
      <c r="BA240">
        <v>26983</v>
      </c>
      <c r="BB240">
        <v>0</v>
      </c>
      <c r="BC240">
        <v>9710</v>
      </c>
      <c r="BD240">
        <v>0</v>
      </c>
      <c r="BE240">
        <v>0</v>
      </c>
      <c r="BF240">
        <v>0</v>
      </c>
      <c r="BG240">
        <v>5856</v>
      </c>
      <c r="BH240">
        <v>0</v>
      </c>
      <c r="BI240">
        <v>20620</v>
      </c>
      <c r="BJ240">
        <v>0</v>
      </c>
      <c r="BK240">
        <v>0</v>
      </c>
      <c r="BL240">
        <v>0</v>
      </c>
      <c r="BM240">
        <v>40822</v>
      </c>
      <c r="BN240">
        <v>3527</v>
      </c>
      <c r="BO240">
        <v>66935</v>
      </c>
      <c r="BP240">
        <v>84397</v>
      </c>
      <c r="BQ240">
        <v>0</v>
      </c>
      <c r="BR240">
        <v>47750</v>
      </c>
      <c r="BS240">
        <v>0</v>
      </c>
      <c r="BT240">
        <v>64142</v>
      </c>
      <c r="BU240">
        <v>140077</v>
      </c>
      <c r="BV240">
        <v>0</v>
      </c>
      <c r="BW240">
        <v>193065</v>
      </c>
      <c r="BX240">
        <v>36656</v>
      </c>
      <c r="BY240">
        <v>0</v>
      </c>
      <c r="BZ240">
        <v>44321</v>
      </c>
      <c r="CA240">
        <v>12829</v>
      </c>
      <c r="CB240">
        <v>103383</v>
      </c>
      <c r="CD240">
        <v>0</v>
      </c>
    </row>
    <row r="241" spans="1:82" x14ac:dyDescent="0.3">
      <c r="A241" s="155">
        <v>656</v>
      </c>
      <c r="B241" t="s">
        <v>422</v>
      </c>
      <c r="D241">
        <v>2</v>
      </c>
      <c r="E241">
        <v>0</v>
      </c>
      <c r="F241">
        <v>2</v>
      </c>
      <c r="G241">
        <v>0</v>
      </c>
      <c r="H241">
        <v>0</v>
      </c>
      <c r="I241">
        <v>0</v>
      </c>
      <c r="J241">
        <v>0</v>
      </c>
      <c r="K241">
        <v>0</v>
      </c>
      <c r="L241">
        <v>2</v>
      </c>
      <c r="M241">
        <v>2</v>
      </c>
      <c r="N241">
        <v>2</v>
      </c>
      <c r="O241">
        <v>2</v>
      </c>
      <c r="P241">
        <v>0</v>
      </c>
      <c r="Q241">
        <v>2</v>
      </c>
      <c r="R241">
        <v>0</v>
      </c>
      <c r="S241">
        <v>0</v>
      </c>
      <c r="T241">
        <v>2</v>
      </c>
      <c r="U241">
        <v>2</v>
      </c>
      <c r="V241">
        <v>2</v>
      </c>
      <c r="W241">
        <v>2</v>
      </c>
      <c r="X241">
        <v>0</v>
      </c>
      <c r="Y241">
        <v>2</v>
      </c>
      <c r="Z241">
        <v>2</v>
      </c>
      <c r="AA241">
        <v>2</v>
      </c>
      <c r="AB241">
        <v>2</v>
      </c>
      <c r="AC241">
        <v>2</v>
      </c>
      <c r="AD241">
        <v>0</v>
      </c>
      <c r="AE241">
        <v>2</v>
      </c>
      <c r="AF241">
        <v>2</v>
      </c>
      <c r="AG241">
        <v>0</v>
      </c>
      <c r="AH241">
        <v>0</v>
      </c>
      <c r="AI241">
        <v>0</v>
      </c>
      <c r="AJ241">
        <v>0</v>
      </c>
      <c r="AK241">
        <v>0</v>
      </c>
      <c r="AM241">
        <v>2</v>
      </c>
      <c r="AN241">
        <v>0</v>
      </c>
      <c r="AO241">
        <v>0</v>
      </c>
      <c r="AP241">
        <v>2</v>
      </c>
      <c r="AQ241">
        <v>0</v>
      </c>
      <c r="AR241">
        <v>0</v>
      </c>
      <c r="AS241">
        <v>0</v>
      </c>
      <c r="AT241">
        <v>2</v>
      </c>
      <c r="AU241">
        <v>0</v>
      </c>
      <c r="AV241">
        <v>2</v>
      </c>
      <c r="AW241">
        <v>2</v>
      </c>
      <c r="AX241">
        <v>2</v>
      </c>
      <c r="AY241">
        <v>2</v>
      </c>
      <c r="AZ241">
        <v>2</v>
      </c>
      <c r="BA241">
        <v>2</v>
      </c>
      <c r="BB241">
        <v>0</v>
      </c>
      <c r="BC241">
        <v>0</v>
      </c>
      <c r="BD241">
        <v>0</v>
      </c>
      <c r="BE241">
        <v>2</v>
      </c>
      <c r="BF241">
        <v>2</v>
      </c>
      <c r="BG241">
        <v>2</v>
      </c>
      <c r="BH241">
        <v>0</v>
      </c>
      <c r="BI241">
        <v>2</v>
      </c>
      <c r="BJ241">
        <v>0</v>
      </c>
      <c r="BK241">
        <v>2</v>
      </c>
      <c r="BL241">
        <v>2</v>
      </c>
      <c r="BM241">
        <v>2</v>
      </c>
      <c r="BN241">
        <v>0</v>
      </c>
      <c r="BO241">
        <v>2</v>
      </c>
      <c r="BP241">
        <v>0</v>
      </c>
      <c r="BQ241">
        <v>2</v>
      </c>
      <c r="BR241">
        <v>2</v>
      </c>
      <c r="BS241">
        <v>2</v>
      </c>
      <c r="BT241">
        <v>0</v>
      </c>
      <c r="BU241">
        <v>2</v>
      </c>
      <c r="BV241">
        <v>0</v>
      </c>
      <c r="BW241">
        <v>2</v>
      </c>
      <c r="BX241">
        <v>0</v>
      </c>
      <c r="BY241">
        <v>0</v>
      </c>
      <c r="BZ241">
        <v>2</v>
      </c>
      <c r="CA241">
        <v>2</v>
      </c>
      <c r="CB241">
        <v>2</v>
      </c>
      <c r="CD241">
        <v>2</v>
      </c>
    </row>
    <row r="242" spans="1:82" x14ac:dyDescent="0.3">
      <c r="A242" s="155">
        <v>657</v>
      </c>
      <c r="B242" t="s">
        <v>970</v>
      </c>
      <c r="D242">
        <v>0</v>
      </c>
      <c r="E242">
        <v>0</v>
      </c>
      <c r="F242">
        <v>0</v>
      </c>
      <c r="G242">
        <v>0</v>
      </c>
      <c r="H242">
        <v>0</v>
      </c>
      <c r="I242">
        <v>0</v>
      </c>
      <c r="J242">
        <v>0</v>
      </c>
      <c r="K242">
        <v>0</v>
      </c>
      <c r="L242">
        <v>0</v>
      </c>
      <c r="M242">
        <v>0</v>
      </c>
      <c r="N242">
        <v>0</v>
      </c>
      <c r="O242">
        <v>0</v>
      </c>
      <c r="P242">
        <v>0</v>
      </c>
      <c r="Q242">
        <v>91161236</v>
      </c>
      <c r="R242">
        <v>0</v>
      </c>
      <c r="S242">
        <v>0</v>
      </c>
      <c r="T242">
        <v>0</v>
      </c>
      <c r="U242">
        <v>0</v>
      </c>
      <c r="V242">
        <v>27001674</v>
      </c>
      <c r="W242">
        <v>0</v>
      </c>
      <c r="X242">
        <v>0</v>
      </c>
      <c r="Y242">
        <v>0</v>
      </c>
      <c r="Z242">
        <v>0</v>
      </c>
      <c r="AA242">
        <v>0</v>
      </c>
      <c r="AB242">
        <v>0</v>
      </c>
      <c r="AC242">
        <v>0</v>
      </c>
      <c r="AD242">
        <v>0</v>
      </c>
      <c r="AE242">
        <v>0</v>
      </c>
      <c r="AF242">
        <v>0</v>
      </c>
      <c r="AG242">
        <v>0</v>
      </c>
      <c r="AH242">
        <v>0</v>
      </c>
      <c r="AI242">
        <v>29850181</v>
      </c>
      <c r="AJ242">
        <v>0</v>
      </c>
      <c r="AK242">
        <v>0</v>
      </c>
      <c r="AM242">
        <v>14436991</v>
      </c>
      <c r="AN242">
        <v>0</v>
      </c>
      <c r="AO242">
        <v>0</v>
      </c>
      <c r="AP242">
        <v>0</v>
      </c>
      <c r="AQ242">
        <v>0</v>
      </c>
      <c r="AR242">
        <v>0</v>
      </c>
      <c r="AS242">
        <v>0</v>
      </c>
      <c r="AT242">
        <v>0</v>
      </c>
      <c r="AU242">
        <v>734346</v>
      </c>
      <c r="AV242">
        <v>0</v>
      </c>
      <c r="AW242">
        <v>0</v>
      </c>
      <c r="AX242">
        <v>0</v>
      </c>
      <c r="AY242">
        <v>0</v>
      </c>
      <c r="AZ242">
        <v>0</v>
      </c>
      <c r="BA242">
        <v>0</v>
      </c>
      <c r="BB242">
        <v>0</v>
      </c>
      <c r="BC242">
        <v>0</v>
      </c>
      <c r="BD242">
        <v>0</v>
      </c>
      <c r="BE242">
        <v>0</v>
      </c>
      <c r="BF242">
        <v>0</v>
      </c>
      <c r="BG242">
        <v>0</v>
      </c>
      <c r="BH242">
        <v>0</v>
      </c>
      <c r="BI242">
        <v>0</v>
      </c>
      <c r="BJ242">
        <v>0</v>
      </c>
      <c r="BK242">
        <v>0</v>
      </c>
      <c r="BL242">
        <v>1723994</v>
      </c>
      <c r="BM242">
        <v>0</v>
      </c>
      <c r="BN242">
        <v>0</v>
      </c>
      <c r="BO242">
        <v>0</v>
      </c>
      <c r="BP242">
        <v>0</v>
      </c>
      <c r="BQ242">
        <v>0</v>
      </c>
      <c r="BR242">
        <v>1693037</v>
      </c>
      <c r="BS242">
        <v>7049463</v>
      </c>
      <c r="BT242">
        <v>0</v>
      </c>
      <c r="BU242">
        <v>0</v>
      </c>
      <c r="BV242">
        <v>0</v>
      </c>
      <c r="BW242">
        <v>0</v>
      </c>
      <c r="BX242">
        <v>0</v>
      </c>
      <c r="BY242">
        <v>0</v>
      </c>
      <c r="BZ242">
        <v>0</v>
      </c>
      <c r="CA242">
        <v>0</v>
      </c>
      <c r="CB242">
        <v>0</v>
      </c>
      <c r="CD242">
        <v>0</v>
      </c>
    </row>
    <row r="243" spans="1:82" x14ac:dyDescent="0.3">
      <c r="A243" s="155">
        <v>658</v>
      </c>
      <c r="B243" t="s">
        <v>971</v>
      </c>
      <c r="D243">
        <v>0</v>
      </c>
      <c r="E243">
        <v>0</v>
      </c>
      <c r="F243">
        <v>0</v>
      </c>
      <c r="G243">
        <v>0</v>
      </c>
      <c r="H243">
        <v>0</v>
      </c>
      <c r="I243">
        <v>0</v>
      </c>
      <c r="J243">
        <v>0</v>
      </c>
      <c r="K243">
        <v>0</v>
      </c>
      <c r="L243">
        <v>0</v>
      </c>
      <c r="M243">
        <v>0</v>
      </c>
      <c r="N243">
        <v>0</v>
      </c>
      <c r="O243">
        <v>0</v>
      </c>
      <c r="P243">
        <v>0</v>
      </c>
      <c r="Q243">
        <v>0</v>
      </c>
      <c r="R243">
        <v>0</v>
      </c>
      <c r="S243">
        <v>0</v>
      </c>
      <c r="T243">
        <v>0</v>
      </c>
      <c r="U243">
        <v>0</v>
      </c>
      <c r="V243">
        <v>641293</v>
      </c>
      <c r="W243">
        <v>0</v>
      </c>
      <c r="X243">
        <v>0</v>
      </c>
      <c r="Y243">
        <v>0</v>
      </c>
      <c r="Z243">
        <v>0</v>
      </c>
      <c r="AA243">
        <v>0</v>
      </c>
      <c r="AB243">
        <v>0</v>
      </c>
      <c r="AC243">
        <v>0</v>
      </c>
      <c r="AD243">
        <v>0</v>
      </c>
      <c r="AE243">
        <v>0</v>
      </c>
      <c r="AF243">
        <v>0</v>
      </c>
      <c r="AG243">
        <v>0</v>
      </c>
      <c r="AH243">
        <v>0</v>
      </c>
      <c r="AI243">
        <v>2558476</v>
      </c>
      <c r="AJ243">
        <v>0</v>
      </c>
      <c r="AK243">
        <v>0</v>
      </c>
      <c r="AM243">
        <v>996886</v>
      </c>
      <c r="AN243">
        <v>0</v>
      </c>
      <c r="AO243">
        <v>0</v>
      </c>
      <c r="AP243">
        <v>0</v>
      </c>
      <c r="AQ243">
        <v>0</v>
      </c>
      <c r="AR243">
        <v>0</v>
      </c>
      <c r="AS243">
        <v>0</v>
      </c>
      <c r="AT243">
        <v>0</v>
      </c>
      <c r="AU243">
        <v>31643</v>
      </c>
      <c r="AV243">
        <v>0</v>
      </c>
      <c r="AW243">
        <v>0</v>
      </c>
      <c r="AX243">
        <v>0</v>
      </c>
      <c r="AY243">
        <v>0</v>
      </c>
      <c r="AZ243">
        <v>0</v>
      </c>
      <c r="BA243">
        <v>0</v>
      </c>
      <c r="BB243">
        <v>0</v>
      </c>
      <c r="BC243">
        <v>0</v>
      </c>
      <c r="BD243">
        <v>0</v>
      </c>
      <c r="BE243">
        <v>0</v>
      </c>
      <c r="BF243">
        <v>0</v>
      </c>
      <c r="BG243">
        <v>0</v>
      </c>
      <c r="BH243">
        <v>0</v>
      </c>
      <c r="BI243">
        <v>0</v>
      </c>
      <c r="BJ243">
        <v>0</v>
      </c>
      <c r="BK243">
        <v>0</v>
      </c>
      <c r="BL243">
        <v>120469</v>
      </c>
      <c r="BM243">
        <v>0</v>
      </c>
      <c r="BN243">
        <v>0</v>
      </c>
      <c r="BO243">
        <v>0</v>
      </c>
      <c r="BP243">
        <v>0</v>
      </c>
      <c r="BQ243">
        <v>0</v>
      </c>
      <c r="BR243">
        <v>80620</v>
      </c>
      <c r="BS243">
        <v>254550</v>
      </c>
      <c r="BT243">
        <v>0</v>
      </c>
      <c r="BU243">
        <v>0</v>
      </c>
      <c r="BV243">
        <v>0</v>
      </c>
      <c r="BW243">
        <v>0</v>
      </c>
      <c r="BX243">
        <v>0</v>
      </c>
      <c r="BY243">
        <v>0</v>
      </c>
      <c r="BZ243">
        <v>0</v>
      </c>
      <c r="CA243">
        <v>0</v>
      </c>
      <c r="CB243">
        <v>0</v>
      </c>
      <c r="CD243">
        <v>0</v>
      </c>
    </row>
    <row r="244" spans="1:82" x14ac:dyDescent="0.3">
      <c r="A244" s="155">
        <v>659</v>
      </c>
      <c r="B244" t="s">
        <v>972</v>
      </c>
      <c r="D244">
        <v>0</v>
      </c>
      <c r="E244">
        <v>0</v>
      </c>
      <c r="F244">
        <v>0</v>
      </c>
      <c r="G244">
        <v>0</v>
      </c>
      <c r="H244">
        <v>0</v>
      </c>
      <c r="I244">
        <v>0</v>
      </c>
      <c r="J244">
        <v>0</v>
      </c>
      <c r="K244">
        <v>0</v>
      </c>
      <c r="L244">
        <v>0</v>
      </c>
      <c r="M244">
        <v>0</v>
      </c>
      <c r="N244">
        <v>0</v>
      </c>
      <c r="O244">
        <v>759561</v>
      </c>
      <c r="P244">
        <v>0</v>
      </c>
      <c r="Q244">
        <v>51475385</v>
      </c>
      <c r="R244">
        <v>0</v>
      </c>
      <c r="S244">
        <v>0</v>
      </c>
      <c r="T244">
        <v>70004096</v>
      </c>
      <c r="U244">
        <v>3925635</v>
      </c>
      <c r="V244">
        <v>21720629</v>
      </c>
      <c r="W244">
        <v>5816474</v>
      </c>
      <c r="X244">
        <v>0</v>
      </c>
      <c r="Y244">
        <v>0</v>
      </c>
      <c r="Z244">
        <v>0</v>
      </c>
      <c r="AA244">
        <v>5390474</v>
      </c>
      <c r="AB244">
        <v>0</v>
      </c>
      <c r="AC244">
        <v>46815</v>
      </c>
      <c r="AD244">
        <v>0</v>
      </c>
      <c r="AE244">
        <v>0</v>
      </c>
      <c r="AF244">
        <v>5024282</v>
      </c>
      <c r="AG244">
        <v>0</v>
      </c>
      <c r="AH244">
        <v>0</v>
      </c>
      <c r="AI244">
        <v>43810450</v>
      </c>
      <c r="AJ244">
        <v>0</v>
      </c>
      <c r="AK244">
        <v>0</v>
      </c>
      <c r="AM244">
        <v>1244445</v>
      </c>
      <c r="AN244">
        <v>0</v>
      </c>
      <c r="AO244">
        <v>0</v>
      </c>
      <c r="AP244">
        <v>0</v>
      </c>
      <c r="AQ244">
        <v>0</v>
      </c>
      <c r="AR244">
        <v>1823754</v>
      </c>
      <c r="AS244">
        <v>0</v>
      </c>
      <c r="AT244">
        <v>324005</v>
      </c>
      <c r="AU244">
        <v>0</v>
      </c>
      <c r="AV244">
        <v>4765041</v>
      </c>
      <c r="AW244">
        <v>0</v>
      </c>
      <c r="AX244">
        <v>0</v>
      </c>
      <c r="AY244">
        <v>0</v>
      </c>
      <c r="AZ244">
        <v>0</v>
      </c>
      <c r="BA244">
        <v>0</v>
      </c>
      <c r="BB244">
        <v>0</v>
      </c>
      <c r="BC244">
        <v>0</v>
      </c>
      <c r="BD244">
        <v>7491174</v>
      </c>
      <c r="BE244">
        <v>0</v>
      </c>
      <c r="BF244">
        <v>0</v>
      </c>
      <c r="BG244">
        <v>0</v>
      </c>
      <c r="BH244">
        <v>0</v>
      </c>
      <c r="BI244">
        <v>0</v>
      </c>
      <c r="BJ244">
        <v>0</v>
      </c>
      <c r="BK244">
        <v>1890149</v>
      </c>
      <c r="BL244">
        <v>0</v>
      </c>
      <c r="BM244">
        <v>0</v>
      </c>
      <c r="BN244">
        <v>0</v>
      </c>
      <c r="BO244">
        <v>0</v>
      </c>
      <c r="BP244">
        <v>0</v>
      </c>
      <c r="BQ244">
        <v>0</v>
      </c>
      <c r="BR244">
        <v>56861</v>
      </c>
      <c r="BS244">
        <v>2935923</v>
      </c>
      <c r="BT244">
        <v>80293</v>
      </c>
      <c r="BU244">
        <v>1001685</v>
      </c>
      <c r="BV244">
        <v>0</v>
      </c>
      <c r="BW244">
        <v>0</v>
      </c>
      <c r="BX244">
        <v>746819</v>
      </c>
      <c r="BY244">
        <v>0</v>
      </c>
      <c r="BZ244">
        <v>0</v>
      </c>
      <c r="CA244">
        <v>0</v>
      </c>
      <c r="CB244">
        <v>0</v>
      </c>
      <c r="CD244">
        <v>0</v>
      </c>
    </row>
    <row r="245" spans="1:82" x14ac:dyDescent="0.3">
      <c r="A245" s="155">
        <v>660</v>
      </c>
      <c r="B245" t="s">
        <v>973</v>
      </c>
      <c r="D245">
        <v>0</v>
      </c>
      <c r="E245">
        <v>0</v>
      </c>
      <c r="F245">
        <v>0</v>
      </c>
      <c r="G245">
        <v>0</v>
      </c>
      <c r="H245">
        <v>0</v>
      </c>
      <c r="I245">
        <v>0</v>
      </c>
      <c r="J245">
        <v>0</v>
      </c>
      <c r="K245">
        <v>0</v>
      </c>
      <c r="L245">
        <v>0</v>
      </c>
      <c r="M245">
        <v>0</v>
      </c>
      <c r="N245">
        <v>0</v>
      </c>
      <c r="O245">
        <v>0</v>
      </c>
      <c r="P245">
        <v>0</v>
      </c>
      <c r="Q245">
        <v>0</v>
      </c>
      <c r="R245">
        <v>0</v>
      </c>
      <c r="S245">
        <v>0</v>
      </c>
      <c r="T245">
        <v>0</v>
      </c>
      <c r="U245">
        <v>0</v>
      </c>
      <c r="V245">
        <v>249478</v>
      </c>
      <c r="W245">
        <v>0</v>
      </c>
      <c r="X245">
        <v>0</v>
      </c>
      <c r="Y245">
        <v>0</v>
      </c>
      <c r="Z245">
        <v>0</v>
      </c>
      <c r="AA245">
        <v>0</v>
      </c>
      <c r="AB245">
        <v>0</v>
      </c>
      <c r="AC245">
        <v>0</v>
      </c>
      <c r="AD245">
        <v>0</v>
      </c>
      <c r="AE245">
        <v>0</v>
      </c>
      <c r="AF245">
        <v>0</v>
      </c>
      <c r="AG245">
        <v>0</v>
      </c>
      <c r="AH245">
        <v>0</v>
      </c>
      <c r="AI245">
        <v>0</v>
      </c>
      <c r="AJ245">
        <v>0</v>
      </c>
      <c r="AK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0</v>
      </c>
      <c r="BY245">
        <v>0</v>
      </c>
      <c r="BZ245">
        <v>0</v>
      </c>
      <c r="CA245">
        <v>0</v>
      </c>
      <c r="CB245">
        <v>0</v>
      </c>
      <c r="CD245">
        <v>0</v>
      </c>
    </row>
    <row r="246" spans="1:82" x14ac:dyDescent="0.3">
      <c r="A246" s="155">
        <v>661</v>
      </c>
      <c r="B246" t="s">
        <v>421</v>
      </c>
      <c r="D246">
        <v>0</v>
      </c>
      <c r="E246">
        <v>0</v>
      </c>
      <c r="F246">
        <v>0</v>
      </c>
      <c r="G246">
        <v>0</v>
      </c>
      <c r="H246">
        <v>0</v>
      </c>
      <c r="I246">
        <v>0</v>
      </c>
      <c r="J246">
        <v>0</v>
      </c>
      <c r="K246">
        <v>0</v>
      </c>
      <c r="L246">
        <v>0</v>
      </c>
      <c r="M246">
        <v>0</v>
      </c>
      <c r="N246">
        <v>0</v>
      </c>
      <c r="O246">
        <v>0</v>
      </c>
      <c r="P246">
        <v>0</v>
      </c>
      <c r="Q246">
        <v>0</v>
      </c>
      <c r="R246">
        <v>0</v>
      </c>
      <c r="S246">
        <v>0</v>
      </c>
      <c r="T246">
        <v>0</v>
      </c>
      <c r="U246">
        <v>0</v>
      </c>
      <c r="V246">
        <v>1.2</v>
      </c>
      <c r="W246">
        <v>0</v>
      </c>
      <c r="X246">
        <v>0</v>
      </c>
      <c r="Y246">
        <v>0</v>
      </c>
      <c r="Z246">
        <v>0</v>
      </c>
      <c r="AA246">
        <v>0</v>
      </c>
      <c r="AB246">
        <v>0</v>
      </c>
      <c r="AC246">
        <v>0</v>
      </c>
      <c r="AD246">
        <v>0</v>
      </c>
      <c r="AE246">
        <v>0</v>
      </c>
      <c r="AF246">
        <v>0</v>
      </c>
      <c r="AG246">
        <v>0</v>
      </c>
      <c r="AH246">
        <v>0</v>
      </c>
      <c r="AI246">
        <v>0</v>
      </c>
      <c r="AJ246">
        <v>0</v>
      </c>
      <c r="AK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0</v>
      </c>
      <c r="BY246">
        <v>0</v>
      </c>
      <c r="BZ246">
        <v>0</v>
      </c>
      <c r="CA246">
        <v>0</v>
      </c>
      <c r="CB246">
        <v>0</v>
      </c>
      <c r="CD246">
        <v>0</v>
      </c>
    </row>
    <row r="247" spans="1:82" x14ac:dyDescent="0.3">
      <c r="A247" s="155">
        <v>662</v>
      </c>
      <c r="B247" t="s">
        <v>451</v>
      </c>
      <c r="F247">
        <v>9157</v>
      </c>
      <c r="M247">
        <v>186539</v>
      </c>
      <c r="O247">
        <v>0</v>
      </c>
      <c r="Q247">
        <v>125880</v>
      </c>
      <c r="T247">
        <v>726544</v>
      </c>
      <c r="U247">
        <v>212863</v>
      </c>
      <c r="V247">
        <v>469616</v>
      </c>
      <c r="W247">
        <v>511655</v>
      </c>
      <c r="Y247">
        <v>416341</v>
      </c>
      <c r="AB247">
        <v>25544</v>
      </c>
      <c r="AI247">
        <v>497477</v>
      </c>
      <c r="AQ247">
        <v>0</v>
      </c>
      <c r="AV247">
        <v>80481</v>
      </c>
      <c r="AY247">
        <v>0</v>
      </c>
      <c r="BD247">
        <v>229530</v>
      </c>
      <c r="BG247">
        <v>4289</v>
      </c>
      <c r="BM247">
        <v>0</v>
      </c>
      <c r="BO247">
        <v>0</v>
      </c>
      <c r="BW247">
        <v>55999</v>
      </c>
      <c r="BZ247">
        <v>27255</v>
      </c>
    </row>
    <row r="248" spans="1:82" x14ac:dyDescent="0.3">
      <c r="A248" s="155">
        <v>663</v>
      </c>
      <c r="B248" t="s">
        <v>974</v>
      </c>
      <c r="F248">
        <v>0</v>
      </c>
      <c r="M248">
        <v>0</v>
      </c>
      <c r="O248">
        <v>0</v>
      </c>
      <c r="Q248">
        <v>59980</v>
      </c>
      <c r="T248">
        <v>0</v>
      </c>
      <c r="U248">
        <v>0</v>
      </c>
      <c r="V248">
        <v>0</v>
      </c>
      <c r="W248">
        <v>24422</v>
      </c>
      <c r="Y248">
        <v>0</v>
      </c>
      <c r="AB248">
        <v>0</v>
      </c>
      <c r="AI248">
        <v>0</v>
      </c>
      <c r="AQ248">
        <v>0</v>
      </c>
      <c r="AV248">
        <v>0</v>
      </c>
      <c r="AY248">
        <v>0</v>
      </c>
      <c r="BD248">
        <v>0</v>
      </c>
      <c r="BG248">
        <v>0</v>
      </c>
      <c r="BM248">
        <v>0</v>
      </c>
      <c r="BO248">
        <v>0</v>
      </c>
      <c r="BW248">
        <v>0</v>
      </c>
      <c r="BZ248">
        <v>0</v>
      </c>
    </row>
    <row r="249" spans="1:82" x14ac:dyDescent="0.3">
      <c r="A249" s="155">
        <v>906</v>
      </c>
      <c r="B249" t="s">
        <v>975</v>
      </c>
      <c r="D249">
        <v>1</v>
      </c>
      <c r="E249">
        <v>1</v>
      </c>
      <c r="F249">
        <v>1</v>
      </c>
      <c r="G249">
        <v>1</v>
      </c>
      <c r="H249">
        <v>1</v>
      </c>
      <c r="I249">
        <v>1</v>
      </c>
      <c r="J249">
        <v>1</v>
      </c>
      <c r="K249">
        <v>1</v>
      </c>
      <c r="L249">
        <v>1</v>
      </c>
      <c r="M249">
        <v>1</v>
      </c>
      <c r="N249">
        <v>1</v>
      </c>
      <c r="O249">
        <v>1</v>
      </c>
      <c r="P249">
        <v>1</v>
      </c>
      <c r="Q249">
        <v>1</v>
      </c>
      <c r="R249">
        <v>1</v>
      </c>
      <c r="S249">
        <v>1</v>
      </c>
      <c r="T249">
        <v>1</v>
      </c>
      <c r="U249">
        <v>1</v>
      </c>
      <c r="V249">
        <v>1</v>
      </c>
      <c r="W249">
        <v>1</v>
      </c>
      <c r="X249">
        <v>2</v>
      </c>
      <c r="Y249">
        <v>1</v>
      </c>
      <c r="Z249">
        <v>1</v>
      </c>
      <c r="AA249">
        <v>1</v>
      </c>
      <c r="AB249">
        <v>1</v>
      </c>
      <c r="AC249">
        <v>1</v>
      </c>
      <c r="AD249">
        <v>1</v>
      </c>
      <c r="AE249">
        <v>1</v>
      </c>
      <c r="AF249">
        <v>1</v>
      </c>
      <c r="AG249">
        <v>1</v>
      </c>
      <c r="AH249">
        <v>1</v>
      </c>
      <c r="AI249">
        <v>1</v>
      </c>
      <c r="AJ249">
        <v>1</v>
      </c>
      <c r="AK249">
        <v>1</v>
      </c>
      <c r="AM249">
        <v>1</v>
      </c>
      <c r="AN249">
        <v>1</v>
      </c>
      <c r="AO249">
        <v>1</v>
      </c>
      <c r="AP249">
        <v>1</v>
      </c>
      <c r="AQ249">
        <v>1</v>
      </c>
      <c r="AR249">
        <v>1</v>
      </c>
      <c r="AS249">
        <v>1</v>
      </c>
      <c r="AT249">
        <v>1</v>
      </c>
      <c r="AU249">
        <v>1</v>
      </c>
      <c r="AV249">
        <v>1</v>
      </c>
      <c r="AW249">
        <v>1</v>
      </c>
      <c r="AX249">
        <v>1</v>
      </c>
      <c r="AY249">
        <v>1</v>
      </c>
      <c r="AZ249">
        <v>1</v>
      </c>
      <c r="BA249">
        <v>1</v>
      </c>
      <c r="BB249">
        <v>1</v>
      </c>
      <c r="BC249">
        <v>1</v>
      </c>
      <c r="BD249">
        <v>1</v>
      </c>
      <c r="BE249">
        <v>1</v>
      </c>
      <c r="BF249">
        <v>1</v>
      </c>
      <c r="BG249">
        <v>1</v>
      </c>
      <c r="BH249">
        <v>1</v>
      </c>
      <c r="BI249">
        <v>1</v>
      </c>
      <c r="BJ249">
        <v>1</v>
      </c>
      <c r="BK249">
        <v>1</v>
      </c>
      <c r="BL249">
        <v>1</v>
      </c>
      <c r="BM249">
        <v>1</v>
      </c>
      <c r="BN249">
        <v>1</v>
      </c>
      <c r="BO249">
        <v>1</v>
      </c>
      <c r="BP249">
        <v>1</v>
      </c>
      <c r="BQ249">
        <v>1</v>
      </c>
      <c r="BR249">
        <v>1</v>
      </c>
      <c r="BS249">
        <v>1</v>
      </c>
      <c r="BT249">
        <v>1</v>
      </c>
      <c r="BU249">
        <v>1</v>
      </c>
      <c r="BV249">
        <v>1</v>
      </c>
      <c r="BW249">
        <v>1</v>
      </c>
      <c r="BX249">
        <v>1</v>
      </c>
      <c r="BY249">
        <v>1</v>
      </c>
      <c r="BZ249">
        <v>1</v>
      </c>
      <c r="CA249">
        <v>1</v>
      </c>
      <c r="CB249">
        <v>1</v>
      </c>
      <c r="CD249">
        <v>1</v>
      </c>
    </row>
    <row r="250" spans="1:82" x14ac:dyDescent="0.3">
      <c r="A250" s="155">
        <v>907</v>
      </c>
      <c r="B250" t="s">
        <v>976</v>
      </c>
      <c r="D250">
        <v>1</v>
      </c>
      <c r="E250">
        <v>2</v>
      </c>
      <c r="F250">
        <v>2</v>
      </c>
      <c r="G250">
        <v>2</v>
      </c>
      <c r="H250">
        <v>1</v>
      </c>
      <c r="I250">
        <v>2</v>
      </c>
      <c r="J250">
        <v>1</v>
      </c>
      <c r="K250">
        <v>2</v>
      </c>
      <c r="L250">
        <v>2</v>
      </c>
      <c r="M250">
        <v>2</v>
      </c>
      <c r="N250">
        <v>2</v>
      </c>
      <c r="O250">
        <v>2</v>
      </c>
      <c r="P250">
        <v>2</v>
      </c>
      <c r="Q250">
        <v>2</v>
      </c>
      <c r="R250">
        <v>1</v>
      </c>
      <c r="S250">
        <v>1</v>
      </c>
      <c r="T250">
        <v>2</v>
      </c>
      <c r="U250">
        <v>2</v>
      </c>
      <c r="V250">
        <v>2</v>
      </c>
      <c r="W250">
        <v>2</v>
      </c>
      <c r="X250">
        <v>1</v>
      </c>
      <c r="Y250">
        <v>2</v>
      </c>
      <c r="Z250">
        <v>1</v>
      </c>
      <c r="AA250">
        <v>2</v>
      </c>
      <c r="AB250">
        <v>2</v>
      </c>
      <c r="AC250">
        <v>1</v>
      </c>
      <c r="AD250">
        <v>2</v>
      </c>
      <c r="AE250">
        <v>2</v>
      </c>
      <c r="AF250">
        <v>2</v>
      </c>
      <c r="AG250">
        <v>2</v>
      </c>
      <c r="AH250">
        <v>2</v>
      </c>
      <c r="AI250">
        <v>2</v>
      </c>
      <c r="AJ250">
        <v>2</v>
      </c>
      <c r="AK250">
        <v>1</v>
      </c>
      <c r="AM250">
        <v>2</v>
      </c>
      <c r="AN250">
        <v>1</v>
      </c>
      <c r="AO250">
        <v>2</v>
      </c>
      <c r="AP250">
        <v>1</v>
      </c>
      <c r="AQ250">
        <v>2</v>
      </c>
      <c r="AR250">
        <v>2</v>
      </c>
      <c r="AS250">
        <v>2</v>
      </c>
      <c r="AT250">
        <v>1</v>
      </c>
      <c r="AU250">
        <v>1</v>
      </c>
      <c r="AV250">
        <v>2</v>
      </c>
      <c r="AW250">
        <v>2</v>
      </c>
      <c r="AX250">
        <v>2</v>
      </c>
      <c r="AY250">
        <v>2</v>
      </c>
      <c r="AZ250">
        <v>1</v>
      </c>
      <c r="BA250">
        <v>2</v>
      </c>
      <c r="BB250">
        <v>1</v>
      </c>
      <c r="BC250">
        <v>1</v>
      </c>
      <c r="BD250">
        <v>2</v>
      </c>
      <c r="BE250">
        <v>1</v>
      </c>
      <c r="BF250">
        <v>1</v>
      </c>
      <c r="BG250">
        <v>2</v>
      </c>
      <c r="BH250">
        <v>1</v>
      </c>
      <c r="BI250">
        <v>1</v>
      </c>
      <c r="BJ250">
        <v>1</v>
      </c>
      <c r="BK250">
        <v>2</v>
      </c>
      <c r="BL250">
        <v>2</v>
      </c>
      <c r="BM250">
        <v>2</v>
      </c>
      <c r="BN250">
        <v>1</v>
      </c>
      <c r="BO250">
        <v>1</v>
      </c>
      <c r="BP250">
        <v>2</v>
      </c>
      <c r="BQ250">
        <v>2</v>
      </c>
      <c r="BR250">
        <v>2</v>
      </c>
      <c r="BS250">
        <v>2</v>
      </c>
      <c r="BT250">
        <v>1</v>
      </c>
      <c r="BU250">
        <v>2</v>
      </c>
      <c r="BV250">
        <v>2</v>
      </c>
      <c r="BW250">
        <v>2</v>
      </c>
      <c r="BX250">
        <v>1</v>
      </c>
      <c r="BY250">
        <v>1</v>
      </c>
      <c r="BZ250">
        <v>2</v>
      </c>
      <c r="CA250">
        <v>1</v>
      </c>
      <c r="CB250">
        <v>2</v>
      </c>
      <c r="CD250">
        <v>1</v>
      </c>
    </row>
    <row r="251" spans="1:82" x14ac:dyDescent="0.3">
      <c r="A251" s="155">
        <v>947</v>
      </c>
      <c r="B251" t="s">
        <v>977</v>
      </c>
      <c r="D251" t="s">
        <v>2142</v>
      </c>
      <c r="E251" t="s">
        <v>2143</v>
      </c>
      <c r="F251" t="s">
        <v>2144</v>
      </c>
      <c r="G251" t="s">
        <v>2033</v>
      </c>
      <c r="H251" t="s">
        <v>2145</v>
      </c>
      <c r="I251" t="s">
        <v>2146</v>
      </c>
      <c r="J251" t="s">
        <v>2029</v>
      </c>
      <c r="K251" t="s">
        <v>2147</v>
      </c>
      <c r="L251" t="s">
        <v>1679</v>
      </c>
      <c r="M251" t="s">
        <v>2038</v>
      </c>
      <c r="N251" t="s">
        <v>2148</v>
      </c>
      <c r="O251" t="s">
        <v>2091</v>
      </c>
      <c r="P251" t="s">
        <v>2031</v>
      </c>
      <c r="Q251" t="s">
        <v>2092</v>
      </c>
      <c r="R251" t="s">
        <v>2149</v>
      </c>
      <c r="S251" t="s">
        <v>2088</v>
      </c>
      <c r="T251" t="s">
        <v>2150</v>
      </c>
      <c r="U251" t="s">
        <v>2151</v>
      </c>
      <c r="V251" t="s">
        <v>2152</v>
      </c>
      <c r="W251" t="s">
        <v>2153</v>
      </c>
      <c r="X251" t="s">
        <v>2741</v>
      </c>
      <c r="Y251" t="s">
        <v>1629</v>
      </c>
      <c r="Z251" t="s">
        <v>978</v>
      </c>
      <c r="AA251" t="s">
        <v>2035</v>
      </c>
      <c r="AB251" t="s">
        <v>2154</v>
      </c>
      <c r="AC251" t="s">
        <v>978</v>
      </c>
      <c r="AD251" t="s">
        <v>2089</v>
      </c>
      <c r="AE251" t="s">
        <v>2036</v>
      </c>
      <c r="AF251" t="s">
        <v>978</v>
      </c>
      <c r="AG251" t="s">
        <v>2039</v>
      </c>
      <c r="AH251" t="s">
        <v>2155</v>
      </c>
      <c r="AI251" t="s">
        <v>2085</v>
      </c>
      <c r="AJ251" t="s">
        <v>979</v>
      </c>
      <c r="AK251" t="s">
        <v>2093</v>
      </c>
      <c r="AM251" t="s">
        <v>1993</v>
      </c>
      <c r="AN251" t="s">
        <v>2156</v>
      </c>
      <c r="AO251" t="s">
        <v>2157</v>
      </c>
      <c r="AP251" t="s">
        <v>2158</v>
      </c>
      <c r="AQ251" t="s">
        <v>2034</v>
      </c>
      <c r="AR251" t="s">
        <v>2159</v>
      </c>
      <c r="AS251" t="s">
        <v>2087</v>
      </c>
      <c r="AT251" t="s">
        <v>2032</v>
      </c>
      <c r="AU251" t="s">
        <v>2146</v>
      </c>
      <c r="AV251" t="s">
        <v>1679</v>
      </c>
      <c r="AW251" t="s">
        <v>2160</v>
      </c>
      <c r="AX251" t="s">
        <v>2161</v>
      </c>
      <c r="AY251" t="s">
        <v>2162</v>
      </c>
      <c r="AZ251" t="s">
        <v>2163</v>
      </c>
      <c r="BA251" t="s">
        <v>2164</v>
      </c>
      <c r="BB251" t="s">
        <v>2165</v>
      </c>
      <c r="BC251" t="s">
        <v>2037</v>
      </c>
      <c r="BD251" t="s">
        <v>2166</v>
      </c>
      <c r="BE251" t="s">
        <v>2167</v>
      </c>
      <c r="BF251" t="s">
        <v>2064</v>
      </c>
      <c r="BG251" t="s">
        <v>2168</v>
      </c>
      <c r="BH251" t="s">
        <v>2169</v>
      </c>
      <c r="BI251" t="s">
        <v>2170</v>
      </c>
      <c r="BJ251" t="s">
        <v>2171</v>
      </c>
      <c r="BK251" t="s">
        <v>2172</v>
      </c>
      <c r="BL251" t="s">
        <v>979</v>
      </c>
      <c r="BM251" t="s">
        <v>2086</v>
      </c>
      <c r="BN251" t="s">
        <v>2094</v>
      </c>
      <c r="BO251" t="s">
        <v>2159</v>
      </c>
      <c r="BP251" t="s">
        <v>2150</v>
      </c>
      <c r="BQ251" t="s">
        <v>2173</v>
      </c>
      <c r="BR251" t="s">
        <v>2174</v>
      </c>
      <c r="BS251" t="s">
        <v>2037</v>
      </c>
      <c r="BT251" t="s">
        <v>2064</v>
      </c>
      <c r="BU251" t="s">
        <v>2030</v>
      </c>
      <c r="BV251" t="s">
        <v>2167</v>
      </c>
      <c r="BW251" t="s">
        <v>2175</v>
      </c>
      <c r="BX251" t="s">
        <v>2176</v>
      </c>
      <c r="BY251" t="s">
        <v>2177</v>
      </c>
      <c r="BZ251" t="s">
        <v>2178</v>
      </c>
      <c r="CA251" t="s">
        <v>2179</v>
      </c>
      <c r="CB251" t="s">
        <v>2180</v>
      </c>
      <c r="CD251" t="s">
        <v>2035</v>
      </c>
    </row>
    <row r="252" spans="1:82" x14ac:dyDescent="0.3">
      <c r="A252" s="155">
        <v>948</v>
      </c>
      <c r="B252" t="s">
        <v>980</v>
      </c>
      <c r="D252" t="s">
        <v>2181</v>
      </c>
      <c r="E252" t="s">
        <v>2182</v>
      </c>
      <c r="F252" t="s">
        <v>2045</v>
      </c>
      <c r="G252" t="s">
        <v>2183</v>
      </c>
      <c r="H252" t="s">
        <v>2184</v>
      </c>
      <c r="I252" t="s">
        <v>2185</v>
      </c>
      <c r="J252" t="s">
        <v>1627</v>
      </c>
      <c r="K252" t="s">
        <v>2186</v>
      </c>
      <c r="L252" t="s">
        <v>2187</v>
      </c>
      <c r="M252" t="s">
        <v>2188</v>
      </c>
      <c r="N252" t="s">
        <v>2189</v>
      </c>
      <c r="O252" t="s">
        <v>2190</v>
      </c>
      <c r="P252" t="s">
        <v>2191</v>
      </c>
      <c r="Q252" t="s">
        <v>1994</v>
      </c>
      <c r="R252" t="s">
        <v>2192</v>
      </c>
      <c r="S252" t="s">
        <v>2065</v>
      </c>
      <c r="T252" t="s">
        <v>2193</v>
      </c>
      <c r="U252" t="s">
        <v>2194</v>
      </c>
      <c r="V252" t="s">
        <v>2195</v>
      </c>
      <c r="W252" t="s">
        <v>2196</v>
      </c>
      <c r="X252" t="s">
        <v>2742</v>
      </c>
      <c r="Y252" t="s">
        <v>2197</v>
      </c>
      <c r="Z252" t="s">
        <v>2127</v>
      </c>
      <c r="AA252" t="s">
        <v>2198</v>
      </c>
      <c r="AB252" t="s">
        <v>2199</v>
      </c>
      <c r="AC252" t="s">
        <v>2200</v>
      </c>
      <c r="AD252" t="s">
        <v>2042</v>
      </c>
      <c r="AE252" t="s">
        <v>2201</v>
      </c>
      <c r="AF252" t="s">
        <v>2044</v>
      </c>
      <c r="AG252" t="s">
        <v>2202</v>
      </c>
      <c r="AH252" t="s">
        <v>2203</v>
      </c>
      <c r="AI252" t="s">
        <v>2204</v>
      </c>
      <c r="AJ252" t="s">
        <v>2205</v>
      </c>
      <c r="AK252" t="s">
        <v>2043</v>
      </c>
      <c r="AM252" t="s">
        <v>2090</v>
      </c>
      <c r="AN252" t="s">
        <v>2206</v>
      </c>
      <c r="AO252" t="s">
        <v>2207</v>
      </c>
      <c r="AP252" t="s">
        <v>2208</v>
      </c>
      <c r="AQ252" t="s">
        <v>2209</v>
      </c>
      <c r="AR252" t="s">
        <v>2210</v>
      </c>
      <c r="AS252" t="s">
        <v>1994</v>
      </c>
      <c r="AT252" t="s">
        <v>2211</v>
      </c>
      <c r="AU252" t="s">
        <v>1995</v>
      </c>
      <c r="AV252" t="s">
        <v>2212</v>
      </c>
      <c r="AW252" t="s">
        <v>2213</v>
      </c>
      <c r="AX252" t="s">
        <v>2214</v>
      </c>
      <c r="AY252" t="s">
        <v>2215</v>
      </c>
      <c r="AZ252" t="s">
        <v>2041</v>
      </c>
      <c r="BA252" t="s">
        <v>2044</v>
      </c>
      <c r="BB252" t="s">
        <v>2216</v>
      </c>
      <c r="BC252" t="s">
        <v>2217</v>
      </c>
      <c r="BD252" t="s">
        <v>2218</v>
      </c>
      <c r="BE252" t="s">
        <v>2219</v>
      </c>
      <c r="BF252" t="s">
        <v>2220</v>
      </c>
      <c r="BG252" t="s">
        <v>2221</v>
      </c>
      <c r="BH252" t="s">
        <v>2222</v>
      </c>
      <c r="BI252" t="s">
        <v>2223</v>
      </c>
      <c r="BJ252" t="s">
        <v>2224</v>
      </c>
      <c r="BK252" t="s">
        <v>2040</v>
      </c>
      <c r="BL252" t="s">
        <v>2225</v>
      </c>
      <c r="BM252" t="s">
        <v>2226</v>
      </c>
      <c r="BN252" t="s">
        <v>2096</v>
      </c>
      <c r="BO252" t="s">
        <v>2227</v>
      </c>
      <c r="BP252" t="s">
        <v>2228</v>
      </c>
      <c r="BQ252" t="s">
        <v>2229</v>
      </c>
      <c r="BR252" t="s">
        <v>2230</v>
      </c>
      <c r="BS252" t="s">
        <v>2231</v>
      </c>
      <c r="BT252" t="s">
        <v>2232</v>
      </c>
      <c r="BU252" t="s">
        <v>2233</v>
      </c>
      <c r="BV252" t="s">
        <v>2234</v>
      </c>
      <c r="BW252" t="s">
        <v>1100</v>
      </c>
      <c r="BX252" t="s">
        <v>2235</v>
      </c>
      <c r="BY252" t="s">
        <v>2236</v>
      </c>
      <c r="BZ252" t="s">
        <v>2237</v>
      </c>
      <c r="CA252" t="s">
        <v>2238</v>
      </c>
      <c r="CB252" t="s">
        <v>2239</v>
      </c>
      <c r="CD252" t="s">
        <v>2240</v>
      </c>
    </row>
    <row r="253" spans="1:82" x14ac:dyDescent="0.3">
      <c r="A253" s="155">
        <v>949</v>
      </c>
      <c r="B253" t="s">
        <v>981</v>
      </c>
      <c r="D253" t="s">
        <v>431</v>
      </c>
      <c r="E253" t="s">
        <v>413</v>
      </c>
      <c r="F253" t="s">
        <v>413</v>
      </c>
      <c r="G253" t="s">
        <v>413</v>
      </c>
      <c r="H253" t="s">
        <v>413</v>
      </c>
      <c r="I253" t="s">
        <v>413</v>
      </c>
      <c r="J253" t="s">
        <v>413</v>
      </c>
      <c r="K253" t="s">
        <v>413</v>
      </c>
      <c r="L253" t="s">
        <v>413</v>
      </c>
      <c r="M253" t="s">
        <v>413</v>
      </c>
      <c r="N253" t="s">
        <v>413</v>
      </c>
      <c r="O253" t="s">
        <v>413</v>
      </c>
      <c r="P253" t="s">
        <v>413</v>
      </c>
      <c r="Q253" t="s">
        <v>413</v>
      </c>
      <c r="R253" t="s">
        <v>413</v>
      </c>
      <c r="S253" t="s">
        <v>413</v>
      </c>
      <c r="T253" t="s">
        <v>413</v>
      </c>
      <c r="U253" t="s">
        <v>413</v>
      </c>
      <c r="V253" t="s">
        <v>413</v>
      </c>
      <c r="W253" t="s">
        <v>413</v>
      </c>
      <c r="X253" t="s">
        <v>413</v>
      </c>
      <c r="Y253" t="s">
        <v>413</v>
      </c>
      <c r="Z253" t="s">
        <v>413</v>
      </c>
      <c r="AA253" t="s">
        <v>413</v>
      </c>
      <c r="AB253" t="s">
        <v>413</v>
      </c>
      <c r="AC253" t="s">
        <v>413</v>
      </c>
      <c r="AD253" t="s">
        <v>413</v>
      </c>
      <c r="AE253" t="s">
        <v>413</v>
      </c>
      <c r="AF253" t="s">
        <v>413</v>
      </c>
      <c r="AG253" t="s">
        <v>413</v>
      </c>
      <c r="AH253" t="s">
        <v>413</v>
      </c>
      <c r="AI253" t="s">
        <v>413</v>
      </c>
      <c r="AJ253" t="s">
        <v>413</v>
      </c>
      <c r="AK253" t="s">
        <v>413</v>
      </c>
      <c r="AM253" t="s">
        <v>413</v>
      </c>
      <c r="AN253" t="s">
        <v>413</v>
      </c>
      <c r="AO253" t="s">
        <v>413</v>
      </c>
      <c r="AP253" t="s">
        <v>413</v>
      </c>
      <c r="AQ253" t="s">
        <v>413</v>
      </c>
      <c r="AR253" t="s">
        <v>413</v>
      </c>
      <c r="AS253" t="s">
        <v>413</v>
      </c>
      <c r="AT253" t="s">
        <v>431</v>
      </c>
      <c r="AU253" t="s">
        <v>413</v>
      </c>
      <c r="AV253" t="s">
        <v>413</v>
      </c>
      <c r="AW253" t="s">
        <v>413</v>
      </c>
      <c r="AX253" t="s">
        <v>413</v>
      </c>
      <c r="AY253" t="s">
        <v>413</v>
      </c>
      <c r="AZ253" t="s">
        <v>413</v>
      </c>
      <c r="BA253" t="s">
        <v>413</v>
      </c>
      <c r="BB253" t="s">
        <v>413</v>
      </c>
      <c r="BC253" t="s">
        <v>413</v>
      </c>
      <c r="BD253" t="s">
        <v>413</v>
      </c>
      <c r="BE253" t="s">
        <v>413</v>
      </c>
      <c r="BF253" t="s">
        <v>413</v>
      </c>
      <c r="BG253" t="s">
        <v>413</v>
      </c>
      <c r="BH253" t="s">
        <v>413</v>
      </c>
      <c r="BI253" t="s">
        <v>413</v>
      </c>
      <c r="BJ253" t="s">
        <v>413</v>
      </c>
      <c r="BK253" t="s">
        <v>413</v>
      </c>
      <c r="BL253" t="s">
        <v>431</v>
      </c>
      <c r="BM253" t="s">
        <v>413</v>
      </c>
      <c r="BN253" t="s">
        <v>413</v>
      </c>
      <c r="BO253" t="s">
        <v>413</v>
      </c>
      <c r="BP253" t="s">
        <v>413</v>
      </c>
      <c r="BQ253" t="s">
        <v>413</v>
      </c>
      <c r="BR253" t="s">
        <v>2241</v>
      </c>
      <c r="BS253" t="s">
        <v>413</v>
      </c>
      <c r="BT253" t="s">
        <v>413</v>
      </c>
      <c r="BU253" t="s">
        <v>413</v>
      </c>
      <c r="BV253" t="s">
        <v>413</v>
      </c>
      <c r="BW253" t="s">
        <v>431</v>
      </c>
      <c r="BX253" t="s">
        <v>413</v>
      </c>
      <c r="BY253" t="s">
        <v>413</v>
      </c>
      <c r="BZ253" t="s">
        <v>413</v>
      </c>
      <c r="CA253" t="s">
        <v>413</v>
      </c>
      <c r="CB253" t="s">
        <v>413</v>
      </c>
      <c r="CD253" t="s">
        <v>413</v>
      </c>
    </row>
    <row r="254" spans="1:82" x14ac:dyDescent="0.3">
      <c r="A254" s="155">
        <v>950</v>
      </c>
      <c r="B254" t="s">
        <v>982</v>
      </c>
      <c r="D254" t="s">
        <v>50</v>
      </c>
      <c r="E254" t="s">
        <v>50</v>
      </c>
      <c r="F254" t="s">
        <v>50</v>
      </c>
      <c r="G254" t="s">
        <v>50</v>
      </c>
      <c r="H254" t="s">
        <v>50</v>
      </c>
      <c r="I254" t="s">
        <v>50</v>
      </c>
      <c r="J254" t="s">
        <v>50</v>
      </c>
      <c r="K254" t="s">
        <v>50</v>
      </c>
      <c r="L254" t="s">
        <v>50</v>
      </c>
      <c r="M254" t="s">
        <v>50</v>
      </c>
      <c r="N254" t="s">
        <v>50</v>
      </c>
      <c r="O254" t="s">
        <v>50</v>
      </c>
      <c r="P254" t="s">
        <v>50</v>
      </c>
      <c r="Q254" t="s">
        <v>50</v>
      </c>
      <c r="R254" t="s">
        <v>50</v>
      </c>
      <c r="S254" t="s">
        <v>50</v>
      </c>
      <c r="T254" t="s">
        <v>50</v>
      </c>
      <c r="U254" t="s">
        <v>50</v>
      </c>
      <c r="V254" t="s">
        <v>50</v>
      </c>
      <c r="W254" t="s">
        <v>50</v>
      </c>
      <c r="X254" t="s">
        <v>50</v>
      </c>
      <c r="Y254" t="s">
        <v>50</v>
      </c>
      <c r="Z254" t="s">
        <v>50</v>
      </c>
      <c r="AA254" t="s">
        <v>50</v>
      </c>
      <c r="AB254" t="s">
        <v>50</v>
      </c>
      <c r="AC254" t="s">
        <v>50</v>
      </c>
      <c r="AD254" t="s">
        <v>50</v>
      </c>
      <c r="AE254" t="s">
        <v>50</v>
      </c>
      <c r="AF254" t="s">
        <v>1681</v>
      </c>
      <c r="AG254" t="s">
        <v>50</v>
      </c>
      <c r="AH254" t="s">
        <v>50</v>
      </c>
      <c r="AI254" t="s">
        <v>50</v>
      </c>
      <c r="AJ254" t="s">
        <v>51</v>
      </c>
      <c r="AK254" t="s">
        <v>50</v>
      </c>
      <c r="AM254" t="s">
        <v>50</v>
      </c>
      <c r="AN254" t="s">
        <v>50</v>
      </c>
      <c r="AO254" t="s">
        <v>50</v>
      </c>
      <c r="AP254" t="s">
        <v>50</v>
      </c>
      <c r="AQ254" t="s">
        <v>50</v>
      </c>
      <c r="AR254" t="s">
        <v>50</v>
      </c>
      <c r="AS254" t="s">
        <v>50</v>
      </c>
      <c r="AT254" t="s">
        <v>50</v>
      </c>
      <c r="AU254" t="s">
        <v>50</v>
      </c>
      <c r="AV254" t="s">
        <v>50</v>
      </c>
      <c r="AW254" t="s">
        <v>50</v>
      </c>
      <c r="AX254" t="s">
        <v>50</v>
      </c>
      <c r="AY254" t="s">
        <v>50</v>
      </c>
      <c r="AZ254" t="s">
        <v>50</v>
      </c>
      <c r="BA254" t="s">
        <v>50</v>
      </c>
      <c r="BB254" t="s">
        <v>50</v>
      </c>
      <c r="BC254" t="s">
        <v>50</v>
      </c>
      <c r="BD254" t="s">
        <v>50</v>
      </c>
      <c r="BE254" t="s">
        <v>50</v>
      </c>
      <c r="BF254" t="s">
        <v>50</v>
      </c>
      <c r="BG254" t="s">
        <v>50</v>
      </c>
      <c r="BH254" t="s">
        <v>50</v>
      </c>
      <c r="BI254" t="s">
        <v>50</v>
      </c>
      <c r="BJ254" t="s">
        <v>50</v>
      </c>
      <c r="BK254" t="s">
        <v>50</v>
      </c>
      <c r="BL254" t="s">
        <v>50</v>
      </c>
      <c r="BM254" t="s">
        <v>50</v>
      </c>
      <c r="BN254" t="s">
        <v>50</v>
      </c>
      <c r="BO254" t="s">
        <v>50</v>
      </c>
      <c r="BP254" t="s">
        <v>50</v>
      </c>
      <c r="BQ254" t="s">
        <v>50</v>
      </c>
      <c r="BR254" t="s">
        <v>50</v>
      </c>
      <c r="BS254" t="s">
        <v>50</v>
      </c>
      <c r="BT254" t="s">
        <v>50</v>
      </c>
      <c r="BU254" t="s">
        <v>50</v>
      </c>
      <c r="BV254" t="s">
        <v>50</v>
      </c>
      <c r="BW254" t="s">
        <v>50</v>
      </c>
      <c r="BX254" t="s">
        <v>50</v>
      </c>
      <c r="BY254" t="s">
        <v>50</v>
      </c>
      <c r="BZ254" t="s">
        <v>50</v>
      </c>
      <c r="CA254" t="s">
        <v>50</v>
      </c>
      <c r="CB254" t="s">
        <v>50</v>
      </c>
      <c r="CD254" t="s">
        <v>50</v>
      </c>
    </row>
    <row r="255" spans="1:82" x14ac:dyDescent="0.3">
      <c r="A255" s="155">
        <v>951</v>
      </c>
      <c r="B255" t="s">
        <v>983</v>
      </c>
      <c r="D255">
        <v>2</v>
      </c>
      <c r="E255">
        <v>2</v>
      </c>
      <c r="F255">
        <v>2</v>
      </c>
      <c r="G255">
        <v>2</v>
      </c>
      <c r="H255">
        <v>2</v>
      </c>
      <c r="I255">
        <v>2</v>
      </c>
      <c r="J255">
        <v>1</v>
      </c>
      <c r="K255">
        <v>2</v>
      </c>
      <c r="L255">
        <v>2</v>
      </c>
      <c r="M255">
        <v>2</v>
      </c>
      <c r="N255">
        <v>2</v>
      </c>
      <c r="O255">
        <v>2</v>
      </c>
      <c r="P255">
        <v>2</v>
      </c>
      <c r="Q255">
        <v>2</v>
      </c>
      <c r="R255">
        <v>2</v>
      </c>
      <c r="S255">
        <v>2</v>
      </c>
      <c r="T255">
        <v>2</v>
      </c>
      <c r="U255">
        <v>2</v>
      </c>
      <c r="V255">
        <v>2</v>
      </c>
      <c r="W255">
        <v>2</v>
      </c>
      <c r="X255">
        <v>2</v>
      </c>
      <c r="Y255">
        <v>2</v>
      </c>
      <c r="Z255">
        <v>2</v>
      </c>
      <c r="AA255">
        <v>2</v>
      </c>
      <c r="AB255">
        <v>2</v>
      </c>
      <c r="AC255">
        <v>2</v>
      </c>
      <c r="AD255">
        <v>2</v>
      </c>
      <c r="AE255">
        <v>2</v>
      </c>
      <c r="AF255">
        <v>2</v>
      </c>
      <c r="AG255">
        <v>2</v>
      </c>
      <c r="AH255">
        <v>2</v>
      </c>
      <c r="AI255">
        <v>2</v>
      </c>
      <c r="AJ255">
        <v>2</v>
      </c>
      <c r="AK255">
        <v>1</v>
      </c>
      <c r="AM255">
        <v>2</v>
      </c>
      <c r="AN255">
        <v>2</v>
      </c>
      <c r="AO255">
        <v>2</v>
      </c>
      <c r="AP255">
        <v>2</v>
      </c>
      <c r="AQ255">
        <v>2</v>
      </c>
      <c r="AR255">
        <v>2</v>
      </c>
      <c r="AS255">
        <v>2</v>
      </c>
      <c r="AT255">
        <v>2</v>
      </c>
      <c r="AU255">
        <v>2</v>
      </c>
      <c r="AV255">
        <v>2</v>
      </c>
      <c r="AW255">
        <v>2</v>
      </c>
      <c r="AX255">
        <v>2</v>
      </c>
      <c r="AY255">
        <v>2</v>
      </c>
      <c r="AZ255">
        <v>1</v>
      </c>
      <c r="BA255">
        <v>2</v>
      </c>
      <c r="BB255">
        <v>2</v>
      </c>
      <c r="BC255">
        <v>1</v>
      </c>
      <c r="BD255">
        <v>2</v>
      </c>
      <c r="BE255">
        <v>2</v>
      </c>
      <c r="BF255">
        <v>2</v>
      </c>
      <c r="BG255">
        <v>2</v>
      </c>
      <c r="BH255">
        <v>1</v>
      </c>
      <c r="BI255">
        <v>1</v>
      </c>
      <c r="BJ255">
        <v>2</v>
      </c>
      <c r="BK255">
        <v>2</v>
      </c>
      <c r="BL255">
        <v>2</v>
      </c>
      <c r="BM255">
        <v>2</v>
      </c>
      <c r="BN255">
        <v>2</v>
      </c>
      <c r="BO255">
        <v>2</v>
      </c>
      <c r="BP255">
        <v>2</v>
      </c>
      <c r="BQ255">
        <v>2</v>
      </c>
      <c r="BR255">
        <v>2</v>
      </c>
      <c r="BS255">
        <v>2</v>
      </c>
      <c r="BT255">
        <v>2</v>
      </c>
      <c r="BU255">
        <v>2</v>
      </c>
      <c r="BV255">
        <v>2</v>
      </c>
      <c r="BW255">
        <v>2</v>
      </c>
      <c r="BX255">
        <v>2</v>
      </c>
      <c r="BY255">
        <v>1</v>
      </c>
      <c r="BZ255">
        <v>2</v>
      </c>
      <c r="CA255">
        <v>1</v>
      </c>
      <c r="CB255">
        <v>2</v>
      </c>
      <c r="CD255">
        <v>2</v>
      </c>
    </row>
    <row r="256" spans="1:82" x14ac:dyDescent="0.3">
      <c r="A256" s="155">
        <v>952</v>
      </c>
      <c r="B256" t="s">
        <v>984</v>
      </c>
      <c r="G256" t="s">
        <v>2242</v>
      </c>
      <c r="H256" t="s">
        <v>2000</v>
      </c>
      <c r="I256" t="s">
        <v>2243</v>
      </c>
      <c r="J256" t="s">
        <v>2000</v>
      </c>
      <c r="L256" t="s">
        <v>2244</v>
      </c>
      <c r="M256" t="s">
        <v>2245</v>
      </c>
      <c r="N256" t="s">
        <v>2048</v>
      </c>
      <c r="O256" t="s">
        <v>2097</v>
      </c>
      <c r="P256" t="s">
        <v>2246</v>
      </c>
      <c r="Q256" t="s">
        <v>2048</v>
      </c>
      <c r="S256" t="s">
        <v>2247</v>
      </c>
      <c r="T256" t="s">
        <v>2248</v>
      </c>
      <c r="U256" t="s">
        <v>2100</v>
      </c>
      <c r="V256" t="s">
        <v>986</v>
      </c>
      <c r="W256" t="s">
        <v>2249</v>
      </c>
      <c r="X256" t="s">
        <v>2001</v>
      </c>
      <c r="Y256" t="s">
        <v>2250</v>
      </c>
      <c r="Z256" t="s">
        <v>2251</v>
      </c>
      <c r="AA256" t="s">
        <v>2252</v>
      </c>
      <c r="AB256" t="s">
        <v>2253</v>
      </c>
      <c r="AC256" t="s">
        <v>985</v>
      </c>
      <c r="AD256" t="s">
        <v>2047</v>
      </c>
      <c r="AE256" t="s">
        <v>2254</v>
      </c>
      <c r="AF256" t="s">
        <v>2255</v>
      </c>
      <c r="AH256" t="s">
        <v>986</v>
      </c>
      <c r="AI256" t="s">
        <v>1019</v>
      </c>
      <c r="AK256" t="s">
        <v>2256</v>
      </c>
      <c r="AM256" t="s">
        <v>2257</v>
      </c>
      <c r="AN256" t="s">
        <v>2258</v>
      </c>
      <c r="AO256" t="s">
        <v>2259</v>
      </c>
      <c r="AP256" t="s">
        <v>2260</v>
      </c>
      <c r="AQ256" t="s">
        <v>2261</v>
      </c>
      <c r="AR256" t="s">
        <v>2262</v>
      </c>
      <c r="AS256" t="s">
        <v>2000</v>
      </c>
      <c r="AT256" t="s">
        <v>2050</v>
      </c>
      <c r="AU256" t="s">
        <v>2263</v>
      </c>
      <c r="AV256" t="s">
        <v>2264</v>
      </c>
      <c r="AW256" t="s">
        <v>2265</v>
      </c>
      <c r="AX256" t="s">
        <v>2266</v>
      </c>
      <c r="AY256" t="s">
        <v>2267</v>
      </c>
      <c r="AZ256" t="s">
        <v>2046</v>
      </c>
      <c r="BA256" t="s">
        <v>2268</v>
      </c>
      <c r="BB256" t="s">
        <v>2262</v>
      </c>
      <c r="BC256" t="s">
        <v>2266</v>
      </c>
      <c r="BD256" t="s">
        <v>2099</v>
      </c>
      <c r="BE256" t="s">
        <v>2269</v>
      </c>
      <c r="BF256" t="s">
        <v>2270</v>
      </c>
      <c r="BG256" t="s">
        <v>2243</v>
      </c>
      <c r="BH256" t="s">
        <v>2049</v>
      </c>
      <c r="BI256" t="s">
        <v>1999</v>
      </c>
      <c r="BJ256" t="s">
        <v>2271</v>
      </c>
      <c r="BK256" t="s">
        <v>2066</v>
      </c>
      <c r="BL256" t="s">
        <v>2101</v>
      </c>
      <c r="BM256" t="s">
        <v>2272</v>
      </c>
      <c r="BN256" t="s">
        <v>1997</v>
      </c>
      <c r="BO256" t="s">
        <v>2273</v>
      </c>
      <c r="BP256" t="s">
        <v>1999</v>
      </c>
      <c r="BQ256" t="s">
        <v>2051</v>
      </c>
      <c r="BR256" t="s">
        <v>1999</v>
      </c>
      <c r="BS256" t="s">
        <v>2264</v>
      </c>
      <c r="BT256" t="s">
        <v>2274</v>
      </c>
      <c r="BU256" t="s">
        <v>2097</v>
      </c>
      <c r="BV256" t="s">
        <v>2275</v>
      </c>
      <c r="BW256" t="s">
        <v>986</v>
      </c>
      <c r="BX256" t="s">
        <v>2276</v>
      </c>
      <c r="BY256" t="s">
        <v>1998</v>
      </c>
      <c r="CA256" t="s">
        <v>2277</v>
      </c>
      <c r="CB256" t="s">
        <v>2278</v>
      </c>
      <c r="CD256" t="s">
        <v>986</v>
      </c>
    </row>
    <row r="257" spans="1:82" x14ac:dyDescent="0.3">
      <c r="A257" s="155">
        <v>953</v>
      </c>
      <c r="B257" t="s">
        <v>987</v>
      </c>
      <c r="D257">
        <v>2</v>
      </c>
      <c r="E257">
        <v>2</v>
      </c>
      <c r="F257">
        <v>2</v>
      </c>
      <c r="G257">
        <v>2</v>
      </c>
      <c r="H257">
        <v>2</v>
      </c>
      <c r="I257">
        <v>2</v>
      </c>
      <c r="J257">
        <v>2</v>
      </c>
      <c r="K257">
        <v>2</v>
      </c>
      <c r="L257">
        <v>2</v>
      </c>
      <c r="M257">
        <v>2</v>
      </c>
      <c r="N257">
        <v>2</v>
      </c>
      <c r="O257">
        <v>2</v>
      </c>
      <c r="P257">
        <v>2</v>
      </c>
      <c r="Q257">
        <v>2</v>
      </c>
      <c r="R257">
        <v>2</v>
      </c>
      <c r="S257">
        <v>2</v>
      </c>
      <c r="T257">
        <v>2</v>
      </c>
      <c r="U257">
        <v>2</v>
      </c>
      <c r="V257">
        <v>2</v>
      </c>
      <c r="W257">
        <v>2</v>
      </c>
      <c r="X257">
        <v>2</v>
      </c>
      <c r="Y257">
        <v>2</v>
      </c>
      <c r="Z257">
        <v>2</v>
      </c>
      <c r="AA257">
        <v>2</v>
      </c>
      <c r="AB257">
        <v>2</v>
      </c>
      <c r="AC257">
        <v>2</v>
      </c>
      <c r="AD257">
        <v>2</v>
      </c>
      <c r="AE257">
        <v>2</v>
      </c>
      <c r="AF257">
        <v>2</v>
      </c>
      <c r="AG257">
        <v>2</v>
      </c>
      <c r="AH257">
        <v>2</v>
      </c>
      <c r="AI257">
        <v>2</v>
      </c>
      <c r="AJ257">
        <v>2</v>
      </c>
      <c r="AK257">
        <v>2</v>
      </c>
      <c r="AM257">
        <v>2</v>
      </c>
      <c r="AN257">
        <v>2</v>
      </c>
      <c r="AO257">
        <v>2</v>
      </c>
      <c r="AP257">
        <v>2</v>
      </c>
      <c r="AQ257">
        <v>2</v>
      </c>
      <c r="AR257">
        <v>2</v>
      </c>
      <c r="AS257">
        <v>2</v>
      </c>
      <c r="AT257">
        <v>2</v>
      </c>
      <c r="AU257">
        <v>2</v>
      </c>
      <c r="AV257">
        <v>2</v>
      </c>
      <c r="AW257">
        <v>2</v>
      </c>
      <c r="AX257">
        <v>2</v>
      </c>
      <c r="AY257">
        <v>2</v>
      </c>
      <c r="AZ257">
        <v>2</v>
      </c>
      <c r="BA257">
        <v>2</v>
      </c>
      <c r="BB257">
        <v>2</v>
      </c>
      <c r="BC257">
        <v>2</v>
      </c>
      <c r="BD257">
        <v>2</v>
      </c>
      <c r="BE257">
        <v>2</v>
      </c>
      <c r="BF257">
        <v>2</v>
      </c>
      <c r="BG257">
        <v>2</v>
      </c>
      <c r="BH257">
        <v>2</v>
      </c>
      <c r="BI257">
        <v>2</v>
      </c>
      <c r="BJ257">
        <v>2</v>
      </c>
      <c r="BK257">
        <v>2</v>
      </c>
      <c r="BL257">
        <v>2</v>
      </c>
      <c r="BM257">
        <v>2</v>
      </c>
      <c r="BN257">
        <v>2</v>
      </c>
      <c r="BO257">
        <v>2</v>
      </c>
      <c r="BP257">
        <v>2</v>
      </c>
      <c r="BQ257">
        <v>2</v>
      </c>
      <c r="BR257">
        <v>2</v>
      </c>
      <c r="BS257">
        <v>2</v>
      </c>
      <c r="BT257">
        <v>2</v>
      </c>
      <c r="BU257">
        <v>2</v>
      </c>
      <c r="BV257">
        <v>2</v>
      </c>
      <c r="BW257">
        <v>2</v>
      </c>
      <c r="BX257">
        <v>2</v>
      </c>
      <c r="BY257">
        <v>2</v>
      </c>
      <c r="BZ257">
        <v>2</v>
      </c>
      <c r="CA257">
        <v>2</v>
      </c>
      <c r="CB257">
        <v>2</v>
      </c>
      <c r="CD257">
        <v>2</v>
      </c>
    </row>
    <row r="258" spans="1:82" x14ac:dyDescent="0.3">
      <c r="A258" s="155">
        <v>954</v>
      </c>
      <c r="B258" t="s">
        <v>411</v>
      </c>
      <c r="D258" t="s">
        <v>50</v>
      </c>
      <c r="E258" t="s">
        <v>50</v>
      </c>
      <c r="F258" t="s">
        <v>50</v>
      </c>
      <c r="G258" t="s">
        <v>50</v>
      </c>
      <c r="H258" t="s">
        <v>50</v>
      </c>
      <c r="I258" t="s">
        <v>50</v>
      </c>
      <c r="J258" t="s">
        <v>50</v>
      </c>
      <c r="K258" t="s">
        <v>50</v>
      </c>
      <c r="L258" t="s">
        <v>50</v>
      </c>
      <c r="M258" t="s">
        <v>50</v>
      </c>
      <c r="N258" t="s">
        <v>50</v>
      </c>
      <c r="O258" t="s">
        <v>50</v>
      </c>
      <c r="P258" t="s">
        <v>50</v>
      </c>
      <c r="Q258" t="s">
        <v>50</v>
      </c>
      <c r="R258" t="s">
        <v>50</v>
      </c>
      <c r="S258" t="s">
        <v>50</v>
      </c>
      <c r="T258" t="s">
        <v>50</v>
      </c>
      <c r="U258" t="s">
        <v>50</v>
      </c>
      <c r="V258" t="s">
        <v>50</v>
      </c>
      <c r="W258" t="s">
        <v>50</v>
      </c>
      <c r="X258" t="s">
        <v>50</v>
      </c>
      <c r="Y258" t="s">
        <v>50</v>
      </c>
      <c r="Z258" t="s">
        <v>50</v>
      </c>
      <c r="AA258" t="s">
        <v>50</v>
      </c>
      <c r="AB258" t="s">
        <v>50</v>
      </c>
      <c r="AC258" t="s">
        <v>50</v>
      </c>
      <c r="AD258" t="s">
        <v>50</v>
      </c>
      <c r="AE258" t="s">
        <v>50</v>
      </c>
      <c r="AF258" t="s">
        <v>1681</v>
      </c>
      <c r="AG258" t="s">
        <v>50</v>
      </c>
      <c r="AH258" t="s">
        <v>50</v>
      </c>
      <c r="AI258" t="s">
        <v>50</v>
      </c>
      <c r="AJ258" t="s">
        <v>50</v>
      </c>
      <c r="AK258" t="s">
        <v>50</v>
      </c>
      <c r="AM258" t="s">
        <v>50</v>
      </c>
      <c r="AN258" t="s">
        <v>51</v>
      </c>
      <c r="AO258" t="s">
        <v>50</v>
      </c>
      <c r="AP258" t="s">
        <v>50</v>
      </c>
      <c r="AQ258" t="s">
        <v>50</v>
      </c>
      <c r="AR258" t="s">
        <v>50</v>
      </c>
      <c r="AS258" t="s">
        <v>50</v>
      </c>
      <c r="AT258" t="s">
        <v>50</v>
      </c>
      <c r="AU258" t="s">
        <v>50</v>
      </c>
      <c r="AV258" t="s">
        <v>50</v>
      </c>
      <c r="AW258" t="s">
        <v>50</v>
      </c>
      <c r="AX258" t="s">
        <v>50</v>
      </c>
      <c r="AY258" t="s">
        <v>50</v>
      </c>
      <c r="AZ258" t="s">
        <v>50</v>
      </c>
      <c r="BA258" t="s">
        <v>50</v>
      </c>
      <c r="BB258" t="s">
        <v>50</v>
      </c>
      <c r="BC258" t="s">
        <v>50</v>
      </c>
      <c r="BD258" t="s">
        <v>50</v>
      </c>
      <c r="BE258" t="s">
        <v>50</v>
      </c>
      <c r="BF258" t="s">
        <v>50</v>
      </c>
      <c r="BG258" t="s">
        <v>50</v>
      </c>
      <c r="BH258" t="s">
        <v>50</v>
      </c>
      <c r="BI258" t="s">
        <v>50</v>
      </c>
      <c r="BJ258" t="s">
        <v>50</v>
      </c>
      <c r="BK258" t="s">
        <v>50</v>
      </c>
      <c r="BL258" t="s">
        <v>50</v>
      </c>
      <c r="BM258" t="s">
        <v>50</v>
      </c>
      <c r="BN258" t="s">
        <v>50</v>
      </c>
      <c r="BO258" t="s">
        <v>50</v>
      </c>
      <c r="BP258" t="s">
        <v>50</v>
      </c>
      <c r="BQ258" t="s">
        <v>50</v>
      </c>
      <c r="BR258" t="s">
        <v>50</v>
      </c>
      <c r="BS258" t="s">
        <v>50</v>
      </c>
      <c r="BT258" t="s">
        <v>50</v>
      </c>
      <c r="BU258" t="s">
        <v>50</v>
      </c>
      <c r="BV258" t="s">
        <v>50</v>
      </c>
      <c r="BW258" t="s">
        <v>50</v>
      </c>
      <c r="BX258" t="s">
        <v>50</v>
      </c>
      <c r="BY258" t="s">
        <v>50</v>
      </c>
      <c r="BZ258" t="s">
        <v>50</v>
      </c>
      <c r="CA258" t="s">
        <v>50</v>
      </c>
      <c r="CB258" t="s">
        <v>50</v>
      </c>
      <c r="CD258" t="s">
        <v>50</v>
      </c>
    </row>
    <row r="259" spans="1:82" x14ac:dyDescent="0.3">
      <c r="A259" s="155">
        <v>955</v>
      </c>
      <c r="B259" t="s">
        <v>988</v>
      </c>
      <c r="D259">
        <v>0</v>
      </c>
      <c r="E259">
        <v>0</v>
      </c>
      <c r="F259">
        <v>0</v>
      </c>
      <c r="G259">
        <v>1</v>
      </c>
      <c r="H259">
        <v>0</v>
      </c>
      <c r="I259">
        <v>0</v>
      </c>
      <c r="J259">
        <v>0</v>
      </c>
      <c r="K259">
        <v>0</v>
      </c>
      <c r="L259">
        <v>0</v>
      </c>
      <c r="M259">
        <v>0</v>
      </c>
      <c r="N259">
        <v>0</v>
      </c>
      <c r="O259">
        <v>0</v>
      </c>
      <c r="P259">
        <v>0</v>
      </c>
      <c r="Q259">
        <v>0</v>
      </c>
      <c r="R259">
        <v>1</v>
      </c>
      <c r="S259">
        <v>0</v>
      </c>
      <c r="T259">
        <v>0</v>
      </c>
      <c r="U259">
        <v>1</v>
      </c>
      <c r="V259">
        <v>0</v>
      </c>
      <c r="W259">
        <v>0</v>
      </c>
      <c r="X259">
        <v>1</v>
      </c>
      <c r="Y259">
        <v>0</v>
      </c>
      <c r="Z259">
        <v>0</v>
      </c>
      <c r="AA259">
        <v>1</v>
      </c>
      <c r="AB259">
        <v>0</v>
      </c>
      <c r="AC259">
        <v>0</v>
      </c>
      <c r="AD259">
        <v>0</v>
      </c>
      <c r="AE259">
        <v>0</v>
      </c>
      <c r="AF259">
        <v>0</v>
      </c>
      <c r="AG259">
        <v>0</v>
      </c>
      <c r="AH259">
        <v>0</v>
      </c>
      <c r="AI259">
        <v>1</v>
      </c>
      <c r="AJ259">
        <v>0</v>
      </c>
      <c r="AK259">
        <v>1</v>
      </c>
      <c r="AM259">
        <v>0</v>
      </c>
      <c r="AN259">
        <v>2</v>
      </c>
      <c r="AO259">
        <v>0</v>
      </c>
      <c r="AP259">
        <v>0</v>
      </c>
      <c r="AQ259">
        <v>1</v>
      </c>
      <c r="AR259">
        <v>0</v>
      </c>
      <c r="AS259">
        <v>0</v>
      </c>
      <c r="AT259">
        <v>1</v>
      </c>
      <c r="AU259">
        <v>1</v>
      </c>
      <c r="AV259">
        <v>0</v>
      </c>
      <c r="AW259">
        <v>0</v>
      </c>
      <c r="AX259">
        <v>0</v>
      </c>
      <c r="AY259">
        <v>0</v>
      </c>
      <c r="AZ259">
        <v>1</v>
      </c>
      <c r="BA259">
        <v>1</v>
      </c>
      <c r="BB259">
        <v>0</v>
      </c>
      <c r="BC259">
        <v>0</v>
      </c>
      <c r="BD259">
        <v>0</v>
      </c>
      <c r="BE259">
        <v>0</v>
      </c>
      <c r="BF259">
        <v>0</v>
      </c>
      <c r="BG259">
        <v>0</v>
      </c>
      <c r="BH259">
        <v>0</v>
      </c>
      <c r="BI259">
        <v>0</v>
      </c>
      <c r="BJ259">
        <v>1</v>
      </c>
      <c r="BK259">
        <v>0</v>
      </c>
      <c r="BL259">
        <v>1</v>
      </c>
      <c r="BM259">
        <v>0</v>
      </c>
      <c r="BN259">
        <v>0</v>
      </c>
      <c r="BO259">
        <v>2</v>
      </c>
      <c r="BP259">
        <v>0</v>
      </c>
      <c r="BQ259">
        <v>0</v>
      </c>
      <c r="BR259">
        <v>0</v>
      </c>
      <c r="BS259">
        <v>0</v>
      </c>
      <c r="BT259">
        <v>0</v>
      </c>
      <c r="BU259">
        <v>0</v>
      </c>
      <c r="BV259">
        <v>0</v>
      </c>
      <c r="BW259">
        <v>0</v>
      </c>
      <c r="BX259">
        <v>0</v>
      </c>
      <c r="BY259">
        <v>0</v>
      </c>
      <c r="BZ259">
        <v>1</v>
      </c>
      <c r="CA259">
        <v>0</v>
      </c>
      <c r="CB259">
        <v>0</v>
      </c>
      <c r="CD259">
        <v>0</v>
      </c>
    </row>
    <row r="260" spans="1:82" x14ac:dyDescent="0.3">
      <c r="A260" s="155">
        <v>956</v>
      </c>
      <c r="B260" t="s">
        <v>412</v>
      </c>
      <c r="D260" t="s">
        <v>50</v>
      </c>
      <c r="E260" t="s">
        <v>50</v>
      </c>
      <c r="F260" t="s">
        <v>50</v>
      </c>
      <c r="G260" t="s">
        <v>50</v>
      </c>
      <c r="H260" t="s">
        <v>50</v>
      </c>
      <c r="I260" t="s">
        <v>50</v>
      </c>
      <c r="J260" t="s">
        <v>50</v>
      </c>
      <c r="K260" t="s">
        <v>50</v>
      </c>
      <c r="L260" t="s">
        <v>50</v>
      </c>
      <c r="M260" t="s">
        <v>50</v>
      </c>
      <c r="N260" t="s">
        <v>50</v>
      </c>
      <c r="O260" t="s">
        <v>50</v>
      </c>
      <c r="P260" t="s">
        <v>50</v>
      </c>
      <c r="Q260" t="s">
        <v>50</v>
      </c>
      <c r="R260" t="s">
        <v>50</v>
      </c>
      <c r="S260" t="s">
        <v>50</v>
      </c>
      <c r="T260" t="s">
        <v>50</v>
      </c>
      <c r="U260" t="s">
        <v>50</v>
      </c>
      <c r="V260" t="s">
        <v>50</v>
      </c>
      <c r="W260" t="s">
        <v>50</v>
      </c>
      <c r="X260" t="s">
        <v>50</v>
      </c>
      <c r="Y260" t="s">
        <v>50</v>
      </c>
      <c r="Z260" t="s">
        <v>50</v>
      </c>
      <c r="AA260" t="s">
        <v>50</v>
      </c>
      <c r="AB260" t="s">
        <v>50</v>
      </c>
      <c r="AC260" t="s">
        <v>50</v>
      </c>
      <c r="AD260" t="s">
        <v>50</v>
      </c>
      <c r="AE260" t="s">
        <v>50</v>
      </c>
      <c r="AF260" t="s">
        <v>1681</v>
      </c>
      <c r="AG260" t="s">
        <v>50</v>
      </c>
      <c r="AH260" t="s">
        <v>50</v>
      </c>
      <c r="AI260" t="s">
        <v>50</v>
      </c>
      <c r="AJ260" t="s">
        <v>50</v>
      </c>
      <c r="AK260" t="s">
        <v>50</v>
      </c>
      <c r="AM260" t="s">
        <v>50</v>
      </c>
      <c r="AN260" t="s">
        <v>50</v>
      </c>
      <c r="AO260" t="s">
        <v>50</v>
      </c>
      <c r="AP260" t="s">
        <v>50</v>
      </c>
      <c r="AQ260" t="s">
        <v>50</v>
      </c>
      <c r="AR260" t="s">
        <v>50</v>
      </c>
      <c r="AS260" t="s">
        <v>50</v>
      </c>
      <c r="AT260" t="s">
        <v>50</v>
      </c>
      <c r="AU260" t="s">
        <v>50</v>
      </c>
      <c r="AV260" t="s">
        <v>50</v>
      </c>
      <c r="AW260" t="s">
        <v>50</v>
      </c>
      <c r="AX260" t="s">
        <v>50</v>
      </c>
      <c r="AY260" t="s">
        <v>50</v>
      </c>
      <c r="AZ260" t="s">
        <v>50</v>
      </c>
      <c r="BA260" t="s">
        <v>50</v>
      </c>
      <c r="BB260" t="s">
        <v>50</v>
      </c>
      <c r="BC260" t="s">
        <v>50</v>
      </c>
      <c r="BD260" t="s">
        <v>50</v>
      </c>
      <c r="BE260" t="s">
        <v>50</v>
      </c>
      <c r="BF260" t="s">
        <v>50</v>
      </c>
      <c r="BG260" t="s">
        <v>50</v>
      </c>
      <c r="BH260" t="s">
        <v>50</v>
      </c>
      <c r="BI260" t="s">
        <v>50</v>
      </c>
      <c r="BJ260" t="s">
        <v>50</v>
      </c>
      <c r="BK260" t="s">
        <v>50</v>
      </c>
      <c r="BL260" t="s">
        <v>50</v>
      </c>
      <c r="BM260" t="s">
        <v>50</v>
      </c>
      <c r="BN260" t="s">
        <v>50</v>
      </c>
      <c r="BO260" t="s">
        <v>50</v>
      </c>
      <c r="BP260" t="s">
        <v>50</v>
      </c>
      <c r="BQ260" t="s">
        <v>50</v>
      </c>
      <c r="BR260" t="s">
        <v>50</v>
      </c>
      <c r="BS260" t="s">
        <v>50</v>
      </c>
      <c r="BT260" t="s">
        <v>50</v>
      </c>
      <c r="BU260" t="s">
        <v>50</v>
      </c>
      <c r="BV260" t="s">
        <v>50</v>
      </c>
      <c r="BW260" t="s">
        <v>50</v>
      </c>
      <c r="BX260" t="s">
        <v>50</v>
      </c>
      <c r="BY260" t="s">
        <v>50</v>
      </c>
      <c r="BZ260" t="s">
        <v>50</v>
      </c>
      <c r="CA260" t="s">
        <v>50</v>
      </c>
      <c r="CB260" t="s">
        <v>50</v>
      </c>
      <c r="CD260" t="s">
        <v>50</v>
      </c>
    </row>
    <row r="261" spans="1:82" x14ac:dyDescent="0.3">
      <c r="A261" s="155">
        <v>957</v>
      </c>
      <c r="B261" t="s">
        <v>989</v>
      </c>
      <c r="D261">
        <v>6</v>
      </c>
      <c r="E261">
        <v>0</v>
      </c>
      <c r="F261">
        <v>0</v>
      </c>
      <c r="G261">
        <v>0</v>
      </c>
      <c r="H261">
        <v>0</v>
      </c>
      <c r="I261">
        <v>0</v>
      </c>
      <c r="J261">
        <v>0</v>
      </c>
      <c r="K261">
        <v>0</v>
      </c>
      <c r="L261">
        <v>0</v>
      </c>
      <c r="M261">
        <v>0</v>
      </c>
      <c r="N261">
        <v>0</v>
      </c>
      <c r="O261">
        <v>0</v>
      </c>
      <c r="P261">
        <v>0</v>
      </c>
      <c r="Q261">
        <v>0</v>
      </c>
      <c r="R261">
        <v>2</v>
      </c>
      <c r="S261">
        <v>0</v>
      </c>
      <c r="T261">
        <v>0</v>
      </c>
      <c r="U261">
        <v>0</v>
      </c>
      <c r="V261">
        <v>0</v>
      </c>
      <c r="W261">
        <v>0</v>
      </c>
      <c r="X261">
        <v>1</v>
      </c>
      <c r="Y261">
        <v>0</v>
      </c>
      <c r="Z261">
        <v>0</v>
      </c>
      <c r="AA261">
        <v>1</v>
      </c>
      <c r="AB261">
        <v>1</v>
      </c>
      <c r="AC261">
        <v>0</v>
      </c>
      <c r="AD261">
        <v>0</v>
      </c>
      <c r="AE261">
        <v>0</v>
      </c>
      <c r="AF261">
        <v>0</v>
      </c>
      <c r="AG261">
        <v>0</v>
      </c>
      <c r="AH261">
        <v>0</v>
      </c>
      <c r="AI261">
        <v>0</v>
      </c>
      <c r="AJ261">
        <v>0</v>
      </c>
      <c r="AK261">
        <v>1</v>
      </c>
      <c r="AM261">
        <v>0</v>
      </c>
      <c r="AN261">
        <v>0</v>
      </c>
      <c r="AO261">
        <v>0</v>
      </c>
      <c r="AP261">
        <v>0</v>
      </c>
      <c r="AQ261">
        <v>0</v>
      </c>
      <c r="AR261">
        <v>0</v>
      </c>
      <c r="AS261">
        <v>0</v>
      </c>
      <c r="AT261">
        <v>1</v>
      </c>
      <c r="AU261">
        <v>0</v>
      </c>
      <c r="AV261">
        <v>0</v>
      </c>
      <c r="AW261">
        <v>0</v>
      </c>
      <c r="AX261">
        <v>0</v>
      </c>
      <c r="AY261">
        <v>0</v>
      </c>
      <c r="AZ261">
        <v>0</v>
      </c>
      <c r="BA261">
        <v>0</v>
      </c>
      <c r="BB261">
        <v>0</v>
      </c>
      <c r="BC261">
        <v>0</v>
      </c>
      <c r="BD261">
        <v>0</v>
      </c>
      <c r="BE261">
        <v>0</v>
      </c>
      <c r="BF261">
        <v>0</v>
      </c>
      <c r="BG261">
        <v>0</v>
      </c>
      <c r="BH261">
        <v>0</v>
      </c>
      <c r="BI261">
        <v>0</v>
      </c>
      <c r="BJ261">
        <v>0</v>
      </c>
      <c r="BK261">
        <v>0</v>
      </c>
      <c r="BL261">
        <v>2</v>
      </c>
      <c r="BM261">
        <v>0</v>
      </c>
      <c r="BN261">
        <v>0</v>
      </c>
      <c r="BO261">
        <v>0</v>
      </c>
      <c r="BP261">
        <v>0</v>
      </c>
      <c r="BQ261">
        <v>0</v>
      </c>
      <c r="BR261">
        <v>0</v>
      </c>
      <c r="BS261">
        <v>0</v>
      </c>
      <c r="BT261">
        <v>0</v>
      </c>
      <c r="BU261">
        <v>0</v>
      </c>
      <c r="BV261">
        <v>0</v>
      </c>
      <c r="BW261">
        <v>5</v>
      </c>
      <c r="BX261">
        <v>0</v>
      </c>
      <c r="BY261">
        <v>0</v>
      </c>
      <c r="BZ261">
        <v>3</v>
      </c>
      <c r="CA261">
        <v>0</v>
      </c>
      <c r="CB261">
        <v>0</v>
      </c>
      <c r="CD261">
        <v>0</v>
      </c>
    </row>
    <row r="262" spans="1:82" x14ac:dyDescent="0.3">
      <c r="A262" s="155">
        <v>958</v>
      </c>
      <c r="B262" t="s">
        <v>990</v>
      </c>
      <c r="D262" t="s">
        <v>50</v>
      </c>
      <c r="E262" t="s">
        <v>50</v>
      </c>
      <c r="F262" t="s">
        <v>50</v>
      </c>
      <c r="G262" t="s">
        <v>50</v>
      </c>
      <c r="H262" t="s">
        <v>50</v>
      </c>
      <c r="I262" t="s">
        <v>50</v>
      </c>
      <c r="J262" t="s">
        <v>50</v>
      </c>
      <c r="K262" t="s">
        <v>50</v>
      </c>
      <c r="L262" t="s">
        <v>50</v>
      </c>
      <c r="M262" t="s">
        <v>50</v>
      </c>
      <c r="N262" t="s">
        <v>50</v>
      </c>
      <c r="O262" t="s">
        <v>50</v>
      </c>
      <c r="P262" t="s">
        <v>50</v>
      </c>
      <c r="Q262" t="s">
        <v>50</v>
      </c>
      <c r="R262" t="s">
        <v>50</v>
      </c>
      <c r="S262" t="s">
        <v>50</v>
      </c>
      <c r="T262" t="s">
        <v>50</v>
      </c>
      <c r="U262" t="s">
        <v>50</v>
      </c>
      <c r="V262" t="s">
        <v>50</v>
      </c>
      <c r="W262" t="s">
        <v>50</v>
      </c>
      <c r="X262" t="s">
        <v>50</v>
      </c>
      <c r="Y262" t="s">
        <v>50</v>
      </c>
      <c r="Z262" t="s">
        <v>50</v>
      </c>
      <c r="AA262" t="s">
        <v>50</v>
      </c>
      <c r="AB262" t="s">
        <v>50</v>
      </c>
      <c r="AC262" t="s">
        <v>50</v>
      </c>
      <c r="AD262" t="s">
        <v>50</v>
      </c>
      <c r="AE262" t="s">
        <v>50</v>
      </c>
      <c r="AF262" t="s">
        <v>1681</v>
      </c>
      <c r="AG262" t="s">
        <v>50</v>
      </c>
      <c r="AH262" t="s">
        <v>50</v>
      </c>
      <c r="AI262" t="s">
        <v>50</v>
      </c>
      <c r="AJ262" t="s">
        <v>50</v>
      </c>
      <c r="AK262" t="s">
        <v>50</v>
      </c>
      <c r="AM262" t="s">
        <v>50</v>
      </c>
      <c r="AN262" t="s">
        <v>51</v>
      </c>
      <c r="AO262" t="s">
        <v>50</v>
      </c>
      <c r="AP262" t="s">
        <v>50</v>
      </c>
      <c r="AQ262" t="s">
        <v>50</v>
      </c>
      <c r="AR262" t="s">
        <v>50</v>
      </c>
      <c r="AS262" t="s">
        <v>50</v>
      </c>
      <c r="AT262" t="s">
        <v>50</v>
      </c>
      <c r="AU262" t="s">
        <v>51</v>
      </c>
      <c r="AV262" t="s">
        <v>50</v>
      </c>
      <c r="AW262" t="s">
        <v>50</v>
      </c>
      <c r="AX262" t="s">
        <v>50</v>
      </c>
      <c r="AY262" t="s">
        <v>50</v>
      </c>
      <c r="AZ262" t="s">
        <v>50</v>
      </c>
      <c r="BA262" t="s">
        <v>50</v>
      </c>
      <c r="BB262" t="s">
        <v>50</v>
      </c>
      <c r="BC262" t="s">
        <v>50</v>
      </c>
      <c r="BD262" t="s">
        <v>50</v>
      </c>
      <c r="BE262" t="s">
        <v>50</v>
      </c>
      <c r="BF262" t="s">
        <v>50</v>
      </c>
      <c r="BG262" t="s">
        <v>50</v>
      </c>
      <c r="BH262" t="s">
        <v>50</v>
      </c>
      <c r="BI262" t="s">
        <v>50</v>
      </c>
      <c r="BJ262" t="s">
        <v>50</v>
      </c>
      <c r="BK262" t="s">
        <v>50</v>
      </c>
      <c r="BL262" t="s">
        <v>51</v>
      </c>
      <c r="BM262" t="s">
        <v>50</v>
      </c>
      <c r="BN262" t="s">
        <v>50</v>
      </c>
      <c r="BO262" t="s">
        <v>50</v>
      </c>
      <c r="BP262" t="s">
        <v>50</v>
      </c>
      <c r="BQ262" t="s">
        <v>50</v>
      </c>
      <c r="BR262" t="s">
        <v>50</v>
      </c>
      <c r="BS262" t="s">
        <v>50</v>
      </c>
      <c r="BT262" t="s">
        <v>50</v>
      </c>
      <c r="BU262" t="s">
        <v>50</v>
      </c>
      <c r="BV262" t="s">
        <v>50</v>
      </c>
      <c r="BW262" t="s">
        <v>50</v>
      </c>
      <c r="BX262" t="s">
        <v>50</v>
      </c>
      <c r="BY262" t="s">
        <v>50</v>
      </c>
      <c r="BZ262" t="s">
        <v>50</v>
      </c>
      <c r="CA262" t="s">
        <v>50</v>
      </c>
      <c r="CB262" t="s">
        <v>50</v>
      </c>
      <c r="CD262" t="s">
        <v>50</v>
      </c>
    </row>
    <row r="263" spans="1:82" x14ac:dyDescent="0.3">
      <c r="A263" s="155">
        <v>959</v>
      </c>
      <c r="B263" t="s">
        <v>991</v>
      </c>
      <c r="D263">
        <v>2</v>
      </c>
      <c r="E263">
        <v>2</v>
      </c>
      <c r="F263">
        <v>2</v>
      </c>
      <c r="G263">
        <v>2</v>
      </c>
      <c r="H263">
        <v>1</v>
      </c>
      <c r="I263">
        <v>3</v>
      </c>
      <c r="J263">
        <v>2</v>
      </c>
      <c r="K263">
        <v>2</v>
      </c>
      <c r="L263">
        <v>3</v>
      </c>
      <c r="M263">
        <v>2</v>
      </c>
      <c r="N263">
        <v>2</v>
      </c>
      <c r="O263">
        <v>3</v>
      </c>
      <c r="P263">
        <v>3</v>
      </c>
      <c r="Q263">
        <v>2</v>
      </c>
      <c r="R263">
        <v>2</v>
      </c>
      <c r="S263">
        <v>3</v>
      </c>
      <c r="T263">
        <v>2</v>
      </c>
      <c r="U263">
        <v>2</v>
      </c>
      <c r="V263">
        <v>2</v>
      </c>
      <c r="W263">
        <v>2</v>
      </c>
      <c r="X263">
        <v>3</v>
      </c>
      <c r="Y263">
        <v>2</v>
      </c>
      <c r="Z263">
        <v>2</v>
      </c>
      <c r="AA263">
        <v>2</v>
      </c>
      <c r="AB263">
        <v>2</v>
      </c>
      <c r="AC263">
        <v>3</v>
      </c>
      <c r="AD263">
        <v>2</v>
      </c>
      <c r="AE263">
        <v>2</v>
      </c>
      <c r="AF263">
        <v>2</v>
      </c>
      <c r="AG263">
        <v>2</v>
      </c>
      <c r="AH263">
        <v>2</v>
      </c>
      <c r="AI263">
        <v>2</v>
      </c>
      <c r="AJ263">
        <v>3</v>
      </c>
      <c r="AK263">
        <v>2</v>
      </c>
      <c r="AM263">
        <v>2</v>
      </c>
      <c r="AN263">
        <v>2</v>
      </c>
      <c r="AO263">
        <v>2</v>
      </c>
      <c r="AP263">
        <v>2</v>
      </c>
      <c r="AQ263">
        <v>2</v>
      </c>
      <c r="AR263">
        <v>2</v>
      </c>
      <c r="AS263">
        <v>2</v>
      </c>
      <c r="AT263">
        <v>2</v>
      </c>
      <c r="AU263">
        <v>3</v>
      </c>
      <c r="AV263">
        <v>2</v>
      </c>
      <c r="AW263">
        <v>2</v>
      </c>
      <c r="AX263">
        <v>2</v>
      </c>
      <c r="AY263">
        <v>2</v>
      </c>
      <c r="AZ263">
        <v>2</v>
      </c>
      <c r="BA263">
        <v>2</v>
      </c>
      <c r="BB263">
        <v>3</v>
      </c>
      <c r="BC263">
        <v>2</v>
      </c>
      <c r="BD263">
        <v>2</v>
      </c>
      <c r="BE263">
        <v>2</v>
      </c>
      <c r="BF263">
        <v>2</v>
      </c>
      <c r="BG263">
        <v>3</v>
      </c>
      <c r="BH263">
        <v>3</v>
      </c>
      <c r="BI263">
        <v>2</v>
      </c>
      <c r="BJ263">
        <v>2</v>
      </c>
      <c r="BK263">
        <v>2</v>
      </c>
      <c r="BL263">
        <v>2</v>
      </c>
      <c r="BM263">
        <v>2</v>
      </c>
      <c r="BN263">
        <v>2</v>
      </c>
      <c r="BO263">
        <v>2</v>
      </c>
      <c r="BP263">
        <v>2</v>
      </c>
      <c r="BQ263">
        <v>2</v>
      </c>
      <c r="BR263">
        <v>2</v>
      </c>
      <c r="BS263">
        <v>2</v>
      </c>
      <c r="BT263">
        <v>2</v>
      </c>
      <c r="BU263">
        <v>2</v>
      </c>
      <c r="BV263">
        <v>3</v>
      </c>
      <c r="BW263">
        <v>2</v>
      </c>
      <c r="BX263">
        <v>2</v>
      </c>
      <c r="BY263">
        <v>3</v>
      </c>
      <c r="BZ263">
        <v>2</v>
      </c>
      <c r="CA263">
        <v>2</v>
      </c>
      <c r="CB263">
        <v>2</v>
      </c>
      <c r="CD263">
        <v>3</v>
      </c>
    </row>
    <row r="264" spans="1:82" x14ac:dyDescent="0.3">
      <c r="A264" s="155">
        <v>960</v>
      </c>
      <c r="B264" t="s">
        <v>992</v>
      </c>
      <c r="D264" t="s">
        <v>2279</v>
      </c>
      <c r="E264" t="s">
        <v>2280</v>
      </c>
      <c r="F264" t="s">
        <v>2281</v>
      </c>
      <c r="G264" t="s">
        <v>2282</v>
      </c>
      <c r="H264" t="s">
        <v>2283</v>
      </c>
      <c r="I264" t="s">
        <v>2284</v>
      </c>
      <c r="J264" t="s">
        <v>2285</v>
      </c>
      <c r="K264" t="s">
        <v>2286</v>
      </c>
      <c r="L264" t="s">
        <v>2287</v>
      </c>
      <c r="M264" t="s">
        <v>2288</v>
      </c>
      <c r="N264" t="s">
        <v>2289</v>
      </c>
      <c r="O264" t="s">
        <v>2290</v>
      </c>
      <c r="P264" t="s">
        <v>2291</v>
      </c>
      <c r="Q264" t="s">
        <v>2292</v>
      </c>
      <c r="R264" t="s">
        <v>2293</v>
      </c>
      <c r="S264" t="s">
        <v>2294</v>
      </c>
      <c r="T264" t="s">
        <v>2295</v>
      </c>
      <c r="U264" t="s">
        <v>2296</v>
      </c>
      <c r="V264" t="s">
        <v>2297</v>
      </c>
      <c r="W264" t="s">
        <v>2298</v>
      </c>
      <c r="X264" t="s">
        <v>2743</v>
      </c>
      <c r="Y264" t="s">
        <v>2299</v>
      </c>
      <c r="Z264" t="s">
        <v>2300</v>
      </c>
      <c r="AA264" t="s">
        <v>2301</v>
      </c>
      <c r="AB264" t="s">
        <v>2302</v>
      </c>
      <c r="AC264" t="s">
        <v>2303</v>
      </c>
      <c r="AD264" t="s">
        <v>2304</v>
      </c>
      <c r="AE264" t="s">
        <v>2305</v>
      </c>
      <c r="AF264" t="s">
        <v>2306</v>
      </c>
      <c r="AG264" t="s">
        <v>2307</v>
      </c>
      <c r="AH264" t="s">
        <v>2308</v>
      </c>
      <c r="AI264" t="s">
        <v>2309</v>
      </c>
      <c r="AJ264" t="s">
        <v>2310</v>
      </c>
      <c r="AK264" t="s">
        <v>2311</v>
      </c>
      <c r="AM264" t="s">
        <v>2312</v>
      </c>
      <c r="AN264" t="s">
        <v>2313</v>
      </c>
      <c r="AO264" t="s">
        <v>2314</v>
      </c>
      <c r="AP264" t="s">
        <v>2315</v>
      </c>
      <c r="AQ264" t="s">
        <v>2316</v>
      </c>
      <c r="AR264" t="s">
        <v>2317</v>
      </c>
      <c r="AS264" t="s">
        <v>2318</v>
      </c>
      <c r="AT264" t="s">
        <v>2319</v>
      </c>
      <c r="AU264" t="s">
        <v>2320</v>
      </c>
      <c r="AV264" t="s">
        <v>2321</v>
      </c>
      <c r="AW264" t="s">
        <v>2322</v>
      </c>
      <c r="AX264" t="s">
        <v>2323</v>
      </c>
      <c r="AY264" t="s">
        <v>2324</v>
      </c>
      <c r="AZ264" t="s">
        <v>2325</v>
      </c>
      <c r="BA264" t="s">
        <v>2326</v>
      </c>
      <c r="BB264" t="s">
        <v>2327</v>
      </c>
      <c r="BC264" t="s">
        <v>2328</v>
      </c>
      <c r="BD264" t="s">
        <v>2329</v>
      </c>
      <c r="BE264" t="s">
        <v>2330</v>
      </c>
      <c r="BF264" t="s">
        <v>2331</v>
      </c>
      <c r="BG264" t="s">
        <v>2332</v>
      </c>
      <c r="BH264" t="s">
        <v>2333</v>
      </c>
      <c r="BI264" t="s">
        <v>2334</v>
      </c>
      <c r="BJ264" t="s">
        <v>2335</v>
      </c>
      <c r="BK264" t="s">
        <v>2336</v>
      </c>
      <c r="BL264" t="s">
        <v>2337</v>
      </c>
      <c r="BM264" t="s">
        <v>2338</v>
      </c>
      <c r="BN264" t="s">
        <v>2339</v>
      </c>
      <c r="BO264" t="s">
        <v>2340</v>
      </c>
      <c r="BP264" t="s">
        <v>2341</v>
      </c>
      <c r="BQ264" t="s">
        <v>2342</v>
      </c>
      <c r="BR264" t="s">
        <v>2343</v>
      </c>
      <c r="BS264" t="s">
        <v>2344</v>
      </c>
      <c r="BT264" t="s">
        <v>2345</v>
      </c>
      <c r="BU264" t="s">
        <v>2346</v>
      </c>
      <c r="BV264" t="s">
        <v>2347</v>
      </c>
      <c r="BW264" t="s">
        <v>2348</v>
      </c>
      <c r="BX264" t="s">
        <v>2349</v>
      </c>
      <c r="BY264" t="s">
        <v>2350</v>
      </c>
      <c r="BZ264" t="s">
        <v>2351</v>
      </c>
      <c r="CA264" t="s">
        <v>2352</v>
      </c>
      <c r="CB264" t="s">
        <v>2353</v>
      </c>
      <c r="CD264" t="s">
        <v>2354</v>
      </c>
    </row>
    <row r="265" spans="1:82" x14ac:dyDescent="0.3">
      <c r="A265" s="155">
        <v>962</v>
      </c>
      <c r="B265" t="s">
        <v>993</v>
      </c>
      <c r="D265" t="s">
        <v>2355</v>
      </c>
      <c r="E265" t="s">
        <v>997</v>
      </c>
      <c r="F265" t="s">
        <v>997</v>
      </c>
      <c r="G265" t="s">
        <v>995</v>
      </c>
      <c r="H265" t="s">
        <v>995</v>
      </c>
      <c r="I265" t="s">
        <v>995</v>
      </c>
      <c r="J265" t="s">
        <v>995</v>
      </c>
      <c r="K265" t="s">
        <v>2356</v>
      </c>
      <c r="L265" t="s">
        <v>995</v>
      </c>
      <c r="M265" t="s">
        <v>2103</v>
      </c>
      <c r="N265" t="s">
        <v>995</v>
      </c>
      <c r="O265" t="s">
        <v>995</v>
      </c>
      <c r="P265" t="s">
        <v>995</v>
      </c>
      <c r="Q265" t="s">
        <v>994</v>
      </c>
      <c r="R265" t="s">
        <v>995</v>
      </c>
      <c r="S265" t="s">
        <v>994</v>
      </c>
      <c r="T265" t="s">
        <v>2002</v>
      </c>
      <c r="U265" t="s">
        <v>994</v>
      </c>
      <c r="V265" t="s">
        <v>994</v>
      </c>
      <c r="W265" t="s">
        <v>994</v>
      </c>
      <c r="X265" t="s">
        <v>2744</v>
      </c>
      <c r="Y265" t="s">
        <v>994</v>
      </c>
      <c r="Z265" t="s">
        <v>998</v>
      </c>
      <c r="AA265" t="s">
        <v>994</v>
      </c>
      <c r="AB265" t="s">
        <v>994</v>
      </c>
      <c r="AC265" t="s">
        <v>995</v>
      </c>
      <c r="AD265" t="s">
        <v>1136</v>
      </c>
      <c r="AE265" t="s">
        <v>995</v>
      </c>
      <c r="AF265" t="s">
        <v>994</v>
      </c>
      <c r="AG265" t="s">
        <v>994</v>
      </c>
      <c r="AH265" t="s">
        <v>2357</v>
      </c>
      <c r="AI265" t="s">
        <v>2003</v>
      </c>
      <c r="AJ265" t="s">
        <v>1136</v>
      </c>
      <c r="AK265" t="s">
        <v>995</v>
      </c>
      <c r="AM265" t="s">
        <v>994</v>
      </c>
      <c r="AN265" t="s">
        <v>2358</v>
      </c>
      <c r="AO265" t="s">
        <v>995</v>
      </c>
      <c r="AP265" t="s">
        <v>996</v>
      </c>
      <c r="AQ265" t="s">
        <v>995</v>
      </c>
      <c r="AR265" t="s">
        <v>995</v>
      </c>
      <c r="AS265" t="s">
        <v>2359</v>
      </c>
      <c r="AT265" t="s">
        <v>995</v>
      </c>
      <c r="AU265" t="s">
        <v>2360</v>
      </c>
      <c r="AV265" t="s">
        <v>994</v>
      </c>
      <c r="AW265" t="s">
        <v>995</v>
      </c>
      <c r="AX265" t="s">
        <v>995</v>
      </c>
      <c r="AY265" t="s">
        <v>2361</v>
      </c>
      <c r="AZ265" t="s">
        <v>995</v>
      </c>
      <c r="BA265" t="s">
        <v>2103</v>
      </c>
      <c r="BB265" t="s">
        <v>998</v>
      </c>
      <c r="BC265" t="s">
        <v>995</v>
      </c>
      <c r="BD265" t="s">
        <v>994</v>
      </c>
      <c r="BE265" t="s">
        <v>997</v>
      </c>
      <c r="BF265" t="s">
        <v>995</v>
      </c>
      <c r="BG265" t="s">
        <v>998</v>
      </c>
      <c r="BH265" t="s">
        <v>995</v>
      </c>
      <c r="BI265" t="s">
        <v>995</v>
      </c>
      <c r="BJ265" t="s">
        <v>997</v>
      </c>
      <c r="BK265" t="s">
        <v>995</v>
      </c>
      <c r="BL265" t="s">
        <v>994</v>
      </c>
      <c r="BM265" t="s">
        <v>995</v>
      </c>
      <c r="BN265" t="s">
        <v>2362</v>
      </c>
      <c r="BO265" t="s">
        <v>997</v>
      </c>
      <c r="BP265" t="s">
        <v>995</v>
      </c>
      <c r="BQ265" t="s">
        <v>2052</v>
      </c>
      <c r="BR265" t="s">
        <v>996</v>
      </c>
      <c r="BS265" t="s">
        <v>994</v>
      </c>
      <c r="BT265" t="s">
        <v>997</v>
      </c>
      <c r="BU265" t="s">
        <v>995</v>
      </c>
      <c r="BV265" t="s">
        <v>995</v>
      </c>
      <c r="BW265" t="s">
        <v>2363</v>
      </c>
      <c r="BX265" t="s">
        <v>998</v>
      </c>
      <c r="BY265" t="s">
        <v>994</v>
      </c>
      <c r="BZ265" t="s">
        <v>995</v>
      </c>
      <c r="CA265" t="s">
        <v>2364</v>
      </c>
      <c r="CB265" t="s">
        <v>1136</v>
      </c>
      <c r="CD265" t="s">
        <v>995</v>
      </c>
    </row>
    <row r="266" spans="1:82" x14ac:dyDescent="0.3">
      <c r="A266" s="155">
        <v>964</v>
      </c>
      <c r="B266" t="s">
        <v>999</v>
      </c>
      <c r="D266" t="s">
        <v>2073</v>
      </c>
      <c r="E266" t="s">
        <v>2365</v>
      </c>
      <c r="F266" t="s">
        <v>2366</v>
      </c>
      <c r="G266" t="s">
        <v>2109</v>
      </c>
      <c r="H266" t="s">
        <v>1628</v>
      </c>
      <c r="I266" t="s">
        <v>1005</v>
      </c>
      <c r="J266" t="s">
        <v>1628</v>
      </c>
      <c r="K266" t="s">
        <v>2367</v>
      </c>
      <c r="L266" t="s">
        <v>1007</v>
      </c>
      <c r="M266" t="s">
        <v>2053</v>
      </c>
      <c r="N266" t="s">
        <v>1006</v>
      </c>
      <c r="O266" t="s">
        <v>2106</v>
      </c>
      <c r="P266" t="s">
        <v>1002</v>
      </c>
      <c r="Q266" t="s">
        <v>2004</v>
      </c>
      <c r="R266" t="s">
        <v>2368</v>
      </c>
      <c r="S266" t="s">
        <v>1004</v>
      </c>
      <c r="T266" t="s">
        <v>2369</v>
      </c>
      <c r="U266" t="s">
        <v>1007</v>
      </c>
      <c r="V266" t="s">
        <v>2060</v>
      </c>
      <c r="W266" t="s">
        <v>2107</v>
      </c>
      <c r="X266" t="s">
        <v>2745</v>
      </c>
      <c r="Y266" t="s">
        <v>1003</v>
      </c>
      <c r="Z266" t="s">
        <v>1001</v>
      </c>
      <c r="AA266" t="s">
        <v>2004</v>
      </c>
      <c r="AB266" t="s">
        <v>2106</v>
      </c>
      <c r="AC266" t="s">
        <v>2122</v>
      </c>
      <c r="AD266" t="s">
        <v>1019</v>
      </c>
      <c r="AE266" t="s">
        <v>2117</v>
      </c>
      <c r="AF266" t="s">
        <v>1006</v>
      </c>
      <c r="AG266" t="s">
        <v>2014</v>
      </c>
      <c r="AH266" t="s">
        <v>2370</v>
      </c>
      <c r="AI266" t="s">
        <v>2111</v>
      </c>
      <c r="AJ266" t="s">
        <v>1001</v>
      </c>
      <c r="AK266" t="s">
        <v>2371</v>
      </c>
      <c r="AM266" t="s">
        <v>1000</v>
      </c>
      <c r="AN266" t="s">
        <v>2015</v>
      </c>
      <c r="AO266" t="s">
        <v>2259</v>
      </c>
      <c r="AP266" t="s">
        <v>2372</v>
      </c>
      <c r="AQ266" t="s">
        <v>2106</v>
      </c>
      <c r="AR266" t="s">
        <v>2373</v>
      </c>
      <c r="AS266" t="s">
        <v>1015</v>
      </c>
      <c r="AT266" t="s">
        <v>2374</v>
      </c>
      <c r="AU266" t="s">
        <v>2375</v>
      </c>
      <c r="AV266" t="s">
        <v>2376</v>
      </c>
      <c r="AW266" t="s">
        <v>1002</v>
      </c>
      <c r="AX266" t="s">
        <v>2058</v>
      </c>
      <c r="AY266" t="s">
        <v>2112</v>
      </c>
      <c r="AZ266" t="s">
        <v>2377</v>
      </c>
      <c r="BA266" t="s">
        <v>2104</v>
      </c>
      <c r="BB266" t="s">
        <v>2007</v>
      </c>
      <c r="BC266" t="s">
        <v>2098</v>
      </c>
      <c r="BD266" t="s">
        <v>1015</v>
      </c>
      <c r="BE266" t="s">
        <v>2378</v>
      </c>
      <c r="BF266" t="s">
        <v>2053</v>
      </c>
      <c r="BG266" t="s">
        <v>2379</v>
      </c>
      <c r="BH266" t="s">
        <v>2054</v>
      </c>
      <c r="BI266" t="s">
        <v>1007</v>
      </c>
      <c r="BJ266" t="s">
        <v>1004</v>
      </c>
      <c r="BK266" t="s">
        <v>2380</v>
      </c>
      <c r="BM266" t="s">
        <v>2105</v>
      </c>
      <c r="BN266" t="s">
        <v>2381</v>
      </c>
      <c r="BO266" t="s">
        <v>2382</v>
      </c>
      <c r="BP266" t="s">
        <v>2383</v>
      </c>
      <c r="BQ266" t="s">
        <v>2122</v>
      </c>
      <c r="BR266" t="s">
        <v>2384</v>
      </c>
      <c r="BS266" t="s">
        <v>2005</v>
      </c>
      <c r="BT266" t="s">
        <v>1006</v>
      </c>
      <c r="BU266" t="s">
        <v>1001</v>
      </c>
      <c r="BV266" t="s">
        <v>2056</v>
      </c>
      <c r="BW266" t="s">
        <v>2385</v>
      </c>
      <c r="BX266" t="s">
        <v>1007</v>
      </c>
      <c r="BY266" t="s">
        <v>1006</v>
      </c>
      <c r="BZ266" t="s">
        <v>2110</v>
      </c>
      <c r="CA266" t="s">
        <v>2386</v>
      </c>
      <c r="CB266" t="s">
        <v>2387</v>
      </c>
      <c r="CD266" t="s">
        <v>2388</v>
      </c>
    </row>
    <row r="267" spans="1:82" x14ac:dyDescent="0.3">
      <c r="A267" s="155">
        <v>965</v>
      </c>
      <c r="B267" t="s">
        <v>1009</v>
      </c>
      <c r="D267">
        <v>0</v>
      </c>
      <c r="E267">
        <v>0</v>
      </c>
      <c r="F267">
        <v>0</v>
      </c>
      <c r="G267">
        <v>0</v>
      </c>
      <c r="H267">
        <v>0</v>
      </c>
      <c r="I267">
        <v>0</v>
      </c>
      <c r="J267">
        <v>0</v>
      </c>
      <c r="K267">
        <v>0</v>
      </c>
      <c r="L267">
        <v>0</v>
      </c>
      <c r="M267">
        <v>0</v>
      </c>
      <c r="N267">
        <v>0</v>
      </c>
      <c r="O267">
        <v>0</v>
      </c>
      <c r="P267">
        <v>0</v>
      </c>
      <c r="Q267">
        <v>0</v>
      </c>
      <c r="R267">
        <v>0</v>
      </c>
      <c r="S267">
        <v>0</v>
      </c>
      <c r="T267">
        <v>0</v>
      </c>
      <c r="U267">
        <v>0</v>
      </c>
      <c r="V267">
        <v>0</v>
      </c>
      <c r="W267">
        <v>0</v>
      </c>
      <c r="X267">
        <v>0</v>
      </c>
      <c r="Y267">
        <v>0</v>
      </c>
      <c r="Z267">
        <v>0</v>
      </c>
      <c r="AA267">
        <v>0</v>
      </c>
      <c r="AB267">
        <v>0</v>
      </c>
      <c r="AC267">
        <v>0</v>
      </c>
      <c r="AD267">
        <v>0</v>
      </c>
      <c r="AE267">
        <v>0</v>
      </c>
      <c r="AF267">
        <v>0</v>
      </c>
      <c r="AG267">
        <v>0</v>
      </c>
      <c r="AH267">
        <v>0</v>
      </c>
      <c r="AI267">
        <v>0</v>
      </c>
      <c r="AJ267">
        <v>0</v>
      </c>
      <c r="AK267">
        <v>0</v>
      </c>
      <c r="AM267">
        <v>0</v>
      </c>
      <c r="AN267">
        <v>0</v>
      </c>
      <c r="AO267">
        <v>0</v>
      </c>
      <c r="AP267">
        <v>0</v>
      </c>
      <c r="AQ267">
        <v>0</v>
      </c>
      <c r="AR267">
        <v>0</v>
      </c>
      <c r="AS267">
        <v>0</v>
      </c>
      <c r="AT267">
        <v>0</v>
      </c>
      <c r="AU267">
        <v>0</v>
      </c>
      <c r="AV267">
        <v>0</v>
      </c>
      <c r="AW267">
        <v>0</v>
      </c>
      <c r="AX267">
        <v>0</v>
      </c>
      <c r="AY267">
        <v>0</v>
      </c>
      <c r="AZ267">
        <v>0</v>
      </c>
      <c r="BA267">
        <v>0</v>
      </c>
      <c r="BB267">
        <v>0</v>
      </c>
      <c r="BC267">
        <v>0</v>
      </c>
      <c r="BD267">
        <v>0</v>
      </c>
      <c r="BE267">
        <v>0</v>
      </c>
      <c r="BF267">
        <v>0</v>
      </c>
      <c r="BG267">
        <v>0</v>
      </c>
      <c r="BH267">
        <v>0</v>
      </c>
      <c r="BI267">
        <v>0</v>
      </c>
      <c r="BJ267">
        <v>0</v>
      </c>
      <c r="BK267">
        <v>0</v>
      </c>
      <c r="BL267">
        <v>0</v>
      </c>
      <c r="BM267">
        <v>0</v>
      </c>
      <c r="BN267">
        <v>0</v>
      </c>
      <c r="BO267">
        <v>0</v>
      </c>
      <c r="BP267">
        <v>0</v>
      </c>
      <c r="BQ267">
        <v>0</v>
      </c>
      <c r="BR267">
        <v>0</v>
      </c>
      <c r="BS267">
        <v>0</v>
      </c>
      <c r="BT267">
        <v>0</v>
      </c>
      <c r="BU267">
        <v>0</v>
      </c>
      <c r="BV267">
        <v>0</v>
      </c>
      <c r="BW267">
        <v>0</v>
      </c>
      <c r="BX267">
        <v>0</v>
      </c>
      <c r="BY267">
        <v>0</v>
      </c>
      <c r="BZ267">
        <v>0</v>
      </c>
      <c r="CA267">
        <v>0</v>
      </c>
      <c r="CB267">
        <v>0</v>
      </c>
      <c r="CD267">
        <v>0</v>
      </c>
    </row>
    <row r="268" spans="1:82" x14ac:dyDescent="0.3">
      <c r="A268" s="155">
        <v>966</v>
      </c>
      <c r="B268" t="s">
        <v>1010</v>
      </c>
      <c r="D268" t="s">
        <v>2389</v>
      </c>
      <c r="E268" t="s">
        <v>2390</v>
      </c>
      <c r="G268" t="s">
        <v>2391</v>
      </c>
      <c r="H268" t="s">
        <v>2392</v>
      </c>
      <c r="I268" t="s">
        <v>2393</v>
      </c>
      <c r="J268" t="s">
        <v>2394</v>
      </c>
      <c r="K268" t="s">
        <v>2395</v>
      </c>
      <c r="L268" t="s">
        <v>2396</v>
      </c>
      <c r="M268" t="s">
        <v>2397</v>
      </c>
      <c r="N268" t="s">
        <v>2398</v>
      </c>
      <c r="O268" t="s">
        <v>2399</v>
      </c>
      <c r="P268" t="s">
        <v>2400</v>
      </c>
      <c r="Q268" t="s">
        <v>2401</v>
      </c>
      <c r="R268" t="s">
        <v>2402</v>
      </c>
      <c r="S268" t="s">
        <v>2403</v>
      </c>
      <c r="T268" t="s">
        <v>2404</v>
      </c>
      <c r="U268" t="s">
        <v>2405</v>
      </c>
      <c r="V268" t="s">
        <v>2406</v>
      </c>
      <c r="W268" t="s">
        <v>2407</v>
      </c>
      <c r="Y268" t="s">
        <v>2408</v>
      </c>
      <c r="Z268" t="s">
        <v>2409</v>
      </c>
      <c r="AA268" t="s">
        <v>2410</v>
      </c>
      <c r="AB268" t="s">
        <v>2411</v>
      </c>
      <c r="AC268" t="s">
        <v>2412</v>
      </c>
      <c r="AD268" t="s">
        <v>2413</v>
      </c>
      <c r="AE268" t="s">
        <v>2414</v>
      </c>
      <c r="AF268" t="s">
        <v>2415</v>
      </c>
      <c r="AG268" t="s">
        <v>2416</v>
      </c>
      <c r="AH268" t="s">
        <v>2417</v>
      </c>
      <c r="AI268" t="s">
        <v>2418</v>
      </c>
      <c r="AJ268" t="s">
        <v>2419</v>
      </c>
      <c r="AK268" t="s">
        <v>2420</v>
      </c>
      <c r="AM268" t="s">
        <v>2421</v>
      </c>
      <c r="AN268" t="s">
        <v>2422</v>
      </c>
      <c r="AP268" t="s">
        <v>2423</v>
      </c>
      <c r="AQ268" t="s">
        <v>2424</v>
      </c>
      <c r="AR268" t="s">
        <v>2425</v>
      </c>
      <c r="AS268" t="s">
        <v>2426</v>
      </c>
      <c r="AT268" t="s">
        <v>2427</v>
      </c>
      <c r="AU268" t="s">
        <v>2428</v>
      </c>
      <c r="AV268" t="s">
        <v>2429</v>
      </c>
      <c r="AW268" t="s">
        <v>2430</v>
      </c>
      <c r="AX268" t="s">
        <v>2431</v>
      </c>
      <c r="AY268" t="s">
        <v>2432</v>
      </c>
      <c r="AZ268" t="s">
        <v>2433</v>
      </c>
      <c r="BA268" t="s">
        <v>2434</v>
      </c>
      <c r="BB268" t="s">
        <v>2435</v>
      </c>
      <c r="BC268" t="s">
        <v>2436</v>
      </c>
      <c r="BD268" t="s">
        <v>2437</v>
      </c>
      <c r="BE268" t="s">
        <v>2438</v>
      </c>
      <c r="BF268" t="s">
        <v>2439</v>
      </c>
      <c r="BG268" t="s">
        <v>2440</v>
      </c>
      <c r="BH268" t="s">
        <v>2441</v>
      </c>
      <c r="BI268" t="s">
        <v>2442</v>
      </c>
      <c r="BJ268" t="s">
        <v>2443</v>
      </c>
      <c r="BK268" t="s">
        <v>2444</v>
      </c>
      <c r="BL268" t="s">
        <v>2445</v>
      </c>
      <c r="BM268" t="s">
        <v>2446</v>
      </c>
      <c r="BN268" t="s">
        <v>2447</v>
      </c>
      <c r="BO268" t="s">
        <v>2448</v>
      </c>
      <c r="BP268" t="s">
        <v>2449</v>
      </c>
      <c r="BQ268" t="s">
        <v>2450</v>
      </c>
      <c r="BR268" t="s">
        <v>2451</v>
      </c>
      <c r="BS268" t="s">
        <v>2452</v>
      </c>
      <c r="BT268" t="s">
        <v>2453</v>
      </c>
      <c r="BU268" t="s">
        <v>2454</v>
      </c>
      <c r="BW268" t="s">
        <v>2455</v>
      </c>
      <c r="BX268" t="s">
        <v>2456</v>
      </c>
      <c r="BY268" t="s">
        <v>2457</v>
      </c>
      <c r="BZ268" t="s">
        <v>2458</v>
      </c>
      <c r="CA268" t="s">
        <v>2459</v>
      </c>
      <c r="CB268" t="s">
        <v>2460</v>
      </c>
      <c r="CD268" t="s">
        <v>2461</v>
      </c>
    </row>
    <row r="269" spans="1:82" x14ac:dyDescent="0.3">
      <c r="A269" s="155">
        <v>968</v>
      </c>
      <c r="B269" t="s">
        <v>1011</v>
      </c>
      <c r="D269" t="s">
        <v>2462</v>
      </c>
      <c r="E269" t="s">
        <v>2463</v>
      </c>
      <c r="F269" t="s">
        <v>2464</v>
      </c>
      <c r="G269" t="s">
        <v>2465</v>
      </c>
      <c r="H269" t="s">
        <v>2466</v>
      </c>
      <c r="I269" t="s">
        <v>2467</v>
      </c>
      <c r="J269" t="s">
        <v>2468</v>
      </c>
      <c r="K269" t="s">
        <v>2469</v>
      </c>
      <c r="L269" t="s">
        <v>2470</v>
      </c>
      <c r="M269" t="s">
        <v>2471</v>
      </c>
      <c r="N269" t="s">
        <v>2472</v>
      </c>
      <c r="O269" t="s">
        <v>2473</v>
      </c>
      <c r="P269" t="s">
        <v>2474</v>
      </c>
      <c r="Q269" t="s">
        <v>2475</v>
      </c>
      <c r="R269" t="s">
        <v>2476</v>
      </c>
      <c r="S269" t="s">
        <v>2477</v>
      </c>
      <c r="T269" t="s">
        <v>2478</v>
      </c>
      <c r="U269" t="s">
        <v>2479</v>
      </c>
      <c r="V269" t="s">
        <v>2480</v>
      </c>
      <c r="W269" t="s">
        <v>2481</v>
      </c>
      <c r="X269" t="s">
        <v>2746</v>
      </c>
      <c r="Y269" t="s">
        <v>2482</v>
      </c>
      <c r="Z269" t="s">
        <v>2483</v>
      </c>
      <c r="AA269" t="s">
        <v>2484</v>
      </c>
      <c r="AB269" t="s">
        <v>2485</v>
      </c>
      <c r="AC269" t="s">
        <v>2486</v>
      </c>
      <c r="AD269" t="s">
        <v>2487</v>
      </c>
      <c r="AE269" t="s">
        <v>2488</v>
      </c>
      <c r="AF269" t="s">
        <v>2489</v>
      </c>
      <c r="AG269" t="s">
        <v>2490</v>
      </c>
      <c r="AH269" t="s">
        <v>2491</v>
      </c>
      <c r="AI269" t="s">
        <v>2492</v>
      </c>
      <c r="AJ269" t="s">
        <v>2493</v>
      </c>
      <c r="AK269" t="s">
        <v>2494</v>
      </c>
      <c r="AM269" t="s">
        <v>2495</v>
      </c>
      <c r="AN269" t="s">
        <v>2496</v>
      </c>
      <c r="AO269" t="s">
        <v>2497</v>
      </c>
      <c r="AP269" t="s">
        <v>2498</v>
      </c>
      <c r="AQ269" t="s">
        <v>2499</v>
      </c>
      <c r="AR269" t="s">
        <v>2500</v>
      </c>
      <c r="AS269" t="s">
        <v>2501</v>
      </c>
      <c r="AT269" t="s">
        <v>2502</v>
      </c>
      <c r="AU269" t="s">
        <v>2503</v>
      </c>
      <c r="AV269" t="s">
        <v>2504</v>
      </c>
      <c r="AW269" t="s">
        <v>2505</v>
      </c>
      <c r="AX269" t="s">
        <v>2506</v>
      </c>
      <c r="AY269" t="s">
        <v>2507</v>
      </c>
      <c r="AZ269" t="s">
        <v>2508</v>
      </c>
      <c r="BA269" t="s">
        <v>2509</v>
      </c>
      <c r="BB269" t="s">
        <v>2510</v>
      </c>
      <c r="BC269" t="s">
        <v>2511</v>
      </c>
      <c r="BD269" t="s">
        <v>2512</v>
      </c>
      <c r="BE269" t="s">
        <v>2513</v>
      </c>
      <c r="BF269" t="s">
        <v>2514</v>
      </c>
      <c r="BG269" t="s">
        <v>2515</v>
      </c>
      <c r="BH269" t="s">
        <v>2516</v>
      </c>
      <c r="BI269" t="s">
        <v>2517</v>
      </c>
      <c r="BJ269" t="s">
        <v>2518</v>
      </c>
      <c r="BK269" t="s">
        <v>2519</v>
      </c>
      <c r="BL269" t="s">
        <v>2520</v>
      </c>
      <c r="BM269" t="s">
        <v>2521</v>
      </c>
      <c r="BN269" t="s">
        <v>2522</v>
      </c>
      <c r="BO269" t="s">
        <v>2523</v>
      </c>
      <c r="BP269" t="s">
        <v>2524</v>
      </c>
      <c r="BQ269" t="s">
        <v>2525</v>
      </c>
      <c r="BR269" t="s">
        <v>2526</v>
      </c>
      <c r="BS269" t="s">
        <v>2527</v>
      </c>
      <c r="BT269" t="s">
        <v>2528</v>
      </c>
      <c r="BU269" t="s">
        <v>2529</v>
      </c>
      <c r="BV269" t="s">
        <v>2530</v>
      </c>
      <c r="BW269" t="s">
        <v>2531</v>
      </c>
      <c r="BX269" t="s">
        <v>2532</v>
      </c>
      <c r="BY269" t="s">
        <v>2533</v>
      </c>
      <c r="BZ269" t="s">
        <v>2534</v>
      </c>
      <c r="CA269" t="s">
        <v>2535</v>
      </c>
      <c r="CB269" t="s">
        <v>2536</v>
      </c>
      <c r="CD269" t="s">
        <v>2537</v>
      </c>
    </row>
    <row r="270" spans="1:82" x14ac:dyDescent="0.3">
      <c r="A270" s="155">
        <v>973</v>
      </c>
      <c r="B270" t="s">
        <v>626</v>
      </c>
      <c r="D270">
        <v>0</v>
      </c>
      <c r="E270">
        <v>0</v>
      </c>
      <c r="F270">
        <v>0</v>
      </c>
      <c r="G270">
        <v>0</v>
      </c>
      <c r="H270">
        <v>0</v>
      </c>
      <c r="I270">
        <v>0</v>
      </c>
      <c r="J270">
        <v>0</v>
      </c>
      <c r="K270">
        <v>0</v>
      </c>
      <c r="L270">
        <v>0</v>
      </c>
      <c r="M270">
        <v>0</v>
      </c>
      <c r="N270">
        <v>0</v>
      </c>
      <c r="O270">
        <v>0</v>
      </c>
      <c r="P270">
        <v>1</v>
      </c>
      <c r="Q270">
        <v>0</v>
      </c>
      <c r="R270">
        <v>1</v>
      </c>
      <c r="S270">
        <v>0</v>
      </c>
      <c r="T270">
        <v>0</v>
      </c>
      <c r="U270">
        <v>0</v>
      </c>
      <c r="V270">
        <v>0</v>
      </c>
      <c r="W270">
        <v>0</v>
      </c>
      <c r="X270">
        <v>0</v>
      </c>
      <c r="Y270">
        <v>0</v>
      </c>
      <c r="Z270">
        <v>7</v>
      </c>
      <c r="AA270">
        <v>0</v>
      </c>
      <c r="AB270">
        <v>0</v>
      </c>
      <c r="AC270">
        <v>0</v>
      </c>
      <c r="AD270">
        <v>0</v>
      </c>
      <c r="AE270">
        <v>0</v>
      </c>
      <c r="AF270">
        <v>0</v>
      </c>
      <c r="AG270">
        <v>0</v>
      </c>
      <c r="AH270">
        <v>0</v>
      </c>
      <c r="AI270">
        <v>0</v>
      </c>
      <c r="AJ270">
        <v>0</v>
      </c>
      <c r="AK270">
        <v>0</v>
      </c>
      <c r="AM270">
        <v>0</v>
      </c>
      <c r="AN270">
        <v>0</v>
      </c>
      <c r="AO270">
        <v>1</v>
      </c>
      <c r="AP270">
        <v>3</v>
      </c>
      <c r="AQ270">
        <v>0</v>
      </c>
      <c r="AR270">
        <v>0</v>
      </c>
      <c r="AS270">
        <v>0</v>
      </c>
      <c r="AT270">
        <v>1</v>
      </c>
      <c r="AU270">
        <v>1</v>
      </c>
      <c r="AV270">
        <v>0</v>
      </c>
      <c r="AW270">
        <v>0</v>
      </c>
      <c r="AX270">
        <v>0</v>
      </c>
      <c r="AY270">
        <v>0</v>
      </c>
      <c r="AZ270">
        <v>0</v>
      </c>
      <c r="BA270">
        <v>1</v>
      </c>
      <c r="BB270">
        <v>0</v>
      </c>
      <c r="BC270">
        <v>0</v>
      </c>
      <c r="BD270">
        <v>0</v>
      </c>
      <c r="BE270">
        <v>1</v>
      </c>
      <c r="BF270">
        <v>0</v>
      </c>
      <c r="BG270">
        <v>0</v>
      </c>
      <c r="BH270">
        <v>0</v>
      </c>
      <c r="BI270">
        <v>1</v>
      </c>
      <c r="BJ270">
        <v>0</v>
      </c>
      <c r="BK270">
        <v>0</v>
      </c>
      <c r="BL270">
        <v>0</v>
      </c>
      <c r="BM270">
        <v>0</v>
      </c>
      <c r="BN270">
        <v>0</v>
      </c>
      <c r="BO270">
        <v>0</v>
      </c>
      <c r="BP270">
        <v>0</v>
      </c>
      <c r="BQ270">
        <v>0</v>
      </c>
      <c r="BR270">
        <v>0</v>
      </c>
      <c r="BS270">
        <v>0</v>
      </c>
      <c r="BT270">
        <v>0</v>
      </c>
      <c r="BU270">
        <v>0</v>
      </c>
      <c r="BV270">
        <v>0</v>
      </c>
      <c r="BW270">
        <v>0</v>
      </c>
      <c r="BX270">
        <v>0</v>
      </c>
      <c r="BY270">
        <v>1</v>
      </c>
      <c r="BZ270">
        <v>0</v>
      </c>
      <c r="CA270">
        <v>0</v>
      </c>
      <c r="CB270">
        <v>0</v>
      </c>
      <c r="CD270">
        <v>0</v>
      </c>
    </row>
    <row r="271" spans="1:82" x14ac:dyDescent="0.3">
      <c r="A271" s="155">
        <v>974</v>
      </c>
      <c r="B271" t="s">
        <v>1012</v>
      </c>
      <c r="D271">
        <v>2</v>
      </c>
      <c r="E271">
        <v>2</v>
      </c>
      <c r="F271">
        <v>2</v>
      </c>
      <c r="G271">
        <v>2</v>
      </c>
      <c r="H271">
        <v>2</v>
      </c>
      <c r="I271">
        <v>3</v>
      </c>
      <c r="J271">
        <v>2</v>
      </c>
      <c r="K271">
        <v>3</v>
      </c>
      <c r="L271">
        <v>3</v>
      </c>
      <c r="M271">
        <v>2</v>
      </c>
      <c r="N271">
        <v>2</v>
      </c>
      <c r="O271">
        <v>3</v>
      </c>
      <c r="P271">
        <v>3</v>
      </c>
      <c r="Q271">
        <v>2</v>
      </c>
      <c r="R271">
        <v>2</v>
      </c>
      <c r="S271">
        <v>3</v>
      </c>
      <c r="T271">
        <v>2</v>
      </c>
      <c r="U271">
        <v>2</v>
      </c>
      <c r="V271">
        <v>2</v>
      </c>
      <c r="W271">
        <v>2</v>
      </c>
      <c r="X271">
        <v>3</v>
      </c>
      <c r="Y271">
        <v>2</v>
      </c>
      <c r="Z271">
        <v>2</v>
      </c>
      <c r="AA271">
        <v>2</v>
      </c>
      <c r="AB271">
        <v>3</v>
      </c>
      <c r="AC271">
        <v>3</v>
      </c>
      <c r="AD271">
        <v>2</v>
      </c>
      <c r="AE271">
        <v>2</v>
      </c>
      <c r="AF271">
        <v>2</v>
      </c>
      <c r="AG271">
        <v>2</v>
      </c>
      <c r="AH271">
        <v>2</v>
      </c>
      <c r="AI271">
        <v>2</v>
      </c>
      <c r="AJ271">
        <v>3</v>
      </c>
      <c r="AK271">
        <v>2</v>
      </c>
      <c r="AM271">
        <v>2</v>
      </c>
      <c r="AN271">
        <v>2</v>
      </c>
      <c r="AO271">
        <v>2</v>
      </c>
      <c r="AP271">
        <v>2</v>
      </c>
      <c r="AQ271">
        <v>2</v>
      </c>
      <c r="AR271">
        <v>2</v>
      </c>
      <c r="AS271">
        <v>2</v>
      </c>
      <c r="AT271">
        <v>2</v>
      </c>
      <c r="AU271">
        <v>3</v>
      </c>
      <c r="AV271">
        <v>2</v>
      </c>
      <c r="AW271">
        <v>2</v>
      </c>
      <c r="AX271">
        <v>2</v>
      </c>
      <c r="AY271">
        <v>2</v>
      </c>
      <c r="AZ271">
        <v>2</v>
      </c>
      <c r="BA271">
        <v>3</v>
      </c>
      <c r="BB271">
        <v>3</v>
      </c>
      <c r="BC271">
        <v>2</v>
      </c>
      <c r="BD271">
        <v>2</v>
      </c>
      <c r="BE271">
        <v>2</v>
      </c>
      <c r="BF271">
        <v>2</v>
      </c>
      <c r="BG271">
        <v>3</v>
      </c>
      <c r="BH271">
        <v>3</v>
      </c>
      <c r="BI271">
        <v>2</v>
      </c>
      <c r="BJ271">
        <v>2</v>
      </c>
      <c r="BK271">
        <v>3</v>
      </c>
      <c r="BL271">
        <v>2</v>
      </c>
      <c r="BM271">
        <v>2</v>
      </c>
      <c r="BN271">
        <v>1</v>
      </c>
      <c r="BO271">
        <v>2</v>
      </c>
      <c r="BP271">
        <v>2</v>
      </c>
      <c r="BQ271">
        <v>2</v>
      </c>
      <c r="BR271">
        <v>2</v>
      </c>
      <c r="BS271">
        <v>2</v>
      </c>
      <c r="BT271">
        <v>2</v>
      </c>
      <c r="BU271">
        <v>2</v>
      </c>
      <c r="BV271">
        <v>3</v>
      </c>
      <c r="BW271">
        <v>2</v>
      </c>
      <c r="BX271">
        <v>2</v>
      </c>
      <c r="BY271">
        <v>3</v>
      </c>
      <c r="BZ271">
        <v>2</v>
      </c>
      <c r="CA271">
        <v>2</v>
      </c>
      <c r="CB271">
        <v>2</v>
      </c>
      <c r="CD271">
        <v>2</v>
      </c>
    </row>
    <row r="272" spans="1:82" x14ac:dyDescent="0.3">
      <c r="A272" s="155">
        <v>975</v>
      </c>
      <c r="B272" t="s">
        <v>606</v>
      </c>
      <c r="D272">
        <v>1</v>
      </c>
      <c r="E272">
        <v>1</v>
      </c>
      <c r="F272">
        <v>1</v>
      </c>
      <c r="G272">
        <v>1</v>
      </c>
      <c r="H272">
        <v>2</v>
      </c>
      <c r="I272">
        <v>2</v>
      </c>
      <c r="J272">
        <v>1</v>
      </c>
      <c r="K272">
        <v>2</v>
      </c>
      <c r="L272">
        <v>2</v>
      </c>
      <c r="M272">
        <v>1</v>
      </c>
      <c r="N272">
        <v>2</v>
      </c>
      <c r="O272">
        <v>2</v>
      </c>
      <c r="P272">
        <v>1</v>
      </c>
      <c r="Q272">
        <v>2</v>
      </c>
      <c r="R272">
        <v>1</v>
      </c>
      <c r="S272">
        <v>1</v>
      </c>
      <c r="T272">
        <v>1</v>
      </c>
      <c r="U272">
        <v>1</v>
      </c>
      <c r="V272">
        <v>1</v>
      </c>
      <c r="W272">
        <v>2</v>
      </c>
      <c r="X272">
        <v>1</v>
      </c>
      <c r="Y272">
        <v>2</v>
      </c>
      <c r="Z272">
        <v>1</v>
      </c>
      <c r="AA272">
        <v>1</v>
      </c>
      <c r="AB272">
        <v>1</v>
      </c>
      <c r="AC272">
        <v>1</v>
      </c>
      <c r="AD272">
        <v>1</v>
      </c>
      <c r="AE272">
        <v>1</v>
      </c>
      <c r="AF272">
        <v>2</v>
      </c>
      <c r="AG272">
        <v>1</v>
      </c>
      <c r="AH272">
        <v>1</v>
      </c>
      <c r="AI272">
        <v>1</v>
      </c>
      <c r="AJ272">
        <v>2</v>
      </c>
      <c r="AK272">
        <v>1</v>
      </c>
      <c r="AM272">
        <v>2</v>
      </c>
      <c r="AN272">
        <v>1</v>
      </c>
      <c r="AO272">
        <v>1</v>
      </c>
      <c r="AP272">
        <v>1</v>
      </c>
      <c r="AQ272">
        <v>1</v>
      </c>
      <c r="AR272">
        <v>1</v>
      </c>
      <c r="AS272">
        <v>1</v>
      </c>
      <c r="AT272">
        <v>1</v>
      </c>
      <c r="AU272">
        <v>1</v>
      </c>
      <c r="AV272">
        <v>1</v>
      </c>
      <c r="AW272">
        <v>2</v>
      </c>
      <c r="AX272">
        <v>1</v>
      </c>
      <c r="AY272">
        <v>2</v>
      </c>
      <c r="AZ272">
        <v>1</v>
      </c>
      <c r="BA272">
        <v>1</v>
      </c>
      <c r="BB272">
        <v>1</v>
      </c>
      <c r="BC272">
        <v>1</v>
      </c>
      <c r="BD272">
        <v>2</v>
      </c>
      <c r="BE272">
        <v>1</v>
      </c>
      <c r="BF272">
        <v>1</v>
      </c>
      <c r="BG272">
        <v>1</v>
      </c>
      <c r="BH272">
        <v>1</v>
      </c>
      <c r="BI272">
        <v>1</v>
      </c>
      <c r="BJ272">
        <v>1</v>
      </c>
      <c r="BK272">
        <v>1</v>
      </c>
      <c r="BL272">
        <v>1</v>
      </c>
      <c r="BM272">
        <v>1</v>
      </c>
      <c r="BN272">
        <v>1</v>
      </c>
      <c r="BO272">
        <v>1</v>
      </c>
      <c r="BP272">
        <v>1</v>
      </c>
      <c r="BQ272">
        <v>1</v>
      </c>
      <c r="BR272">
        <v>1</v>
      </c>
      <c r="BS272">
        <v>2</v>
      </c>
      <c r="BT272">
        <v>1</v>
      </c>
      <c r="BU272">
        <v>1</v>
      </c>
      <c r="BV272">
        <v>2</v>
      </c>
      <c r="BW272">
        <v>1</v>
      </c>
      <c r="BX272">
        <v>1</v>
      </c>
      <c r="BY272">
        <v>1</v>
      </c>
      <c r="BZ272">
        <v>1</v>
      </c>
      <c r="CA272">
        <v>1</v>
      </c>
      <c r="CB272">
        <v>1</v>
      </c>
      <c r="CD272">
        <v>1</v>
      </c>
    </row>
    <row r="273" spans="1:82" x14ac:dyDescent="0.3">
      <c r="A273" s="155">
        <v>976</v>
      </c>
      <c r="B273" t="s">
        <v>627</v>
      </c>
      <c r="D273">
        <v>1</v>
      </c>
      <c r="E273">
        <v>1</v>
      </c>
      <c r="F273">
        <v>1</v>
      </c>
      <c r="G273">
        <v>1</v>
      </c>
      <c r="H273">
        <v>3</v>
      </c>
      <c r="I273">
        <v>3</v>
      </c>
      <c r="J273">
        <v>1</v>
      </c>
      <c r="K273">
        <v>3</v>
      </c>
      <c r="L273">
        <v>3</v>
      </c>
      <c r="M273">
        <v>1</v>
      </c>
      <c r="N273">
        <v>3</v>
      </c>
      <c r="O273">
        <v>3</v>
      </c>
      <c r="P273">
        <v>1</v>
      </c>
      <c r="Q273">
        <v>3</v>
      </c>
      <c r="R273">
        <v>1</v>
      </c>
      <c r="S273">
        <v>1</v>
      </c>
      <c r="T273">
        <v>1</v>
      </c>
      <c r="U273">
        <v>1</v>
      </c>
      <c r="V273">
        <v>1</v>
      </c>
      <c r="W273">
        <v>3</v>
      </c>
      <c r="X273">
        <v>1</v>
      </c>
      <c r="Y273">
        <v>3</v>
      </c>
      <c r="Z273">
        <v>1</v>
      </c>
      <c r="AA273">
        <v>1</v>
      </c>
      <c r="AB273">
        <v>1</v>
      </c>
      <c r="AC273">
        <v>1</v>
      </c>
      <c r="AD273">
        <v>1</v>
      </c>
      <c r="AE273">
        <v>1</v>
      </c>
      <c r="AF273">
        <v>3</v>
      </c>
      <c r="AG273">
        <v>1</v>
      </c>
      <c r="AH273">
        <v>1</v>
      </c>
      <c r="AI273">
        <v>1</v>
      </c>
      <c r="AJ273">
        <v>3</v>
      </c>
      <c r="AK273">
        <v>1</v>
      </c>
      <c r="AM273">
        <v>3</v>
      </c>
      <c r="AN273">
        <v>1</v>
      </c>
      <c r="AO273">
        <v>1</v>
      </c>
      <c r="AP273">
        <v>1</v>
      </c>
      <c r="AQ273">
        <v>1</v>
      </c>
      <c r="AR273">
        <v>1</v>
      </c>
      <c r="AS273">
        <v>1</v>
      </c>
      <c r="AT273">
        <v>1</v>
      </c>
      <c r="AU273">
        <v>1</v>
      </c>
      <c r="AV273">
        <v>1</v>
      </c>
      <c r="AW273">
        <v>0</v>
      </c>
      <c r="AX273">
        <v>1</v>
      </c>
      <c r="AY273">
        <v>3</v>
      </c>
      <c r="AZ273">
        <v>1</v>
      </c>
      <c r="BA273">
        <v>1</v>
      </c>
      <c r="BB273">
        <v>1</v>
      </c>
      <c r="BC273">
        <v>1</v>
      </c>
      <c r="BD273">
        <v>3</v>
      </c>
      <c r="BE273">
        <v>1</v>
      </c>
      <c r="BF273">
        <v>1</v>
      </c>
      <c r="BG273">
        <v>1</v>
      </c>
      <c r="BH273">
        <v>1</v>
      </c>
      <c r="BI273">
        <v>1</v>
      </c>
      <c r="BJ273">
        <v>1</v>
      </c>
      <c r="BK273">
        <v>1</v>
      </c>
      <c r="BL273">
        <v>1</v>
      </c>
      <c r="BM273">
        <v>1</v>
      </c>
      <c r="BN273">
        <v>1</v>
      </c>
      <c r="BO273">
        <v>1</v>
      </c>
      <c r="BP273">
        <v>1</v>
      </c>
      <c r="BQ273">
        <v>3</v>
      </c>
      <c r="BR273">
        <v>1</v>
      </c>
      <c r="BS273">
        <v>3</v>
      </c>
      <c r="BT273">
        <v>1</v>
      </c>
      <c r="BU273">
        <v>1</v>
      </c>
      <c r="BV273">
        <v>3</v>
      </c>
      <c r="BW273">
        <v>1</v>
      </c>
      <c r="BX273">
        <v>1</v>
      </c>
      <c r="BY273">
        <v>1</v>
      </c>
      <c r="BZ273">
        <v>1</v>
      </c>
      <c r="CA273">
        <v>1</v>
      </c>
      <c r="CB273">
        <v>1</v>
      </c>
      <c r="CD273">
        <v>1</v>
      </c>
    </row>
    <row r="274" spans="1:82" x14ac:dyDescent="0.3">
      <c r="A274" s="155">
        <v>977</v>
      </c>
      <c r="B274" t="s">
        <v>1013</v>
      </c>
      <c r="D274">
        <v>1</v>
      </c>
      <c r="E274">
        <v>1</v>
      </c>
      <c r="F274" s="581">
        <v>1</v>
      </c>
      <c r="G274">
        <v>1</v>
      </c>
      <c r="H274">
        <v>1</v>
      </c>
      <c r="I274">
        <v>1</v>
      </c>
      <c r="J274">
        <v>1</v>
      </c>
      <c r="K274">
        <v>1</v>
      </c>
      <c r="L274">
        <v>1</v>
      </c>
      <c r="M274">
        <v>1</v>
      </c>
      <c r="N274">
        <v>1</v>
      </c>
      <c r="O274">
        <v>1</v>
      </c>
      <c r="P274">
        <v>1</v>
      </c>
      <c r="Q274">
        <v>1</v>
      </c>
      <c r="R274">
        <v>1</v>
      </c>
      <c r="S274">
        <v>1</v>
      </c>
      <c r="T274">
        <v>1</v>
      </c>
      <c r="U274">
        <v>1</v>
      </c>
      <c r="V274">
        <v>1</v>
      </c>
      <c r="W274">
        <v>1</v>
      </c>
      <c r="X274">
        <v>2</v>
      </c>
      <c r="Y274">
        <v>1</v>
      </c>
      <c r="Z274">
        <v>1</v>
      </c>
      <c r="AA274">
        <v>1</v>
      </c>
      <c r="AB274">
        <v>1</v>
      </c>
      <c r="AC274">
        <v>1</v>
      </c>
      <c r="AD274">
        <v>1</v>
      </c>
      <c r="AE274">
        <v>1</v>
      </c>
      <c r="AF274">
        <v>1</v>
      </c>
      <c r="AG274">
        <v>1</v>
      </c>
      <c r="AH274">
        <v>1</v>
      </c>
      <c r="AI274">
        <v>1</v>
      </c>
      <c r="AJ274">
        <v>1</v>
      </c>
      <c r="AK274">
        <v>1</v>
      </c>
      <c r="AM274">
        <v>1</v>
      </c>
      <c r="AN274">
        <v>1</v>
      </c>
      <c r="AO274">
        <v>1</v>
      </c>
      <c r="AP274">
        <v>2</v>
      </c>
      <c r="AQ274">
        <v>1</v>
      </c>
      <c r="AR274">
        <v>1</v>
      </c>
      <c r="AS274">
        <v>1</v>
      </c>
      <c r="AT274">
        <v>1</v>
      </c>
      <c r="AU274">
        <v>1</v>
      </c>
      <c r="AV274">
        <v>1</v>
      </c>
      <c r="AW274">
        <v>1</v>
      </c>
      <c r="AX274">
        <v>1</v>
      </c>
      <c r="AY274">
        <v>1</v>
      </c>
      <c r="AZ274">
        <v>1</v>
      </c>
      <c r="BA274">
        <v>1</v>
      </c>
      <c r="BB274">
        <v>1</v>
      </c>
      <c r="BC274">
        <v>1</v>
      </c>
      <c r="BD274">
        <v>1</v>
      </c>
      <c r="BE274">
        <v>1</v>
      </c>
      <c r="BF274">
        <v>1</v>
      </c>
      <c r="BG274">
        <v>1</v>
      </c>
      <c r="BH274">
        <v>1</v>
      </c>
      <c r="BI274">
        <v>1</v>
      </c>
      <c r="BJ274">
        <v>1</v>
      </c>
      <c r="BK274">
        <v>1</v>
      </c>
      <c r="BL274">
        <v>1</v>
      </c>
      <c r="BM274">
        <v>1</v>
      </c>
      <c r="BN274">
        <v>1</v>
      </c>
      <c r="BO274">
        <v>1</v>
      </c>
      <c r="BP274">
        <v>1</v>
      </c>
      <c r="BQ274">
        <v>1</v>
      </c>
      <c r="BR274">
        <v>1</v>
      </c>
      <c r="BS274">
        <v>1</v>
      </c>
      <c r="BT274">
        <v>1</v>
      </c>
      <c r="BU274">
        <v>1</v>
      </c>
      <c r="BV274">
        <v>1</v>
      </c>
      <c r="BW274">
        <v>1</v>
      </c>
      <c r="BX274">
        <v>1</v>
      </c>
      <c r="BY274">
        <v>2</v>
      </c>
      <c r="BZ274">
        <v>2</v>
      </c>
      <c r="CA274">
        <v>1</v>
      </c>
      <c r="CB274">
        <v>1</v>
      </c>
      <c r="CD274">
        <v>1</v>
      </c>
    </row>
    <row r="275" spans="1:82" x14ac:dyDescent="0.3">
      <c r="A275" s="155">
        <v>978</v>
      </c>
      <c r="B275" t="s">
        <v>593</v>
      </c>
      <c r="D275">
        <v>2</v>
      </c>
      <c r="E275">
        <v>1</v>
      </c>
      <c r="F275">
        <v>2</v>
      </c>
      <c r="G275">
        <v>2</v>
      </c>
      <c r="H275">
        <v>1</v>
      </c>
      <c r="I275">
        <v>2</v>
      </c>
      <c r="J275">
        <v>2</v>
      </c>
      <c r="K275">
        <v>2</v>
      </c>
      <c r="L275">
        <v>2</v>
      </c>
      <c r="M275">
        <v>2</v>
      </c>
      <c r="N275">
        <v>2</v>
      </c>
      <c r="O275">
        <v>2</v>
      </c>
      <c r="P275">
        <v>2</v>
      </c>
      <c r="Q275">
        <v>2</v>
      </c>
      <c r="R275">
        <v>1</v>
      </c>
      <c r="S275">
        <v>2</v>
      </c>
      <c r="T275">
        <v>2</v>
      </c>
      <c r="U275">
        <v>2</v>
      </c>
      <c r="V275">
        <v>1</v>
      </c>
      <c r="W275">
        <v>2</v>
      </c>
      <c r="X275">
        <v>2</v>
      </c>
      <c r="Y275">
        <v>2</v>
      </c>
      <c r="Z275">
        <v>1</v>
      </c>
      <c r="AA275">
        <v>2</v>
      </c>
      <c r="AB275">
        <v>2</v>
      </c>
      <c r="AC275">
        <v>2</v>
      </c>
      <c r="AD275">
        <v>2</v>
      </c>
      <c r="AE275">
        <v>2</v>
      </c>
      <c r="AF275">
        <v>2</v>
      </c>
      <c r="AG275">
        <v>2</v>
      </c>
      <c r="AH275">
        <v>2</v>
      </c>
      <c r="AI275">
        <v>1</v>
      </c>
      <c r="AJ275">
        <v>2</v>
      </c>
      <c r="AK275">
        <v>1</v>
      </c>
      <c r="AM275">
        <v>2</v>
      </c>
      <c r="AN275">
        <v>2</v>
      </c>
      <c r="AO275">
        <v>1</v>
      </c>
      <c r="AP275">
        <v>1</v>
      </c>
      <c r="AQ275">
        <v>2</v>
      </c>
      <c r="AR275">
        <v>2</v>
      </c>
      <c r="AS275">
        <v>2</v>
      </c>
      <c r="AT275">
        <v>2</v>
      </c>
      <c r="AU275">
        <v>2</v>
      </c>
      <c r="AV275">
        <v>2</v>
      </c>
      <c r="AW275">
        <v>2</v>
      </c>
      <c r="AX275">
        <v>2</v>
      </c>
      <c r="AY275">
        <v>2</v>
      </c>
      <c r="AZ275">
        <v>2</v>
      </c>
      <c r="BA275">
        <v>1</v>
      </c>
      <c r="BB275">
        <v>2</v>
      </c>
      <c r="BC275">
        <v>2</v>
      </c>
      <c r="BD275">
        <v>2</v>
      </c>
      <c r="BE275">
        <v>2</v>
      </c>
      <c r="BF275">
        <v>2</v>
      </c>
      <c r="BG275">
        <v>2</v>
      </c>
      <c r="BH275">
        <v>2</v>
      </c>
      <c r="BI275">
        <v>2</v>
      </c>
      <c r="BJ275">
        <v>1</v>
      </c>
      <c r="BK275">
        <v>2</v>
      </c>
      <c r="BL275">
        <v>2</v>
      </c>
      <c r="BM275">
        <v>2</v>
      </c>
      <c r="BN275">
        <v>2</v>
      </c>
      <c r="BO275">
        <v>2</v>
      </c>
      <c r="BP275">
        <v>2</v>
      </c>
      <c r="BQ275">
        <v>2</v>
      </c>
      <c r="BR275">
        <v>2</v>
      </c>
      <c r="BS275">
        <v>2</v>
      </c>
      <c r="BT275">
        <v>2</v>
      </c>
      <c r="BU275">
        <v>2</v>
      </c>
      <c r="BV275">
        <v>2</v>
      </c>
      <c r="BW275">
        <v>2</v>
      </c>
      <c r="BX275">
        <v>2</v>
      </c>
      <c r="BY275">
        <v>1</v>
      </c>
      <c r="BZ275">
        <v>2</v>
      </c>
      <c r="CA275">
        <v>2</v>
      </c>
      <c r="CB275">
        <v>1</v>
      </c>
      <c r="CD275">
        <v>1</v>
      </c>
    </row>
    <row r="276" spans="1:82" x14ac:dyDescent="0.3">
      <c r="A276" s="155">
        <v>979</v>
      </c>
      <c r="B276" t="s">
        <v>1014</v>
      </c>
      <c r="D276">
        <v>2</v>
      </c>
      <c r="E276">
        <v>2</v>
      </c>
      <c r="F276">
        <v>2</v>
      </c>
      <c r="G276">
        <v>1</v>
      </c>
      <c r="H276">
        <v>1</v>
      </c>
      <c r="I276">
        <v>1</v>
      </c>
      <c r="J276">
        <v>1</v>
      </c>
      <c r="K276">
        <v>1</v>
      </c>
      <c r="L276">
        <v>1</v>
      </c>
      <c r="M276">
        <v>2</v>
      </c>
      <c r="N276">
        <v>1</v>
      </c>
      <c r="O276">
        <v>1</v>
      </c>
      <c r="P276">
        <v>1</v>
      </c>
      <c r="Q276">
        <v>1</v>
      </c>
      <c r="R276">
        <v>2</v>
      </c>
      <c r="S276">
        <v>1</v>
      </c>
      <c r="T276">
        <v>1</v>
      </c>
      <c r="U276">
        <v>1</v>
      </c>
      <c r="V276">
        <v>1</v>
      </c>
      <c r="W276">
        <v>1</v>
      </c>
      <c r="X276">
        <v>2</v>
      </c>
      <c r="Y276">
        <v>1</v>
      </c>
      <c r="Z276">
        <v>1</v>
      </c>
      <c r="AA276">
        <v>1</v>
      </c>
      <c r="AB276">
        <v>1</v>
      </c>
      <c r="AC276">
        <v>1</v>
      </c>
      <c r="AD276">
        <v>2</v>
      </c>
      <c r="AE276">
        <v>2</v>
      </c>
      <c r="AF276">
        <v>1</v>
      </c>
      <c r="AG276">
        <v>2</v>
      </c>
      <c r="AH276">
        <v>2</v>
      </c>
      <c r="AI276">
        <v>2</v>
      </c>
      <c r="AJ276">
        <v>1</v>
      </c>
      <c r="AK276">
        <v>2</v>
      </c>
      <c r="AM276">
        <v>1</v>
      </c>
      <c r="AN276">
        <v>2</v>
      </c>
      <c r="AO276">
        <v>2</v>
      </c>
      <c r="AP276">
        <v>2</v>
      </c>
      <c r="AQ276">
        <v>1</v>
      </c>
      <c r="AR276">
        <v>2</v>
      </c>
      <c r="AS276">
        <v>2</v>
      </c>
      <c r="AT276">
        <v>2</v>
      </c>
      <c r="AU276">
        <v>2</v>
      </c>
      <c r="AV276">
        <v>2</v>
      </c>
      <c r="AW276">
        <v>1</v>
      </c>
      <c r="AX276">
        <v>1</v>
      </c>
      <c r="AY276">
        <v>1</v>
      </c>
      <c r="AZ276">
        <v>1</v>
      </c>
      <c r="BA276">
        <v>2</v>
      </c>
      <c r="BB276">
        <v>1</v>
      </c>
      <c r="BC276">
        <v>1</v>
      </c>
      <c r="BD276">
        <v>1</v>
      </c>
      <c r="BE276">
        <v>2</v>
      </c>
      <c r="BF276">
        <v>2</v>
      </c>
      <c r="BG276">
        <v>2</v>
      </c>
      <c r="BH276">
        <v>1</v>
      </c>
      <c r="BI276">
        <v>1</v>
      </c>
      <c r="BJ276">
        <v>1</v>
      </c>
      <c r="BK276">
        <v>1</v>
      </c>
      <c r="BL276">
        <v>2</v>
      </c>
      <c r="BM276">
        <v>2</v>
      </c>
      <c r="BN276">
        <v>1</v>
      </c>
      <c r="BO276">
        <v>1</v>
      </c>
      <c r="BP276">
        <v>2</v>
      </c>
      <c r="BQ276">
        <v>1</v>
      </c>
      <c r="BR276">
        <v>2</v>
      </c>
      <c r="BS276">
        <v>1</v>
      </c>
      <c r="BT276">
        <v>1</v>
      </c>
      <c r="BU276">
        <v>1</v>
      </c>
      <c r="BV276">
        <v>1</v>
      </c>
      <c r="BW276">
        <v>2</v>
      </c>
      <c r="BX276">
        <v>1</v>
      </c>
      <c r="BY276">
        <v>1</v>
      </c>
      <c r="BZ276">
        <v>2</v>
      </c>
      <c r="CA276">
        <v>1</v>
      </c>
      <c r="CB276">
        <v>2</v>
      </c>
      <c r="CD276">
        <v>2</v>
      </c>
    </row>
    <row r="277" spans="1:82" x14ac:dyDescent="0.3">
      <c r="A277" s="155">
        <v>980</v>
      </c>
      <c r="B277" t="s">
        <v>592</v>
      </c>
      <c r="D277" t="s">
        <v>2078</v>
      </c>
      <c r="E277" t="s">
        <v>2123</v>
      </c>
      <c r="F277" t="s">
        <v>2538</v>
      </c>
      <c r="G277" t="s">
        <v>1017</v>
      </c>
      <c r="H277" t="s">
        <v>2012</v>
      </c>
      <c r="I277" t="s">
        <v>2108</v>
      </c>
      <c r="J277" t="s">
        <v>2011</v>
      </c>
      <c r="K277" t="s">
        <v>2118</v>
      </c>
      <c r="L277" t="s">
        <v>1019</v>
      </c>
      <c r="M277" t="s">
        <v>2121</v>
      </c>
      <c r="N277" t="s">
        <v>2120</v>
      </c>
      <c r="O277" t="s">
        <v>1008</v>
      </c>
      <c r="P277" t="s">
        <v>1000</v>
      </c>
      <c r="Q277" t="s">
        <v>2122</v>
      </c>
      <c r="R277" t="s">
        <v>2539</v>
      </c>
      <c r="S277" t="s">
        <v>2120</v>
      </c>
      <c r="T277" t="s">
        <v>1016</v>
      </c>
      <c r="U277" t="s">
        <v>1008</v>
      </c>
      <c r="V277" t="s">
        <v>1016</v>
      </c>
      <c r="W277" t="s">
        <v>1003</v>
      </c>
      <c r="X277" t="s">
        <v>2747</v>
      </c>
      <c r="Y277" t="s">
        <v>2010</v>
      </c>
      <c r="Z277" t="s">
        <v>2009</v>
      </c>
      <c r="AA277" t="s">
        <v>2008</v>
      </c>
      <c r="AB277" t="s">
        <v>1018</v>
      </c>
      <c r="AC277" t="s">
        <v>1008</v>
      </c>
      <c r="AD277" t="s">
        <v>2113</v>
      </c>
      <c r="AE277" t="s">
        <v>2016</v>
      </c>
      <c r="AF277" t="s">
        <v>2011</v>
      </c>
      <c r="AG277" t="s">
        <v>2540</v>
      </c>
      <c r="AH277" t="s">
        <v>2541</v>
      </c>
      <c r="AI277" t="s">
        <v>2113</v>
      </c>
      <c r="AJ277" t="s">
        <v>2009</v>
      </c>
      <c r="AK277" t="s">
        <v>2013</v>
      </c>
      <c r="AM277" t="s">
        <v>1022</v>
      </c>
      <c r="AN277" t="s">
        <v>2542</v>
      </c>
      <c r="AO277" t="s">
        <v>2543</v>
      </c>
      <c r="AP277" t="s">
        <v>2012</v>
      </c>
      <c r="AQ277" t="s">
        <v>2544</v>
      </c>
      <c r="AR277" t="s">
        <v>2055</v>
      </c>
      <c r="AS277" t="s">
        <v>2059</v>
      </c>
      <c r="AT277" t="s">
        <v>2545</v>
      </c>
      <c r="AU277" t="s">
        <v>2072</v>
      </c>
      <c r="AV277" t="s">
        <v>1017</v>
      </c>
      <c r="AW277" t="s">
        <v>2058</v>
      </c>
      <c r="AX277" t="s">
        <v>1015</v>
      </c>
      <c r="AY277" t="s">
        <v>2383</v>
      </c>
      <c r="AZ277" t="s">
        <v>1000</v>
      </c>
      <c r="BA277" t="s">
        <v>2384</v>
      </c>
      <c r="BB277" t="s">
        <v>1008</v>
      </c>
      <c r="BC277" t="s">
        <v>1008</v>
      </c>
      <c r="BD277" t="s">
        <v>2117</v>
      </c>
      <c r="BE277" t="s">
        <v>2378</v>
      </c>
      <c r="BF277" t="s">
        <v>2121</v>
      </c>
      <c r="BG277" t="s">
        <v>2546</v>
      </c>
      <c r="BH277" t="s">
        <v>2116</v>
      </c>
      <c r="BI277" t="s">
        <v>2120</v>
      </c>
      <c r="BJ277" t="s">
        <v>1016</v>
      </c>
      <c r="BK277" t="s">
        <v>1022</v>
      </c>
      <c r="BL277" t="s">
        <v>2547</v>
      </c>
      <c r="BM277" t="s">
        <v>2543</v>
      </c>
      <c r="BN277" t="s">
        <v>2057</v>
      </c>
      <c r="BO277" t="s">
        <v>1021</v>
      </c>
      <c r="BP277" t="s">
        <v>2063</v>
      </c>
      <c r="BQ277" t="s">
        <v>2060</v>
      </c>
      <c r="BR277" t="s">
        <v>2548</v>
      </c>
      <c r="BS277" t="s">
        <v>1017</v>
      </c>
      <c r="BT277" t="s">
        <v>1017</v>
      </c>
      <c r="BU277" t="s">
        <v>1023</v>
      </c>
      <c r="BV277" t="s">
        <v>2122</v>
      </c>
      <c r="BW277" t="s">
        <v>2061</v>
      </c>
      <c r="BX277" t="s">
        <v>2012</v>
      </c>
      <c r="BY277" t="s">
        <v>1023</v>
      </c>
      <c r="BZ277" t="s">
        <v>2540</v>
      </c>
      <c r="CA277" t="s">
        <v>2098</v>
      </c>
      <c r="CB277" t="s">
        <v>2549</v>
      </c>
      <c r="CD277" t="s">
        <v>2550</v>
      </c>
    </row>
    <row r="278" spans="1:82" x14ac:dyDescent="0.3">
      <c r="A278" s="155">
        <v>984</v>
      </c>
      <c r="B278" t="s">
        <v>1024</v>
      </c>
      <c r="D278">
        <v>131337</v>
      </c>
      <c r="E278">
        <v>28227</v>
      </c>
      <c r="F278">
        <v>368801</v>
      </c>
      <c r="G278">
        <v>1253502</v>
      </c>
      <c r="H278">
        <v>192566</v>
      </c>
      <c r="I278">
        <v>2793819</v>
      </c>
      <c r="J278">
        <v>52951</v>
      </c>
      <c r="K278">
        <v>78828</v>
      </c>
      <c r="L278">
        <v>135499</v>
      </c>
      <c r="M278">
        <v>9365653</v>
      </c>
      <c r="N278">
        <v>31421</v>
      </c>
      <c r="O278">
        <v>2833304</v>
      </c>
      <c r="P278">
        <v>17086</v>
      </c>
      <c r="Q278">
        <v>23779403</v>
      </c>
      <c r="R278">
        <v>1079524</v>
      </c>
      <c r="S278">
        <v>0</v>
      </c>
      <c r="T278">
        <v>47566638</v>
      </c>
      <c r="U278">
        <v>8611029</v>
      </c>
      <c r="V278">
        <v>10722942</v>
      </c>
      <c r="W278">
        <v>22985622</v>
      </c>
      <c r="X278">
        <v>77657</v>
      </c>
      <c r="Y278">
        <v>7120394</v>
      </c>
      <c r="Z278">
        <v>582305</v>
      </c>
      <c r="AA278">
        <v>8821232</v>
      </c>
      <c r="AB278">
        <v>1858009</v>
      </c>
      <c r="AC278">
        <v>931568</v>
      </c>
      <c r="AD278">
        <v>926528</v>
      </c>
      <c r="AE278">
        <v>1059322</v>
      </c>
      <c r="AF278">
        <v>9724927</v>
      </c>
      <c r="AG278">
        <v>2545740</v>
      </c>
      <c r="AH278">
        <v>286104</v>
      </c>
      <c r="AI278">
        <v>16528384</v>
      </c>
      <c r="AJ278">
        <v>222902</v>
      </c>
      <c r="AK278">
        <v>366324</v>
      </c>
      <c r="AM278">
        <v>6557317</v>
      </c>
      <c r="AN278">
        <v>265468</v>
      </c>
      <c r="AO278">
        <v>288597</v>
      </c>
      <c r="AP278">
        <v>0</v>
      </c>
      <c r="AQ278">
        <v>0</v>
      </c>
      <c r="AR278">
        <v>2545292</v>
      </c>
      <c r="AS278">
        <v>147243</v>
      </c>
      <c r="AT278">
        <v>1272137</v>
      </c>
      <c r="AU278">
        <v>76591</v>
      </c>
      <c r="AV278">
        <v>8370253</v>
      </c>
      <c r="AW278">
        <v>897859</v>
      </c>
      <c r="AX278">
        <v>732367</v>
      </c>
      <c r="AY278">
        <v>3445905</v>
      </c>
      <c r="AZ278">
        <v>458431</v>
      </c>
      <c r="BA278">
        <v>574971</v>
      </c>
      <c r="BB278">
        <v>0</v>
      </c>
      <c r="BC278">
        <v>54896</v>
      </c>
      <c r="BD278">
        <v>3744667</v>
      </c>
      <c r="BE278">
        <v>0</v>
      </c>
      <c r="BF278">
        <v>187601</v>
      </c>
      <c r="BG278">
        <v>81403</v>
      </c>
      <c r="BH278">
        <v>35544</v>
      </c>
      <c r="BI278">
        <v>58579</v>
      </c>
      <c r="BJ278">
        <v>52540</v>
      </c>
      <c r="BK278">
        <v>1378152</v>
      </c>
      <c r="BL278">
        <v>334526</v>
      </c>
      <c r="BM278">
        <v>905018</v>
      </c>
      <c r="BN278">
        <v>2098918</v>
      </c>
      <c r="BO278">
        <v>618241</v>
      </c>
      <c r="BP278">
        <v>552518</v>
      </c>
      <c r="BQ278">
        <v>11490262</v>
      </c>
      <c r="BR278">
        <v>265381</v>
      </c>
      <c r="BS278">
        <v>8550770</v>
      </c>
      <c r="BT278">
        <v>207239</v>
      </c>
      <c r="BU278">
        <v>2617365</v>
      </c>
      <c r="BV278">
        <v>330542</v>
      </c>
      <c r="BW278">
        <v>1065142</v>
      </c>
      <c r="BX278">
        <v>148031</v>
      </c>
      <c r="BY278">
        <v>14352</v>
      </c>
      <c r="BZ278">
        <v>73713</v>
      </c>
      <c r="CA278">
        <v>29077</v>
      </c>
      <c r="CB278">
        <v>527734</v>
      </c>
      <c r="CD278">
        <v>13958</v>
      </c>
    </row>
    <row r="279" spans="1:82" x14ac:dyDescent="0.3">
      <c r="A279" s="155">
        <v>985</v>
      </c>
      <c r="B279" t="s">
        <v>1025</v>
      </c>
      <c r="D279">
        <v>131000</v>
      </c>
      <c r="E279">
        <v>30000</v>
      </c>
      <c r="F279">
        <v>344580</v>
      </c>
      <c r="G279">
        <v>1118927</v>
      </c>
      <c r="H279">
        <v>0</v>
      </c>
      <c r="I279">
        <v>2572500</v>
      </c>
      <c r="J279">
        <v>50500</v>
      </c>
      <c r="K279">
        <v>75745</v>
      </c>
      <c r="L279">
        <v>114810</v>
      </c>
      <c r="M279">
        <v>9130000</v>
      </c>
      <c r="N279">
        <v>29000</v>
      </c>
      <c r="O279">
        <v>2902004</v>
      </c>
      <c r="P279">
        <v>16650</v>
      </c>
      <c r="Q279">
        <v>22780646</v>
      </c>
      <c r="R279">
        <v>1049036</v>
      </c>
      <c r="S279">
        <v>0</v>
      </c>
      <c r="T279">
        <v>45275000</v>
      </c>
      <c r="U279">
        <v>7952684</v>
      </c>
      <c r="V279">
        <v>10124177</v>
      </c>
      <c r="W279">
        <v>22920000</v>
      </c>
      <c r="X279">
        <v>73000</v>
      </c>
      <c r="Y279">
        <v>6700200</v>
      </c>
      <c r="Z279">
        <v>521000</v>
      </c>
      <c r="AA279">
        <v>6906094</v>
      </c>
      <c r="AB279">
        <v>1766812</v>
      </c>
      <c r="AC279">
        <v>839426</v>
      </c>
      <c r="AD279">
        <v>881500</v>
      </c>
      <c r="AE279">
        <v>921000</v>
      </c>
      <c r="AF279">
        <v>9161401</v>
      </c>
      <c r="AG279">
        <v>2396500</v>
      </c>
      <c r="AH279">
        <v>276483</v>
      </c>
      <c r="AI279">
        <v>16313010</v>
      </c>
      <c r="AJ279">
        <v>215000</v>
      </c>
      <c r="AK279">
        <v>328440</v>
      </c>
      <c r="AM279">
        <v>6139500</v>
      </c>
      <c r="AN279">
        <v>229300</v>
      </c>
      <c r="AO279">
        <v>268163</v>
      </c>
      <c r="AP279">
        <v>0</v>
      </c>
      <c r="AQ279">
        <v>0</v>
      </c>
      <c r="AR279">
        <v>2272548</v>
      </c>
      <c r="AS279">
        <v>118400</v>
      </c>
      <c r="AT279">
        <v>1357800</v>
      </c>
      <c r="AU279">
        <v>69381</v>
      </c>
      <c r="AV279">
        <v>7397417</v>
      </c>
      <c r="AW279">
        <v>811342</v>
      </c>
      <c r="AX279">
        <v>736000</v>
      </c>
      <c r="AY279">
        <v>3432158</v>
      </c>
      <c r="AZ279">
        <v>451300</v>
      </c>
      <c r="BA279">
        <v>513668</v>
      </c>
      <c r="BB279">
        <v>0</v>
      </c>
      <c r="BC279">
        <v>54660</v>
      </c>
      <c r="BD279">
        <v>3422000</v>
      </c>
      <c r="BE279">
        <v>0</v>
      </c>
      <c r="BF279">
        <v>153119</v>
      </c>
      <c r="BG279">
        <v>69690</v>
      </c>
      <c r="BH279">
        <v>29582</v>
      </c>
      <c r="BI279">
        <v>55000</v>
      </c>
      <c r="BJ279">
        <v>52500</v>
      </c>
      <c r="BK279">
        <v>1389162</v>
      </c>
      <c r="BL279">
        <v>319500</v>
      </c>
      <c r="BM279">
        <v>886500</v>
      </c>
      <c r="BN279">
        <v>2094500</v>
      </c>
      <c r="BO279">
        <v>581775</v>
      </c>
      <c r="BP279">
        <v>528244</v>
      </c>
      <c r="BQ279">
        <v>11457000</v>
      </c>
      <c r="BR279">
        <v>219450</v>
      </c>
      <c r="BS279">
        <v>8125000</v>
      </c>
      <c r="BT279">
        <v>195863</v>
      </c>
      <c r="BU279">
        <v>2486661</v>
      </c>
      <c r="BV279">
        <v>304999</v>
      </c>
      <c r="BW279">
        <v>1032000</v>
      </c>
      <c r="BX279">
        <v>118000</v>
      </c>
      <c r="BY279">
        <v>14600</v>
      </c>
      <c r="BZ279">
        <v>64670</v>
      </c>
      <c r="CA279">
        <v>28000</v>
      </c>
      <c r="CB279">
        <v>519500</v>
      </c>
      <c r="CD279">
        <v>10000</v>
      </c>
    </row>
    <row r="280" spans="1:82" x14ac:dyDescent="0.3">
      <c r="A280" s="155">
        <v>986</v>
      </c>
      <c r="B280" t="s">
        <v>594</v>
      </c>
      <c r="D280">
        <v>0</v>
      </c>
      <c r="E280">
        <v>0</v>
      </c>
      <c r="F280">
        <v>0</v>
      </c>
      <c r="G280">
        <v>0</v>
      </c>
      <c r="H280">
        <v>0</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M280">
        <v>0</v>
      </c>
      <c r="AN280">
        <v>0</v>
      </c>
      <c r="AO280">
        <v>0</v>
      </c>
      <c r="AP280">
        <v>0</v>
      </c>
      <c r="AQ280">
        <v>0</v>
      </c>
      <c r="AR280">
        <v>0</v>
      </c>
      <c r="AS280">
        <v>0</v>
      </c>
      <c r="AT280">
        <v>0</v>
      </c>
      <c r="AU280">
        <v>0</v>
      </c>
      <c r="AV280">
        <v>444298</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D280">
        <v>0</v>
      </c>
    </row>
    <row r="281" spans="1:82" x14ac:dyDescent="0.3">
      <c r="A281" s="155">
        <v>987</v>
      </c>
      <c r="B281" t="s">
        <v>1026</v>
      </c>
      <c r="D281">
        <v>0</v>
      </c>
      <c r="E281">
        <v>0</v>
      </c>
      <c r="F281">
        <v>0</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c r="BU281">
        <v>0</v>
      </c>
      <c r="BV281">
        <v>0</v>
      </c>
      <c r="BW281">
        <v>0</v>
      </c>
      <c r="BX281">
        <v>0</v>
      </c>
      <c r="BY281">
        <v>0</v>
      </c>
      <c r="BZ281">
        <v>0</v>
      </c>
      <c r="CA281">
        <v>0</v>
      </c>
      <c r="CB281">
        <v>0</v>
      </c>
      <c r="CD281">
        <v>0</v>
      </c>
    </row>
    <row r="282" spans="1:82" x14ac:dyDescent="0.3">
      <c r="A282" s="155">
        <v>988</v>
      </c>
      <c r="B282" t="s">
        <v>1027</v>
      </c>
      <c r="D282">
        <v>2</v>
      </c>
      <c r="E282">
        <v>2</v>
      </c>
      <c r="F282">
        <v>2</v>
      </c>
      <c r="G282">
        <v>2</v>
      </c>
      <c r="H282">
        <v>2</v>
      </c>
      <c r="I282">
        <v>2</v>
      </c>
      <c r="J282">
        <v>2</v>
      </c>
      <c r="K282">
        <v>2</v>
      </c>
      <c r="L282">
        <v>2</v>
      </c>
      <c r="M282">
        <v>2</v>
      </c>
      <c r="N282">
        <v>2</v>
      </c>
      <c r="O282">
        <v>2</v>
      </c>
      <c r="P282">
        <v>2</v>
      </c>
      <c r="Q282">
        <v>2</v>
      </c>
      <c r="R282">
        <v>2</v>
      </c>
      <c r="S282">
        <v>2</v>
      </c>
      <c r="T282">
        <v>2</v>
      </c>
      <c r="U282">
        <v>2</v>
      </c>
      <c r="V282">
        <v>2</v>
      </c>
      <c r="W282">
        <v>2</v>
      </c>
      <c r="X282">
        <v>2</v>
      </c>
      <c r="Y282">
        <v>2</v>
      </c>
      <c r="Z282">
        <v>2</v>
      </c>
      <c r="AA282">
        <v>2</v>
      </c>
      <c r="AB282">
        <v>2</v>
      </c>
      <c r="AC282">
        <v>2</v>
      </c>
      <c r="AD282">
        <v>0</v>
      </c>
      <c r="AE282">
        <v>2</v>
      </c>
      <c r="AF282">
        <v>2</v>
      </c>
      <c r="AG282">
        <v>2</v>
      </c>
      <c r="AH282">
        <v>2</v>
      </c>
      <c r="AI282">
        <v>2</v>
      </c>
      <c r="AJ282">
        <v>2</v>
      </c>
      <c r="AK282">
        <v>2</v>
      </c>
      <c r="AM282">
        <v>2</v>
      </c>
      <c r="AN282">
        <v>2</v>
      </c>
      <c r="AO282">
        <v>0</v>
      </c>
      <c r="AP282">
        <v>2</v>
      </c>
      <c r="AQ282">
        <v>0</v>
      </c>
      <c r="AR282">
        <v>0</v>
      </c>
      <c r="AS282">
        <v>2</v>
      </c>
      <c r="AT282">
        <v>2</v>
      </c>
      <c r="AU282">
        <v>2</v>
      </c>
      <c r="AV282">
        <v>2</v>
      </c>
      <c r="AW282">
        <v>2</v>
      </c>
      <c r="AX282">
        <v>2</v>
      </c>
      <c r="AY282">
        <v>2</v>
      </c>
      <c r="AZ282">
        <v>2</v>
      </c>
      <c r="BA282">
        <v>2</v>
      </c>
      <c r="BB282">
        <v>2</v>
      </c>
      <c r="BC282">
        <v>2</v>
      </c>
      <c r="BD282">
        <v>2</v>
      </c>
      <c r="BE282">
        <v>0</v>
      </c>
      <c r="BF282">
        <v>2</v>
      </c>
      <c r="BG282">
        <v>2</v>
      </c>
      <c r="BH282">
        <v>2</v>
      </c>
      <c r="BI282">
        <v>2</v>
      </c>
      <c r="BJ282">
        <v>2</v>
      </c>
      <c r="BK282">
        <v>2</v>
      </c>
      <c r="BL282">
        <v>2</v>
      </c>
      <c r="BM282">
        <v>2</v>
      </c>
      <c r="BN282">
        <v>2</v>
      </c>
      <c r="BO282">
        <v>2</v>
      </c>
      <c r="BP282">
        <v>2</v>
      </c>
      <c r="BQ282">
        <v>2</v>
      </c>
      <c r="BR282">
        <v>0</v>
      </c>
      <c r="BS282">
        <v>2</v>
      </c>
      <c r="BT282">
        <v>2</v>
      </c>
      <c r="BU282">
        <v>2</v>
      </c>
      <c r="BV282">
        <v>2</v>
      </c>
      <c r="BW282">
        <v>2</v>
      </c>
      <c r="BX282">
        <v>2</v>
      </c>
      <c r="BY282">
        <v>2</v>
      </c>
      <c r="BZ282">
        <v>2</v>
      </c>
      <c r="CA282">
        <v>2</v>
      </c>
      <c r="CB282">
        <v>2</v>
      </c>
      <c r="CD282">
        <v>2</v>
      </c>
    </row>
    <row r="283" spans="1:82" x14ac:dyDescent="0.3">
      <c r="A283" s="155">
        <v>989</v>
      </c>
      <c r="B283" t="s">
        <v>1028</v>
      </c>
      <c r="D283">
        <v>3</v>
      </c>
      <c r="E283">
        <v>0</v>
      </c>
      <c r="F283">
        <v>3</v>
      </c>
      <c r="G283">
        <v>3</v>
      </c>
      <c r="H283">
        <v>3</v>
      </c>
      <c r="I283">
        <v>0</v>
      </c>
      <c r="J283">
        <v>3</v>
      </c>
      <c r="K283">
        <v>3</v>
      </c>
      <c r="L283">
        <v>3</v>
      </c>
      <c r="M283">
        <v>0</v>
      </c>
      <c r="N283">
        <v>3</v>
      </c>
      <c r="O283">
        <v>3</v>
      </c>
      <c r="P283">
        <v>3</v>
      </c>
      <c r="Q283">
        <v>0</v>
      </c>
      <c r="R283">
        <v>0</v>
      </c>
      <c r="S283">
        <v>0</v>
      </c>
      <c r="T283">
        <v>0</v>
      </c>
      <c r="U283">
        <v>3</v>
      </c>
      <c r="V283">
        <v>3</v>
      </c>
      <c r="W283">
        <v>3</v>
      </c>
      <c r="X283">
        <v>3</v>
      </c>
      <c r="Y283">
        <v>0</v>
      </c>
      <c r="Z283">
        <v>0</v>
      </c>
      <c r="AA283">
        <v>3</v>
      </c>
      <c r="AB283">
        <v>3</v>
      </c>
      <c r="AC283">
        <v>3</v>
      </c>
      <c r="AD283">
        <v>0</v>
      </c>
      <c r="AE283">
        <v>3</v>
      </c>
      <c r="AF283">
        <v>0</v>
      </c>
      <c r="AG283">
        <v>0</v>
      </c>
      <c r="AH283">
        <v>3</v>
      </c>
      <c r="AI283">
        <v>3</v>
      </c>
      <c r="AJ283">
        <v>0</v>
      </c>
      <c r="AK283">
        <v>0</v>
      </c>
      <c r="AM283">
        <v>3</v>
      </c>
      <c r="AN283">
        <v>3</v>
      </c>
      <c r="AO283">
        <v>3</v>
      </c>
      <c r="AP283">
        <v>3</v>
      </c>
      <c r="AQ283">
        <v>0</v>
      </c>
      <c r="AR283">
        <v>0</v>
      </c>
      <c r="AS283">
        <v>3</v>
      </c>
      <c r="AT283">
        <v>0</v>
      </c>
      <c r="AU283">
        <v>3</v>
      </c>
      <c r="AV283">
        <v>3</v>
      </c>
      <c r="AW283">
        <v>0</v>
      </c>
      <c r="AX283">
        <v>3</v>
      </c>
      <c r="AY283">
        <v>3</v>
      </c>
      <c r="AZ283">
        <v>3</v>
      </c>
      <c r="BA283">
        <v>3</v>
      </c>
      <c r="BB283">
        <v>3</v>
      </c>
      <c r="BC283">
        <v>3</v>
      </c>
      <c r="BD283">
        <v>0</v>
      </c>
      <c r="BE283">
        <v>0</v>
      </c>
      <c r="BF283">
        <v>3</v>
      </c>
      <c r="BG283">
        <v>0</v>
      </c>
      <c r="BH283">
        <v>0</v>
      </c>
      <c r="BI283">
        <v>0</v>
      </c>
      <c r="BJ283">
        <v>0</v>
      </c>
      <c r="BK283">
        <v>0</v>
      </c>
      <c r="BL283">
        <v>3</v>
      </c>
      <c r="BM283">
        <v>3</v>
      </c>
      <c r="BN283">
        <v>3</v>
      </c>
      <c r="BO283">
        <v>3</v>
      </c>
      <c r="BP283">
        <v>3</v>
      </c>
      <c r="BQ283">
        <v>3</v>
      </c>
      <c r="BR283">
        <v>0</v>
      </c>
      <c r="BS283">
        <v>3</v>
      </c>
      <c r="BT283">
        <v>0</v>
      </c>
      <c r="BU283">
        <v>3</v>
      </c>
      <c r="BV283">
        <v>3</v>
      </c>
      <c r="BW283">
        <v>3</v>
      </c>
      <c r="BX283">
        <v>0</v>
      </c>
      <c r="BY283">
        <v>0</v>
      </c>
      <c r="BZ283">
        <v>3</v>
      </c>
      <c r="CA283">
        <v>0</v>
      </c>
      <c r="CB283">
        <v>0</v>
      </c>
      <c r="CD283">
        <v>3</v>
      </c>
    </row>
    <row r="284" spans="1:82" x14ac:dyDescent="0.3">
      <c r="A284" s="155">
        <v>990</v>
      </c>
      <c r="B284" t="s">
        <v>583</v>
      </c>
      <c r="D284">
        <v>0</v>
      </c>
      <c r="E284">
        <v>0</v>
      </c>
      <c r="F284">
        <v>0</v>
      </c>
      <c r="G284">
        <v>0</v>
      </c>
      <c r="H284">
        <v>0</v>
      </c>
      <c r="I284">
        <v>0</v>
      </c>
      <c r="J284">
        <v>0</v>
      </c>
      <c r="K284">
        <v>0</v>
      </c>
      <c r="L284">
        <v>0</v>
      </c>
      <c r="M284">
        <v>0</v>
      </c>
      <c r="N284">
        <v>0</v>
      </c>
      <c r="O284">
        <v>0</v>
      </c>
      <c r="P284">
        <v>0</v>
      </c>
      <c r="Q284">
        <v>542752</v>
      </c>
      <c r="R284">
        <v>0</v>
      </c>
      <c r="S284">
        <v>0</v>
      </c>
      <c r="T284">
        <v>0</v>
      </c>
      <c r="U284">
        <v>0</v>
      </c>
      <c r="V284">
        <v>0</v>
      </c>
      <c r="W284">
        <v>0</v>
      </c>
      <c r="X284">
        <v>0</v>
      </c>
      <c r="Y284">
        <v>0</v>
      </c>
      <c r="Z284">
        <v>0</v>
      </c>
      <c r="AA284">
        <v>0</v>
      </c>
      <c r="AB284">
        <v>0</v>
      </c>
      <c r="AC284">
        <v>0</v>
      </c>
      <c r="AD284">
        <v>0</v>
      </c>
      <c r="AE284">
        <v>0</v>
      </c>
      <c r="AF284">
        <v>0</v>
      </c>
      <c r="AG284">
        <v>0</v>
      </c>
      <c r="AH284">
        <v>0</v>
      </c>
      <c r="AI284">
        <v>378396</v>
      </c>
      <c r="AJ284">
        <v>0</v>
      </c>
      <c r="AK284">
        <v>0</v>
      </c>
      <c r="AM284">
        <v>0</v>
      </c>
      <c r="AN284">
        <v>0</v>
      </c>
      <c r="AO284">
        <v>0</v>
      </c>
      <c r="AP284">
        <v>0</v>
      </c>
      <c r="AQ284">
        <v>0</v>
      </c>
      <c r="AR284">
        <v>0</v>
      </c>
      <c r="AS284">
        <v>0</v>
      </c>
      <c r="AT284">
        <v>0</v>
      </c>
      <c r="AU284">
        <v>0</v>
      </c>
      <c r="AV284">
        <v>0</v>
      </c>
      <c r="AW284">
        <v>0</v>
      </c>
      <c r="AX284">
        <v>0</v>
      </c>
      <c r="AY284">
        <v>0</v>
      </c>
      <c r="AZ284">
        <v>0</v>
      </c>
      <c r="BA284">
        <v>0</v>
      </c>
      <c r="BB284">
        <v>0</v>
      </c>
      <c r="BC284">
        <v>0</v>
      </c>
      <c r="BD284">
        <v>0</v>
      </c>
      <c r="BE284">
        <v>0</v>
      </c>
      <c r="BF284">
        <v>0</v>
      </c>
      <c r="BG284">
        <v>0</v>
      </c>
      <c r="BH284">
        <v>0</v>
      </c>
      <c r="BI284">
        <v>0</v>
      </c>
      <c r="BJ284">
        <v>0</v>
      </c>
      <c r="BK284">
        <v>0</v>
      </c>
      <c r="BL284">
        <v>0</v>
      </c>
      <c r="BM284">
        <v>0</v>
      </c>
      <c r="BN284">
        <v>0</v>
      </c>
      <c r="BO284">
        <v>0</v>
      </c>
      <c r="BP284">
        <v>0</v>
      </c>
      <c r="BQ284">
        <v>0</v>
      </c>
      <c r="BR284">
        <v>0</v>
      </c>
      <c r="BS284">
        <v>30852</v>
      </c>
      <c r="BT284">
        <v>0</v>
      </c>
      <c r="BU284">
        <v>0</v>
      </c>
      <c r="BV284">
        <v>0</v>
      </c>
      <c r="BW284">
        <v>9680</v>
      </c>
      <c r="BX284">
        <v>0</v>
      </c>
      <c r="BY284">
        <v>0</v>
      </c>
      <c r="BZ284">
        <v>0</v>
      </c>
      <c r="CA284">
        <v>0</v>
      </c>
      <c r="CB284">
        <v>0</v>
      </c>
      <c r="CD284">
        <v>0</v>
      </c>
    </row>
    <row r="285" spans="1:82" x14ac:dyDescent="0.3">
      <c r="A285" s="155">
        <v>991</v>
      </c>
      <c r="B285" t="s">
        <v>1029</v>
      </c>
      <c r="D285">
        <v>23</v>
      </c>
      <c r="E285">
        <v>23</v>
      </c>
      <c r="F285">
        <v>22</v>
      </c>
      <c r="G285">
        <v>22</v>
      </c>
      <c r="H285">
        <v>23</v>
      </c>
      <c r="I285">
        <v>0</v>
      </c>
      <c r="J285">
        <v>23</v>
      </c>
      <c r="K285">
        <v>23</v>
      </c>
      <c r="L285">
        <v>23</v>
      </c>
      <c r="M285">
        <v>22</v>
      </c>
      <c r="N285">
        <v>23</v>
      </c>
      <c r="O285">
        <v>23</v>
      </c>
      <c r="P285">
        <v>23</v>
      </c>
      <c r="Q285">
        <v>23</v>
      </c>
      <c r="R285">
        <v>22</v>
      </c>
      <c r="S285">
        <v>0</v>
      </c>
      <c r="T285">
        <v>0</v>
      </c>
      <c r="U285">
        <v>23</v>
      </c>
      <c r="V285">
        <v>23</v>
      </c>
      <c r="W285">
        <v>23</v>
      </c>
      <c r="X285">
        <v>23</v>
      </c>
      <c r="Y285">
        <v>0</v>
      </c>
      <c r="Z285">
        <v>0</v>
      </c>
      <c r="AA285">
        <v>23</v>
      </c>
      <c r="AB285">
        <v>23</v>
      </c>
      <c r="AC285">
        <v>23</v>
      </c>
      <c r="AD285">
        <v>23</v>
      </c>
      <c r="AE285">
        <v>0</v>
      </c>
      <c r="AF285">
        <v>23</v>
      </c>
      <c r="AG285">
        <v>23</v>
      </c>
      <c r="AH285">
        <v>22</v>
      </c>
      <c r="AI285">
        <v>23</v>
      </c>
      <c r="AJ285">
        <v>22</v>
      </c>
      <c r="AK285">
        <v>23</v>
      </c>
      <c r="AM285">
        <v>23</v>
      </c>
      <c r="AN285">
        <v>23</v>
      </c>
      <c r="AO285">
        <v>23</v>
      </c>
      <c r="AP285">
        <v>0</v>
      </c>
      <c r="AQ285">
        <v>0</v>
      </c>
      <c r="AR285">
        <v>23</v>
      </c>
      <c r="AS285">
        <v>22</v>
      </c>
      <c r="AT285">
        <v>23</v>
      </c>
      <c r="AU285">
        <v>23</v>
      </c>
      <c r="AV285">
        <v>22</v>
      </c>
      <c r="AW285">
        <v>20</v>
      </c>
      <c r="AX285">
        <v>23</v>
      </c>
      <c r="AY285">
        <v>23</v>
      </c>
      <c r="AZ285">
        <v>0</v>
      </c>
      <c r="BA285">
        <v>23</v>
      </c>
      <c r="BB285">
        <v>22</v>
      </c>
      <c r="BC285">
        <v>23</v>
      </c>
      <c r="BD285">
        <v>0</v>
      </c>
      <c r="BE285">
        <v>23</v>
      </c>
      <c r="BF285">
        <v>22</v>
      </c>
      <c r="BG285">
        <v>22</v>
      </c>
      <c r="BH285">
        <v>0</v>
      </c>
      <c r="BI285">
        <v>0</v>
      </c>
      <c r="BJ285">
        <v>0</v>
      </c>
      <c r="BK285">
        <v>22</v>
      </c>
      <c r="BL285">
        <v>23</v>
      </c>
      <c r="BM285">
        <v>23</v>
      </c>
      <c r="BN285">
        <v>23</v>
      </c>
      <c r="BO285">
        <v>23</v>
      </c>
      <c r="BP285">
        <v>23</v>
      </c>
      <c r="BQ285">
        <v>22</v>
      </c>
      <c r="BR285">
        <v>23</v>
      </c>
      <c r="BS285">
        <v>23</v>
      </c>
      <c r="BT285">
        <v>23</v>
      </c>
      <c r="BU285">
        <v>23</v>
      </c>
      <c r="BV285">
        <v>23</v>
      </c>
      <c r="BW285">
        <v>20</v>
      </c>
      <c r="BX285">
        <v>0</v>
      </c>
      <c r="BY285">
        <v>0</v>
      </c>
      <c r="BZ285">
        <v>22</v>
      </c>
      <c r="CA285">
        <v>0</v>
      </c>
      <c r="CB285">
        <v>0</v>
      </c>
      <c r="CD285">
        <v>22</v>
      </c>
    </row>
    <row r="286" spans="1:82" x14ac:dyDescent="0.3">
      <c r="A286" s="155">
        <v>995</v>
      </c>
      <c r="B286" t="s">
        <v>1734</v>
      </c>
      <c r="D286">
        <v>0</v>
      </c>
      <c r="E286">
        <v>0</v>
      </c>
      <c r="F286">
        <v>0</v>
      </c>
      <c r="G286">
        <v>0</v>
      </c>
      <c r="H286">
        <v>0</v>
      </c>
      <c r="I286">
        <v>0</v>
      </c>
      <c r="J286">
        <v>0</v>
      </c>
      <c r="K286">
        <v>0</v>
      </c>
      <c r="L286">
        <v>0</v>
      </c>
      <c r="M286">
        <v>0</v>
      </c>
      <c r="N286">
        <v>0</v>
      </c>
      <c r="O286">
        <v>0</v>
      </c>
      <c r="P286">
        <v>0</v>
      </c>
      <c r="Q286">
        <v>7.0000000000000007E-2</v>
      </c>
      <c r="R286">
        <v>0</v>
      </c>
      <c r="S286">
        <v>0</v>
      </c>
      <c r="T286">
        <v>0</v>
      </c>
      <c r="U286">
        <v>0</v>
      </c>
      <c r="V286">
        <v>7.0000000000000007E-2</v>
      </c>
      <c r="W286">
        <v>0</v>
      </c>
      <c r="X286">
        <v>0</v>
      </c>
      <c r="Y286">
        <v>0</v>
      </c>
      <c r="Z286">
        <v>0</v>
      </c>
      <c r="AA286">
        <v>0</v>
      </c>
      <c r="AB286">
        <v>0</v>
      </c>
      <c r="AC286">
        <v>0</v>
      </c>
      <c r="AD286">
        <v>0</v>
      </c>
      <c r="AE286">
        <v>0</v>
      </c>
      <c r="AF286">
        <v>0</v>
      </c>
      <c r="AG286">
        <v>0</v>
      </c>
      <c r="AH286">
        <v>0</v>
      </c>
      <c r="AI286">
        <v>0.08</v>
      </c>
      <c r="AJ286">
        <v>0</v>
      </c>
      <c r="AK286">
        <v>0</v>
      </c>
      <c r="AL286">
        <v>0</v>
      </c>
      <c r="AM286">
        <v>7.0000000000000007E-2</v>
      </c>
      <c r="AN286">
        <v>0</v>
      </c>
      <c r="AO286">
        <v>0</v>
      </c>
      <c r="AP286">
        <v>0</v>
      </c>
      <c r="AQ286">
        <v>0</v>
      </c>
      <c r="AR286">
        <v>0</v>
      </c>
      <c r="AS286">
        <v>0</v>
      </c>
      <c r="AT286">
        <v>0</v>
      </c>
      <c r="AU286">
        <v>0.09</v>
      </c>
      <c r="AV286">
        <v>0</v>
      </c>
      <c r="AW286">
        <v>0</v>
      </c>
      <c r="AX286">
        <v>0</v>
      </c>
      <c r="AY286">
        <v>0</v>
      </c>
      <c r="AZ286">
        <v>0</v>
      </c>
      <c r="BA286">
        <v>0</v>
      </c>
      <c r="BB286">
        <v>0</v>
      </c>
      <c r="BC286">
        <v>0</v>
      </c>
      <c r="BD286">
        <v>0</v>
      </c>
      <c r="BE286">
        <v>0</v>
      </c>
      <c r="BF286">
        <v>0</v>
      </c>
      <c r="BG286">
        <v>0</v>
      </c>
      <c r="BH286">
        <v>0</v>
      </c>
      <c r="BI286">
        <v>0</v>
      </c>
      <c r="BJ286">
        <v>0</v>
      </c>
      <c r="BK286">
        <v>0</v>
      </c>
      <c r="BL286">
        <v>0.08</v>
      </c>
      <c r="BM286">
        <v>0</v>
      </c>
      <c r="BN286">
        <v>0</v>
      </c>
      <c r="BO286">
        <v>0</v>
      </c>
      <c r="BP286">
        <v>0</v>
      </c>
      <c r="BQ286">
        <v>0</v>
      </c>
      <c r="BR286">
        <v>0.09</v>
      </c>
      <c r="BS286">
        <v>7.0000000000000007E-2</v>
      </c>
      <c r="BT286">
        <v>0</v>
      </c>
      <c r="BU286">
        <v>0</v>
      </c>
      <c r="BV286">
        <v>0</v>
      </c>
      <c r="BW286">
        <v>0</v>
      </c>
      <c r="BX286">
        <v>0</v>
      </c>
      <c r="BY286">
        <v>0</v>
      </c>
      <c r="BZ286">
        <v>0</v>
      </c>
      <c r="CA286">
        <v>0</v>
      </c>
      <c r="CB286">
        <v>0</v>
      </c>
      <c r="CC286">
        <v>0</v>
      </c>
      <c r="CD286">
        <v>0</v>
      </c>
    </row>
    <row r="287" spans="1:82" x14ac:dyDescent="0.3">
      <c r="A287" s="155">
        <v>996</v>
      </c>
      <c r="B287" t="s">
        <v>276</v>
      </c>
      <c r="D287">
        <v>0.01</v>
      </c>
      <c r="E287">
        <v>0</v>
      </c>
      <c r="F287">
        <v>0.01</v>
      </c>
      <c r="G287">
        <v>0</v>
      </c>
      <c r="H287">
        <v>0</v>
      </c>
      <c r="I287">
        <v>0</v>
      </c>
      <c r="J287">
        <v>0.01</v>
      </c>
      <c r="K287">
        <v>0</v>
      </c>
      <c r="L287">
        <v>0</v>
      </c>
      <c r="M287">
        <v>0</v>
      </c>
      <c r="N287">
        <v>0</v>
      </c>
      <c r="O287">
        <v>0.01</v>
      </c>
      <c r="P287">
        <v>0</v>
      </c>
      <c r="Q287">
        <v>0.01</v>
      </c>
      <c r="R287">
        <v>0.01</v>
      </c>
      <c r="S287">
        <v>0</v>
      </c>
      <c r="T287">
        <v>0.01</v>
      </c>
      <c r="U287">
        <v>0.01</v>
      </c>
      <c r="V287">
        <v>0.01</v>
      </c>
      <c r="W287">
        <v>0</v>
      </c>
      <c r="X287">
        <v>0.01</v>
      </c>
      <c r="Y287">
        <v>0.01</v>
      </c>
      <c r="Z287">
        <v>0.01</v>
      </c>
      <c r="AA287">
        <v>0.01</v>
      </c>
      <c r="AB287">
        <v>0.01</v>
      </c>
      <c r="AC287">
        <v>0.01</v>
      </c>
      <c r="AD287">
        <v>0.01</v>
      </c>
      <c r="AE287">
        <v>0.01</v>
      </c>
      <c r="AF287">
        <v>0.01</v>
      </c>
      <c r="AG287">
        <v>0.01</v>
      </c>
      <c r="AH287">
        <v>0</v>
      </c>
      <c r="AI287">
        <v>0.01</v>
      </c>
      <c r="AJ287">
        <v>0.01</v>
      </c>
      <c r="AK287">
        <v>0.01</v>
      </c>
      <c r="AL287">
        <v>0.01</v>
      </c>
      <c r="AM287">
        <v>0.01</v>
      </c>
      <c r="AN287">
        <v>0.01</v>
      </c>
      <c r="AO287">
        <v>0.01</v>
      </c>
      <c r="AP287">
        <v>0</v>
      </c>
      <c r="AQ287">
        <v>0</v>
      </c>
      <c r="AR287">
        <v>0.01</v>
      </c>
      <c r="AS287">
        <v>0</v>
      </c>
      <c r="AT287">
        <v>0.01</v>
      </c>
      <c r="AU287">
        <v>0</v>
      </c>
      <c r="AV287">
        <v>0.01</v>
      </c>
      <c r="AW287">
        <v>0</v>
      </c>
      <c r="AX287">
        <v>0.01</v>
      </c>
      <c r="AY287">
        <v>0.01</v>
      </c>
      <c r="AZ287">
        <v>0.01</v>
      </c>
      <c r="BA287">
        <v>0.01</v>
      </c>
      <c r="BB287">
        <v>0</v>
      </c>
      <c r="BC287">
        <v>0.01</v>
      </c>
      <c r="BD287">
        <v>0.01</v>
      </c>
      <c r="BE287">
        <v>0</v>
      </c>
      <c r="BF287">
        <v>0.01</v>
      </c>
      <c r="BG287">
        <v>0.01</v>
      </c>
      <c r="BH287">
        <v>0</v>
      </c>
      <c r="BI287">
        <v>0.01</v>
      </c>
      <c r="BJ287">
        <v>0</v>
      </c>
      <c r="BK287">
        <v>0.01</v>
      </c>
      <c r="BL287">
        <v>0.01</v>
      </c>
      <c r="BM287">
        <v>0.01</v>
      </c>
      <c r="BN287">
        <v>0.01</v>
      </c>
      <c r="BO287">
        <v>0.01</v>
      </c>
      <c r="BP287">
        <v>0.01</v>
      </c>
      <c r="BQ287">
        <v>0</v>
      </c>
      <c r="BR287">
        <v>0.01</v>
      </c>
      <c r="BS287">
        <v>0</v>
      </c>
      <c r="BT287">
        <v>0.01</v>
      </c>
      <c r="BU287">
        <v>0.01</v>
      </c>
      <c r="BV287">
        <v>0</v>
      </c>
      <c r="BW287">
        <v>0.01</v>
      </c>
      <c r="BX287">
        <v>0.01</v>
      </c>
      <c r="BY287">
        <v>0.01</v>
      </c>
      <c r="BZ287">
        <v>0.01</v>
      </c>
      <c r="CA287">
        <v>0.01</v>
      </c>
      <c r="CB287">
        <v>0.01</v>
      </c>
      <c r="CC287">
        <v>0</v>
      </c>
      <c r="CD287">
        <v>0.01</v>
      </c>
    </row>
    <row r="288" spans="1:82" x14ac:dyDescent="0.3">
      <c r="A288" s="155">
        <v>998</v>
      </c>
      <c r="B288" t="s">
        <v>277</v>
      </c>
      <c r="D288">
        <v>50</v>
      </c>
      <c r="E288">
        <v>50</v>
      </c>
      <c r="F288">
        <v>50</v>
      </c>
      <c r="G288">
        <v>50</v>
      </c>
      <c r="H288">
        <v>50</v>
      </c>
      <c r="I288">
        <v>50</v>
      </c>
      <c r="J288">
        <v>50</v>
      </c>
      <c r="K288">
        <v>50</v>
      </c>
      <c r="L288">
        <v>50</v>
      </c>
      <c r="M288">
        <v>50</v>
      </c>
      <c r="N288">
        <v>50</v>
      </c>
      <c r="O288">
        <v>50</v>
      </c>
      <c r="P288">
        <v>50</v>
      </c>
      <c r="Q288">
        <v>50</v>
      </c>
      <c r="R288">
        <v>50</v>
      </c>
      <c r="S288">
        <v>50</v>
      </c>
      <c r="T288">
        <v>50</v>
      </c>
      <c r="U288">
        <v>50</v>
      </c>
      <c r="V288">
        <v>50</v>
      </c>
      <c r="W288">
        <v>50</v>
      </c>
      <c r="X288">
        <v>50</v>
      </c>
      <c r="Y288">
        <v>50</v>
      </c>
      <c r="Z288">
        <v>50</v>
      </c>
      <c r="AA288">
        <v>50</v>
      </c>
      <c r="AB288">
        <v>50</v>
      </c>
      <c r="AC288">
        <v>50</v>
      </c>
      <c r="AD288">
        <v>50</v>
      </c>
      <c r="AE288">
        <v>50</v>
      </c>
      <c r="AF288">
        <v>50</v>
      </c>
      <c r="AG288">
        <v>50</v>
      </c>
      <c r="AH288">
        <v>50</v>
      </c>
      <c r="AI288">
        <v>50</v>
      </c>
      <c r="AJ288">
        <v>50</v>
      </c>
      <c r="AK288">
        <v>50</v>
      </c>
      <c r="AL288">
        <v>50</v>
      </c>
      <c r="AM288">
        <v>50</v>
      </c>
      <c r="AN288">
        <v>50</v>
      </c>
      <c r="AO288">
        <v>50</v>
      </c>
      <c r="AP288">
        <v>50</v>
      </c>
      <c r="AQ288">
        <v>50</v>
      </c>
      <c r="AR288">
        <v>50</v>
      </c>
      <c r="AS288">
        <v>50</v>
      </c>
      <c r="AT288">
        <v>50</v>
      </c>
      <c r="AU288">
        <v>50</v>
      </c>
      <c r="AV288">
        <v>50</v>
      </c>
      <c r="AW288">
        <v>50</v>
      </c>
      <c r="AX288">
        <v>50</v>
      </c>
      <c r="AY288">
        <v>50</v>
      </c>
      <c r="AZ288">
        <v>50</v>
      </c>
      <c r="BA288">
        <v>50</v>
      </c>
      <c r="BB288">
        <v>50</v>
      </c>
      <c r="BC288">
        <v>50</v>
      </c>
      <c r="BD288">
        <v>50</v>
      </c>
      <c r="BE288">
        <v>50</v>
      </c>
      <c r="BF288">
        <v>50</v>
      </c>
      <c r="BG288">
        <v>50</v>
      </c>
      <c r="BH288">
        <v>50</v>
      </c>
      <c r="BI288">
        <v>50</v>
      </c>
      <c r="BJ288">
        <v>50</v>
      </c>
      <c r="BK288">
        <v>50</v>
      </c>
      <c r="BL288">
        <v>50</v>
      </c>
      <c r="BM288">
        <v>50</v>
      </c>
      <c r="BN288">
        <v>50</v>
      </c>
      <c r="BO288">
        <v>50</v>
      </c>
      <c r="BP288">
        <v>50</v>
      </c>
      <c r="BQ288">
        <v>50</v>
      </c>
      <c r="BR288">
        <v>50</v>
      </c>
      <c r="BS288">
        <v>50</v>
      </c>
      <c r="BT288">
        <v>50</v>
      </c>
      <c r="BU288">
        <v>50</v>
      </c>
      <c r="BV288">
        <v>50</v>
      </c>
      <c r="BW288">
        <v>50</v>
      </c>
      <c r="BX288">
        <v>50</v>
      </c>
      <c r="BY288">
        <v>50</v>
      </c>
      <c r="BZ288">
        <v>50</v>
      </c>
      <c r="CA288">
        <v>50</v>
      </c>
      <c r="CB288">
        <v>50</v>
      </c>
      <c r="CC288">
        <v>50</v>
      </c>
      <c r="CD288">
        <v>50</v>
      </c>
    </row>
    <row r="289" spans="1:82" x14ac:dyDescent="0.3">
      <c r="A289" s="155">
        <v>999</v>
      </c>
      <c r="B289" t="s">
        <v>278</v>
      </c>
      <c r="D289">
        <v>50254</v>
      </c>
      <c r="E289">
        <v>50255</v>
      </c>
      <c r="F289">
        <v>50256</v>
      </c>
      <c r="G289">
        <v>50558</v>
      </c>
      <c r="H289">
        <v>50566</v>
      </c>
      <c r="I289">
        <v>50562</v>
      </c>
      <c r="J289">
        <v>50257</v>
      </c>
      <c r="K289">
        <v>50555</v>
      </c>
      <c r="L289">
        <v>50445</v>
      </c>
      <c r="M289">
        <v>50452</v>
      </c>
      <c r="N289">
        <v>50563</v>
      </c>
      <c r="O289">
        <v>50258</v>
      </c>
      <c r="P289">
        <v>50523</v>
      </c>
      <c r="Q289">
        <v>50259</v>
      </c>
      <c r="R289">
        <v>50260</v>
      </c>
      <c r="S289">
        <v>50487</v>
      </c>
      <c r="T289">
        <v>50261</v>
      </c>
      <c r="U289">
        <v>50262</v>
      </c>
      <c r="V289">
        <v>50263</v>
      </c>
      <c r="W289">
        <v>50264</v>
      </c>
      <c r="X289">
        <v>50265</v>
      </c>
      <c r="Y289">
        <v>50266</v>
      </c>
      <c r="Z289">
        <v>50267</v>
      </c>
      <c r="AA289">
        <v>50268</v>
      </c>
      <c r="AB289">
        <v>50269</v>
      </c>
      <c r="AC289">
        <v>50270</v>
      </c>
      <c r="AD289">
        <v>50271</v>
      </c>
      <c r="AE289">
        <v>50272</v>
      </c>
      <c r="AF289">
        <v>50273</v>
      </c>
      <c r="AG289">
        <v>50274</v>
      </c>
      <c r="AH289">
        <v>50480</v>
      </c>
      <c r="AI289">
        <v>50275</v>
      </c>
      <c r="AJ289">
        <v>50277</v>
      </c>
      <c r="AK289">
        <v>50276</v>
      </c>
      <c r="AL289">
        <v>50278</v>
      </c>
      <c r="AM289">
        <v>50279</v>
      </c>
      <c r="AN289">
        <v>50280</v>
      </c>
      <c r="AO289">
        <v>50281</v>
      </c>
      <c r="AP289">
        <v>50478</v>
      </c>
      <c r="AQ289">
        <v>50524</v>
      </c>
      <c r="AR289">
        <v>50282</v>
      </c>
      <c r="AS289">
        <v>50525</v>
      </c>
      <c r="AT289">
        <v>50283</v>
      </c>
      <c r="AU289">
        <v>50285</v>
      </c>
      <c r="AV289">
        <v>50553</v>
      </c>
      <c r="AW289">
        <v>50548</v>
      </c>
      <c r="AX289">
        <v>50284</v>
      </c>
      <c r="AY289">
        <v>50286</v>
      </c>
      <c r="AZ289">
        <v>50287</v>
      </c>
      <c r="BA289">
        <v>50288</v>
      </c>
      <c r="BB289">
        <v>50290</v>
      </c>
      <c r="BC289">
        <v>50564</v>
      </c>
      <c r="BD289">
        <v>50289</v>
      </c>
      <c r="BE289">
        <v>50291</v>
      </c>
      <c r="BF289">
        <v>50292</v>
      </c>
      <c r="BG289">
        <v>50293</v>
      </c>
      <c r="BH289">
        <v>50463</v>
      </c>
      <c r="BI289">
        <v>50294</v>
      </c>
      <c r="BJ289">
        <v>50538</v>
      </c>
      <c r="BK289">
        <v>50295</v>
      </c>
      <c r="BL289">
        <v>50296</v>
      </c>
      <c r="BM289">
        <v>50297</v>
      </c>
      <c r="BN289">
        <v>50449</v>
      </c>
      <c r="BO289">
        <v>50300</v>
      </c>
      <c r="BP289">
        <v>50298</v>
      </c>
      <c r="BQ289">
        <v>50299</v>
      </c>
      <c r="BR289">
        <v>50301</v>
      </c>
      <c r="BS289">
        <v>50302</v>
      </c>
      <c r="BT289">
        <v>50303</v>
      </c>
      <c r="BU289">
        <v>50304</v>
      </c>
      <c r="BV289">
        <v>50540</v>
      </c>
      <c r="BW289">
        <v>50305</v>
      </c>
      <c r="BX289">
        <v>50306</v>
      </c>
      <c r="BY289">
        <v>50479</v>
      </c>
      <c r="BZ289">
        <v>50307</v>
      </c>
      <c r="CA289">
        <v>50308</v>
      </c>
      <c r="CB289">
        <v>50309</v>
      </c>
      <c r="CC289">
        <v>50310</v>
      </c>
      <c r="CD289">
        <v>50311</v>
      </c>
    </row>
    <row r="290" spans="1:82" x14ac:dyDescent="0.3">
      <c r="A290" s="155">
        <v>9000</v>
      </c>
      <c r="B290" t="s">
        <v>1030</v>
      </c>
      <c r="C290" t="s">
        <v>351</v>
      </c>
      <c r="D290">
        <v>18143899.210000001</v>
      </c>
      <c r="E290">
        <v>2476679.12</v>
      </c>
      <c r="F290">
        <v>66130962.647</v>
      </c>
      <c r="G290">
        <v>70554396.810000002</v>
      </c>
      <c r="H290">
        <v>62647084.869999997</v>
      </c>
      <c r="I290">
        <v>83292587.609999999</v>
      </c>
      <c r="J290">
        <v>12095577.689999999</v>
      </c>
      <c r="K290">
        <v>14171662.135</v>
      </c>
      <c r="L290">
        <v>10768777.65</v>
      </c>
      <c r="M290">
        <v>506119356.73500001</v>
      </c>
      <c r="N290">
        <v>10780767.109999999</v>
      </c>
      <c r="O290">
        <v>248290134.08000001</v>
      </c>
      <c r="P290">
        <v>3471816.56</v>
      </c>
      <c r="Q290">
        <v>3367586666.4162998</v>
      </c>
      <c r="R290">
        <v>56674199.219999999</v>
      </c>
      <c r="S290">
        <v>2235633</v>
      </c>
      <c r="T290">
        <v>3328414548.6500001</v>
      </c>
      <c r="U290">
        <v>758717362.90999997</v>
      </c>
      <c r="V290">
        <v>1619009301.5699999</v>
      </c>
      <c r="W290">
        <v>1153455012.9300001</v>
      </c>
      <c r="X290">
        <v>20742525.010000002</v>
      </c>
      <c r="Y290">
        <v>664332643.66999996</v>
      </c>
      <c r="Z290">
        <v>105412285.87</v>
      </c>
      <c r="AA290">
        <v>656478776.495</v>
      </c>
      <c r="AB290">
        <v>203435408.27000001</v>
      </c>
      <c r="AC290">
        <v>78363016.745000005</v>
      </c>
      <c r="AD290">
        <v>74777158.439999998</v>
      </c>
      <c r="AE290">
        <v>156587145.63999999</v>
      </c>
      <c r="AF290">
        <v>678086286.17499995</v>
      </c>
      <c r="AG290">
        <v>178864227.59</v>
      </c>
      <c r="AH290">
        <v>21788462.010000002</v>
      </c>
      <c r="AI290">
        <v>2309789493.3922</v>
      </c>
      <c r="AJ290">
        <v>60255288.509999998</v>
      </c>
      <c r="AK290">
        <v>50600362.009999998</v>
      </c>
      <c r="AL290">
        <v>50328.01</v>
      </c>
      <c r="AM290">
        <v>843628581.74000001</v>
      </c>
      <c r="AN290">
        <v>21762738.239999998</v>
      </c>
      <c r="AO290">
        <v>30689371.620000001</v>
      </c>
      <c r="AP290">
        <v>1371634</v>
      </c>
      <c r="AQ290">
        <v>230810369.75</v>
      </c>
      <c r="AR290">
        <v>601500303.22000003</v>
      </c>
      <c r="AS290">
        <v>12548385.810000001</v>
      </c>
      <c r="AT290">
        <v>115340951.93000001</v>
      </c>
      <c r="AU290">
        <v>11999542.310000001</v>
      </c>
      <c r="AV290">
        <v>1263538424.8599999</v>
      </c>
      <c r="AW290">
        <v>66359473.270000003</v>
      </c>
      <c r="AX290">
        <v>87443730.420000002</v>
      </c>
      <c r="AY290">
        <v>373598383.17390001</v>
      </c>
      <c r="AZ290">
        <v>71508954.819999993</v>
      </c>
      <c r="BA290">
        <v>39397208.600000001</v>
      </c>
      <c r="BB290">
        <v>1165159</v>
      </c>
      <c r="BC290">
        <v>10602308.752499999</v>
      </c>
      <c r="BD290">
        <v>531891036.05000001</v>
      </c>
      <c r="BE290">
        <v>5721839.8600000003</v>
      </c>
      <c r="BF290">
        <v>25794344.260000002</v>
      </c>
      <c r="BG290">
        <v>20770041.68</v>
      </c>
      <c r="BH290">
        <v>3367062.94</v>
      </c>
      <c r="BI290">
        <v>22127491.609999999</v>
      </c>
      <c r="BJ290">
        <v>4538197.8</v>
      </c>
      <c r="BK290">
        <v>176728778.93000001</v>
      </c>
      <c r="BL290">
        <v>80969119.640000001</v>
      </c>
      <c r="BM290">
        <v>87271107.079999998</v>
      </c>
      <c r="BN290">
        <v>126837354.487</v>
      </c>
      <c r="BO290">
        <v>60231922.219999999</v>
      </c>
      <c r="BP290">
        <v>59012624.049999997</v>
      </c>
      <c r="BQ290">
        <v>363830692.16500002</v>
      </c>
      <c r="BR290">
        <v>81611383.469999999</v>
      </c>
      <c r="BS290">
        <v>682557151.65999997</v>
      </c>
      <c r="BT290">
        <v>55675726.960000001</v>
      </c>
      <c r="BU290">
        <v>224478088.81330001</v>
      </c>
      <c r="BV290">
        <v>26773381.460000001</v>
      </c>
      <c r="BW290">
        <v>127534935.65000001</v>
      </c>
      <c r="BX290">
        <v>43537172.759999998</v>
      </c>
      <c r="BY290">
        <v>6267687.9299999997</v>
      </c>
      <c r="BZ290">
        <v>39378596.469999999</v>
      </c>
      <c r="CA290">
        <v>21523708.260000002</v>
      </c>
      <c r="CB290">
        <v>45900538.780000001</v>
      </c>
      <c r="CC290">
        <v>50360</v>
      </c>
      <c r="CD290">
        <v>7325927.932</v>
      </c>
    </row>
    <row r="291" spans="1:82" x14ac:dyDescent="0.3">
      <c r="A291" s="155">
        <v>9001</v>
      </c>
      <c r="B291" t="s">
        <v>1031</v>
      </c>
      <c r="C291" t="s">
        <v>1032</v>
      </c>
      <c r="D291">
        <v>348970</v>
      </c>
      <c r="E291">
        <v>357695</v>
      </c>
      <c r="F291">
        <v>2237128</v>
      </c>
      <c r="G291">
        <v>11775739</v>
      </c>
      <c r="H291">
        <v>9139619</v>
      </c>
      <c r="I291">
        <v>11388607</v>
      </c>
      <c r="J291">
        <v>139279</v>
      </c>
      <c r="K291">
        <v>2762207</v>
      </c>
      <c r="L291">
        <v>1443848</v>
      </c>
      <c r="M291">
        <v>89950808</v>
      </c>
      <c r="N291">
        <v>1344064</v>
      </c>
      <c r="O291">
        <v>15996879</v>
      </c>
      <c r="P291">
        <v>480196</v>
      </c>
      <c r="Q291">
        <v>157104198</v>
      </c>
      <c r="R291">
        <v>7594627</v>
      </c>
      <c r="S291">
        <v>314966</v>
      </c>
      <c r="T291">
        <v>279897966</v>
      </c>
      <c r="U291">
        <v>70939771</v>
      </c>
      <c r="V291">
        <v>70420190</v>
      </c>
      <c r="W291">
        <v>219437693</v>
      </c>
      <c r="X291">
        <v>644943</v>
      </c>
      <c r="Y291">
        <v>45778276</v>
      </c>
      <c r="Z291">
        <v>3608465</v>
      </c>
      <c r="AA291">
        <v>50635615</v>
      </c>
      <c r="AB291">
        <v>6547991</v>
      </c>
      <c r="AC291">
        <v>6361598</v>
      </c>
      <c r="AD291">
        <v>3275282</v>
      </c>
      <c r="AE291">
        <v>8168951</v>
      </c>
      <c r="AF291">
        <v>73838430</v>
      </c>
      <c r="AG291">
        <v>15556315</v>
      </c>
      <c r="AH291">
        <v>3866644</v>
      </c>
      <c r="AI291">
        <v>116118290</v>
      </c>
      <c r="AJ291">
        <v>8502697</v>
      </c>
      <c r="AK291">
        <v>3800234</v>
      </c>
      <c r="AL291">
        <v>0</v>
      </c>
      <c r="AM291">
        <v>37442538</v>
      </c>
      <c r="AN291">
        <v>1151981</v>
      </c>
      <c r="AO291">
        <v>1266859</v>
      </c>
      <c r="AP291">
        <v>193193</v>
      </c>
      <c r="AQ291">
        <v>42154093</v>
      </c>
      <c r="AR291">
        <v>97699480</v>
      </c>
      <c r="AS291">
        <v>1336643</v>
      </c>
      <c r="AT291">
        <v>5548319</v>
      </c>
      <c r="AU291">
        <v>553594</v>
      </c>
      <c r="AV291">
        <v>62946250</v>
      </c>
      <c r="AW291">
        <v>12261587</v>
      </c>
      <c r="AX291">
        <v>5081731</v>
      </c>
      <c r="AY291">
        <v>44562280</v>
      </c>
      <c r="AZ291">
        <v>4457826</v>
      </c>
      <c r="BA291">
        <v>4657909</v>
      </c>
      <c r="BB291">
        <v>170853</v>
      </c>
      <c r="BC291">
        <v>912699</v>
      </c>
      <c r="BD291">
        <v>17091358</v>
      </c>
      <c r="BE291">
        <v>737948</v>
      </c>
      <c r="BF291">
        <v>1086431</v>
      </c>
      <c r="BG291">
        <v>442739</v>
      </c>
      <c r="BH291">
        <v>426685</v>
      </c>
      <c r="BI291">
        <v>821224</v>
      </c>
      <c r="BJ291">
        <v>749600</v>
      </c>
      <c r="BK291">
        <v>10964706</v>
      </c>
      <c r="BL291">
        <v>1170805</v>
      </c>
      <c r="BM291">
        <v>3308678</v>
      </c>
      <c r="BN291">
        <v>15344063</v>
      </c>
      <c r="BO291">
        <v>2689420</v>
      </c>
      <c r="BP291">
        <v>5700667</v>
      </c>
      <c r="BQ291">
        <v>44798779</v>
      </c>
      <c r="BR291">
        <v>1633775</v>
      </c>
      <c r="BS291">
        <v>82104540</v>
      </c>
      <c r="BT291">
        <v>2077289</v>
      </c>
      <c r="BU291">
        <v>14563697</v>
      </c>
      <c r="BV291">
        <v>5673107</v>
      </c>
      <c r="BW291">
        <v>5179569</v>
      </c>
      <c r="BX291">
        <v>2811336</v>
      </c>
      <c r="BY291">
        <v>672533</v>
      </c>
      <c r="BZ291">
        <v>2067020</v>
      </c>
      <c r="CA291">
        <v>250343</v>
      </c>
      <c r="CB291">
        <v>1928605</v>
      </c>
      <c r="CC291">
        <v>0</v>
      </c>
      <c r="CD291">
        <v>472758</v>
      </c>
    </row>
    <row r="292" spans="1:82" x14ac:dyDescent="0.3">
      <c r="A292" s="155">
        <v>9002</v>
      </c>
      <c r="B292" t="s">
        <v>1033</v>
      </c>
      <c r="C292" t="s">
        <v>1034</v>
      </c>
      <c r="D292">
        <v>60455</v>
      </c>
      <c r="E292">
        <v>6984</v>
      </c>
      <c r="F292">
        <v>35382</v>
      </c>
      <c r="G292">
        <v>109158</v>
      </c>
      <c r="H292">
        <v>62428</v>
      </c>
      <c r="I292">
        <v>51855</v>
      </c>
      <c r="J292">
        <v>322</v>
      </c>
      <c r="K292">
        <v>1996</v>
      </c>
      <c r="L292">
        <v>6482</v>
      </c>
      <c r="M292">
        <v>1421950</v>
      </c>
      <c r="N292">
        <v>39205</v>
      </c>
      <c r="O292">
        <v>472333</v>
      </c>
      <c r="P292">
        <v>2011</v>
      </c>
      <c r="Q292">
        <v>6355032</v>
      </c>
      <c r="R292">
        <v>143018</v>
      </c>
      <c r="S292">
        <v>4092</v>
      </c>
      <c r="T292">
        <v>19468452</v>
      </c>
      <c r="U292">
        <v>2667399</v>
      </c>
      <c r="V292">
        <v>5306216</v>
      </c>
      <c r="W292">
        <v>6632364</v>
      </c>
      <c r="X292">
        <v>18188</v>
      </c>
      <c r="Y292">
        <v>1754550</v>
      </c>
      <c r="Z292">
        <v>32504</v>
      </c>
      <c r="AA292">
        <v>1600295</v>
      </c>
      <c r="AB292">
        <v>267349</v>
      </c>
      <c r="AC292">
        <v>147229</v>
      </c>
      <c r="AD292">
        <v>61768</v>
      </c>
      <c r="AE292">
        <v>145396</v>
      </c>
      <c r="AF292">
        <v>4804372</v>
      </c>
      <c r="AG292">
        <v>347220</v>
      </c>
      <c r="AH292">
        <v>11958</v>
      </c>
      <c r="AI292">
        <v>10570637</v>
      </c>
      <c r="AJ292">
        <v>14310</v>
      </c>
      <c r="AK292">
        <v>9169</v>
      </c>
      <c r="AL292">
        <v>0</v>
      </c>
      <c r="AM292">
        <v>2344823</v>
      </c>
      <c r="AN292">
        <v>21072</v>
      </c>
      <c r="AO292">
        <v>30036</v>
      </c>
      <c r="AP292">
        <v>0</v>
      </c>
      <c r="AQ292">
        <v>786919</v>
      </c>
      <c r="AR292">
        <v>407976</v>
      </c>
      <c r="AS292">
        <v>20677</v>
      </c>
      <c r="AT292">
        <v>205978</v>
      </c>
      <c r="AU292">
        <v>5485</v>
      </c>
      <c r="AV292">
        <v>340036</v>
      </c>
      <c r="AW292">
        <v>342326</v>
      </c>
      <c r="AX292">
        <v>68409</v>
      </c>
      <c r="AY292">
        <v>2656423</v>
      </c>
      <c r="AZ292">
        <v>129621</v>
      </c>
      <c r="BA292">
        <v>81095</v>
      </c>
      <c r="BB292">
        <v>0</v>
      </c>
      <c r="BC292">
        <v>48002</v>
      </c>
      <c r="BD292">
        <v>893210</v>
      </c>
      <c r="BE292">
        <v>2846</v>
      </c>
      <c r="BF292">
        <v>2804</v>
      </c>
      <c r="BG292">
        <v>0</v>
      </c>
      <c r="BH292">
        <v>1121</v>
      </c>
      <c r="BI292">
        <v>2862</v>
      </c>
      <c r="BJ292">
        <v>82516</v>
      </c>
      <c r="BK292">
        <v>973721</v>
      </c>
      <c r="BL292">
        <v>23815</v>
      </c>
      <c r="BM292">
        <v>167888</v>
      </c>
      <c r="BN292">
        <v>474823</v>
      </c>
      <c r="BO292">
        <v>79704</v>
      </c>
      <c r="BP292">
        <v>107062</v>
      </c>
      <c r="BQ292">
        <v>1809761</v>
      </c>
      <c r="BR292">
        <v>92536</v>
      </c>
      <c r="BS292">
        <v>2061370</v>
      </c>
      <c r="BT292">
        <v>28619</v>
      </c>
      <c r="BU292">
        <v>1233922</v>
      </c>
      <c r="BV292">
        <v>50002</v>
      </c>
      <c r="BW292">
        <v>197064</v>
      </c>
      <c r="BX292">
        <v>49597</v>
      </c>
      <c r="BY292">
        <v>2229</v>
      </c>
      <c r="BZ292">
        <v>117574</v>
      </c>
      <c r="CA292">
        <v>8136</v>
      </c>
      <c r="CB292">
        <v>172194</v>
      </c>
      <c r="CC292">
        <v>0</v>
      </c>
      <c r="CD292">
        <v>1016</v>
      </c>
    </row>
    <row r="293" spans="1:82" ht="28.8" x14ac:dyDescent="0.3">
      <c r="A293" s="155">
        <v>9003</v>
      </c>
      <c r="B293" s="527" t="s">
        <v>1035</v>
      </c>
      <c r="C293" t="s">
        <v>1036</v>
      </c>
      <c r="D293">
        <v>117974</v>
      </c>
      <c r="E293">
        <v>6984</v>
      </c>
      <c r="F293">
        <v>348448</v>
      </c>
      <c r="G293">
        <v>766904</v>
      </c>
      <c r="H293">
        <v>80876</v>
      </c>
      <c r="I293">
        <v>281061</v>
      </c>
      <c r="J293">
        <v>322</v>
      </c>
      <c r="K293">
        <v>29582</v>
      </c>
      <c r="L293">
        <v>6482</v>
      </c>
      <c r="M293">
        <v>12699010</v>
      </c>
      <c r="N293">
        <v>282973</v>
      </c>
      <c r="O293">
        <v>4636566</v>
      </c>
      <c r="P293">
        <v>2011</v>
      </c>
      <c r="Q293">
        <v>74725320</v>
      </c>
      <c r="R293">
        <v>1617829</v>
      </c>
      <c r="S293">
        <v>4092</v>
      </c>
      <c r="T293">
        <v>175337710</v>
      </c>
      <c r="U293">
        <v>23393707</v>
      </c>
      <c r="V293">
        <v>34796695</v>
      </c>
      <c r="W293">
        <v>47901831</v>
      </c>
      <c r="X293">
        <v>28527</v>
      </c>
      <c r="Y293">
        <v>7275419</v>
      </c>
      <c r="Z293">
        <v>377475</v>
      </c>
      <c r="AA293">
        <v>18317159</v>
      </c>
      <c r="AB293">
        <v>1803811</v>
      </c>
      <c r="AC293">
        <v>895373</v>
      </c>
      <c r="AD293">
        <v>817948</v>
      </c>
      <c r="AE293">
        <v>2728206</v>
      </c>
      <c r="AF293">
        <v>21644882</v>
      </c>
      <c r="AG293">
        <v>3380917</v>
      </c>
      <c r="AH293">
        <v>514933</v>
      </c>
      <c r="AI293">
        <v>82121722</v>
      </c>
      <c r="AJ293">
        <v>38252</v>
      </c>
      <c r="AK293">
        <v>409350</v>
      </c>
      <c r="AL293">
        <v>0</v>
      </c>
      <c r="AM293">
        <v>15838191</v>
      </c>
      <c r="AN293">
        <v>245510</v>
      </c>
      <c r="AO293">
        <v>377817</v>
      </c>
      <c r="AP293">
        <v>0</v>
      </c>
      <c r="AQ293">
        <v>16414865</v>
      </c>
      <c r="AR293">
        <v>51718836</v>
      </c>
      <c r="AS293">
        <v>416084</v>
      </c>
      <c r="AT293">
        <v>1393497</v>
      </c>
      <c r="AU293">
        <v>16616</v>
      </c>
      <c r="AV293">
        <v>15866490</v>
      </c>
      <c r="AW293">
        <v>1602654</v>
      </c>
      <c r="AX293">
        <v>577826</v>
      </c>
      <c r="AY293">
        <v>11714033</v>
      </c>
      <c r="AZ293">
        <v>407415</v>
      </c>
      <c r="BA293">
        <v>267155</v>
      </c>
      <c r="BB293">
        <v>0</v>
      </c>
      <c r="BC293">
        <v>48002</v>
      </c>
      <c r="BD293">
        <v>12562868</v>
      </c>
      <c r="BE293">
        <v>2846</v>
      </c>
      <c r="BF293">
        <v>57551</v>
      </c>
      <c r="BG293">
        <v>83069</v>
      </c>
      <c r="BH293">
        <v>1121</v>
      </c>
      <c r="BI293">
        <v>31290</v>
      </c>
      <c r="BJ293">
        <v>100978</v>
      </c>
      <c r="BK293">
        <v>5587252</v>
      </c>
      <c r="BL293">
        <v>335152</v>
      </c>
      <c r="BM293">
        <v>850019</v>
      </c>
      <c r="BN293">
        <v>2631116</v>
      </c>
      <c r="BO293">
        <v>1291340</v>
      </c>
      <c r="BP293">
        <v>1945920</v>
      </c>
      <c r="BQ293">
        <v>7599334</v>
      </c>
      <c r="BR293">
        <v>771435</v>
      </c>
      <c r="BS293">
        <v>31167225</v>
      </c>
      <c r="BT293">
        <v>358588</v>
      </c>
      <c r="BU293">
        <v>4496995</v>
      </c>
      <c r="BV293">
        <v>50002</v>
      </c>
      <c r="BW293">
        <v>1081684</v>
      </c>
      <c r="BX293">
        <v>966952</v>
      </c>
      <c r="BY293">
        <v>9257</v>
      </c>
      <c r="BZ293">
        <v>1184068</v>
      </c>
      <c r="CA293">
        <v>8480</v>
      </c>
      <c r="CB293">
        <v>950056</v>
      </c>
      <c r="CC293">
        <v>0</v>
      </c>
      <c r="CD293">
        <v>20738</v>
      </c>
    </row>
    <row r="294" spans="1:82" x14ac:dyDescent="0.3">
      <c r="A294" s="155">
        <v>9004</v>
      </c>
      <c r="B294" t="s">
        <v>1037</v>
      </c>
      <c r="C294" t="s">
        <v>1038</v>
      </c>
      <c r="D294" t="s">
        <v>1039</v>
      </c>
      <c r="E294" t="s">
        <v>351</v>
      </c>
      <c r="F294" t="s">
        <v>1039</v>
      </c>
      <c r="G294" t="s">
        <v>351</v>
      </c>
      <c r="H294" t="s">
        <v>351</v>
      </c>
      <c r="I294" t="s">
        <v>351</v>
      </c>
      <c r="J294" t="s">
        <v>1039</v>
      </c>
      <c r="K294" t="s">
        <v>351</v>
      </c>
      <c r="L294" t="s">
        <v>351</v>
      </c>
      <c r="M294" t="s">
        <v>351</v>
      </c>
      <c r="N294" t="s">
        <v>351</v>
      </c>
      <c r="O294" t="s">
        <v>1039</v>
      </c>
      <c r="P294" t="s">
        <v>351</v>
      </c>
      <c r="Q294" t="s">
        <v>1039</v>
      </c>
      <c r="R294" t="s">
        <v>1039</v>
      </c>
      <c r="S294" t="s">
        <v>351</v>
      </c>
      <c r="T294" t="s">
        <v>1039</v>
      </c>
      <c r="U294" t="s">
        <v>1039</v>
      </c>
      <c r="V294" t="s">
        <v>1039</v>
      </c>
      <c r="W294" t="s">
        <v>351</v>
      </c>
      <c r="X294" t="s">
        <v>1039</v>
      </c>
      <c r="Y294" t="s">
        <v>1039</v>
      </c>
      <c r="Z294" t="s">
        <v>1039</v>
      </c>
      <c r="AA294" t="s">
        <v>1039</v>
      </c>
      <c r="AB294" t="s">
        <v>1039</v>
      </c>
      <c r="AC294" t="s">
        <v>1039</v>
      </c>
      <c r="AD294" t="s">
        <v>1039</v>
      </c>
      <c r="AE294" t="s">
        <v>1039</v>
      </c>
      <c r="AF294" t="s">
        <v>1039</v>
      </c>
      <c r="AG294" t="s">
        <v>1039</v>
      </c>
      <c r="AH294" t="s">
        <v>351</v>
      </c>
      <c r="AI294" t="s">
        <v>1039</v>
      </c>
      <c r="AJ294" t="s">
        <v>1039</v>
      </c>
      <c r="AK294" t="s">
        <v>1039</v>
      </c>
      <c r="AL294" t="s">
        <v>1039</v>
      </c>
      <c r="AM294" t="s">
        <v>1039</v>
      </c>
      <c r="AN294" t="s">
        <v>1039</v>
      </c>
      <c r="AO294" t="s">
        <v>1039</v>
      </c>
      <c r="AP294" t="s">
        <v>351</v>
      </c>
      <c r="AQ294" t="s">
        <v>351</v>
      </c>
      <c r="AR294" t="s">
        <v>1039</v>
      </c>
      <c r="AS294" t="s">
        <v>351</v>
      </c>
      <c r="AT294" t="s">
        <v>1039</v>
      </c>
      <c r="AU294" t="s">
        <v>351</v>
      </c>
      <c r="AV294" t="s">
        <v>1039</v>
      </c>
      <c r="AW294" t="s">
        <v>351</v>
      </c>
      <c r="AX294" t="s">
        <v>1039</v>
      </c>
      <c r="AY294" t="s">
        <v>1039</v>
      </c>
      <c r="AZ294" t="s">
        <v>1039</v>
      </c>
      <c r="BA294" t="s">
        <v>1039</v>
      </c>
      <c r="BB294" t="s">
        <v>351</v>
      </c>
      <c r="BC294" t="s">
        <v>1039</v>
      </c>
      <c r="BD294" t="s">
        <v>1039</v>
      </c>
      <c r="BE294" t="s">
        <v>351</v>
      </c>
      <c r="BF294" t="s">
        <v>1039</v>
      </c>
      <c r="BG294" t="s">
        <v>1039</v>
      </c>
      <c r="BH294" t="s">
        <v>351</v>
      </c>
      <c r="BI294" t="s">
        <v>1039</v>
      </c>
      <c r="BJ294" t="s">
        <v>351</v>
      </c>
      <c r="BK294" t="s">
        <v>1039</v>
      </c>
      <c r="BL294" t="s">
        <v>1039</v>
      </c>
      <c r="BM294" t="s">
        <v>1039</v>
      </c>
      <c r="BN294" t="s">
        <v>1039</v>
      </c>
      <c r="BO294" t="s">
        <v>1039</v>
      </c>
      <c r="BP294" t="s">
        <v>1039</v>
      </c>
      <c r="BQ294" t="s">
        <v>351</v>
      </c>
      <c r="BR294" t="s">
        <v>1039</v>
      </c>
      <c r="BS294" t="s">
        <v>351</v>
      </c>
      <c r="BT294" t="s">
        <v>1039</v>
      </c>
      <c r="BU294" t="s">
        <v>1039</v>
      </c>
      <c r="BV294" t="s">
        <v>351</v>
      </c>
      <c r="BW294" t="s">
        <v>1039</v>
      </c>
      <c r="BX294" t="s">
        <v>1039</v>
      </c>
      <c r="BY294" t="s">
        <v>1039</v>
      </c>
      <c r="BZ294" t="s">
        <v>1039</v>
      </c>
      <c r="CA294" t="s">
        <v>1039</v>
      </c>
      <c r="CB294" t="s">
        <v>1039</v>
      </c>
      <c r="CC294" t="s">
        <v>351</v>
      </c>
      <c r="CD294" t="s">
        <v>1039</v>
      </c>
    </row>
    <row r="295" spans="1:82" ht="22.2" customHeight="1" x14ac:dyDescent="0.3">
      <c r="A295" s="155">
        <v>9005</v>
      </c>
      <c r="B295" t="s">
        <v>1040</v>
      </c>
      <c r="C295" t="s">
        <v>1041</v>
      </c>
      <c r="D295">
        <v>27059</v>
      </c>
      <c r="E295">
        <v>149052</v>
      </c>
      <c r="F295">
        <v>765848</v>
      </c>
      <c r="G295">
        <v>4411215</v>
      </c>
      <c r="H295">
        <v>5951534</v>
      </c>
      <c r="I295">
        <v>4844128</v>
      </c>
      <c r="J295">
        <v>116272</v>
      </c>
      <c r="K295">
        <v>1000571</v>
      </c>
      <c r="L295">
        <v>1069530</v>
      </c>
      <c r="M295">
        <v>7841742</v>
      </c>
      <c r="N295">
        <v>601814</v>
      </c>
      <c r="O295">
        <v>5874836</v>
      </c>
      <c r="P295">
        <v>305728</v>
      </c>
      <c r="Q295">
        <v>31432501</v>
      </c>
      <c r="R295">
        <v>500933</v>
      </c>
      <c r="S295">
        <v>174176</v>
      </c>
      <c r="T295">
        <v>66467895</v>
      </c>
      <c r="U295">
        <v>7834102</v>
      </c>
      <c r="V295">
        <v>22951662</v>
      </c>
      <c r="W295">
        <v>22527065</v>
      </c>
      <c r="X295">
        <v>141508</v>
      </c>
      <c r="Y295">
        <v>12063992</v>
      </c>
      <c r="Z295">
        <v>1422912</v>
      </c>
      <c r="AA295">
        <v>14095955</v>
      </c>
      <c r="AB295">
        <v>630453</v>
      </c>
      <c r="AC295">
        <v>2222332</v>
      </c>
      <c r="AD295">
        <v>1428814</v>
      </c>
      <c r="AE295">
        <v>3685537</v>
      </c>
      <c r="AF295">
        <v>14494363</v>
      </c>
      <c r="AG295">
        <v>5574025</v>
      </c>
      <c r="AH295">
        <v>1101676</v>
      </c>
      <c r="AI295">
        <v>10699419</v>
      </c>
      <c r="AJ295">
        <v>3522703</v>
      </c>
      <c r="AK295">
        <v>891884</v>
      </c>
      <c r="AL295">
        <v>0</v>
      </c>
      <c r="AM295">
        <v>10123316</v>
      </c>
      <c r="AN295">
        <v>561573</v>
      </c>
      <c r="AO295">
        <v>615170</v>
      </c>
      <c r="AP295">
        <v>70417</v>
      </c>
      <c r="AQ295">
        <v>3633528</v>
      </c>
      <c r="AR295">
        <v>6153142</v>
      </c>
      <c r="AS295">
        <v>680258</v>
      </c>
      <c r="AT295">
        <v>1593179</v>
      </c>
      <c r="AU295">
        <v>249182</v>
      </c>
      <c r="AV295">
        <v>15954442</v>
      </c>
      <c r="AW295">
        <v>3776832</v>
      </c>
      <c r="AX295">
        <v>788487</v>
      </c>
      <c r="AY295">
        <v>20660544</v>
      </c>
      <c r="AZ295">
        <v>2159859</v>
      </c>
      <c r="BA295">
        <v>1037979</v>
      </c>
      <c r="BB295">
        <v>120922</v>
      </c>
      <c r="BC295">
        <v>431490</v>
      </c>
      <c r="BD295">
        <v>6592918</v>
      </c>
      <c r="BE295">
        <v>623224</v>
      </c>
      <c r="BF295">
        <v>766421</v>
      </c>
      <c r="BG295">
        <v>221792</v>
      </c>
      <c r="BH295">
        <v>327869</v>
      </c>
      <c r="BI295">
        <v>446149</v>
      </c>
      <c r="BJ295">
        <v>239910</v>
      </c>
      <c r="BK295">
        <v>1950038</v>
      </c>
      <c r="BL295">
        <v>398055</v>
      </c>
      <c r="BM295">
        <v>32525</v>
      </c>
      <c r="BN295">
        <v>2420931</v>
      </c>
      <c r="BO295">
        <v>1149278</v>
      </c>
      <c r="BP295">
        <v>2214224</v>
      </c>
      <c r="BQ295">
        <v>10525116</v>
      </c>
      <c r="BR295">
        <v>356453</v>
      </c>
      <c r="BS295">
        <v>18830977</v>
      </c>
      <c r="BT295">
        <v>623989</v>
      </c>
      <c r="BU295">
        <v>4921535</v>
      </c>
      <c r="BV295">
        <v>836432</v>
      </c>
      <c r="BW295">
        <v>1060887</v>
      </c>
      <c r="BX295">
        <v>1749436</v>
      </c>
      <c r="BY295">
        <v>202195</v>
      </c>
      <c r="BZ295">
        <v>143920</v>
      </c>
      <c r="CA295">
        <v>164509</v>
      </c>
      <c r="CB295">
        <v>471404</v>
      </c>
      <c r="CC295">
        <v>0</v>
      </c>
      <c r="CD295">
        <v>367651</v>
      </c>
    </row>
    <row r="296" spans="1:82" ht="19.2" customHeight="1" x14ac:dyDescent="0.3">
      <c r="A296" s="155">
        <v>9006</v>
      </c>
      <c r="B296" t="s">
        <v>1042</v>
      </c>
      <c r="C296" t="s">
        <v>1043</v>
      </c>
      <c r="D296">
        <v>311221</v>
      </c>
      <c r="E296">
        <v>47526</v>
      </c>
      <c r="F296">
        <v>1106352</v>
      </c>
      <c r="G296">
        <v>1722613</v>
      </c>
      <c r="H296">
        <v>1101502</v>
      </c>
      <c r="I296">
        <v>3808832</v>
      </c>
      <c r="J296">
        <v>74819</v>
      </c>
      <c r="K296">
        <v>270941</v>
      </c>
      <c r="L296">
        <v>170556</v>
      </c>
      <c r="M296">
        <v>16205352</v>
      </c>
      <c r="N296">
        <v>513288</v>
      </c>
      <c r="O296">
        <v>4920524</v>
      </c>
      <c r="P296">
        <v>100172</v>
      </c>
      <c r="Q296">
        <v>43339095</v>
      </c>
      <c r="R296">
        <v>1928523</v>
      </c>
      <c r="S296">
        <v>51960</v>
      </c>
      <c r="T296">
        <v>65275780</v>
      </c>
      <c r="U296">
        <v>15886526</v>
      </c>
      <c r="V296">
        <v>19672838</v>
      </c>
      <c r="W296">
        <v>40453405</v>
      </c>
      <c r="X296">
        <v>307519</v>
      </c>
      <c r="Y296">
        <v>12539785</v>
      </c>
      <c r="Z296">
        <v>1198504</v>
      </c>
      <c r="AA296">
        <v>12794044</v>
      </c>
      <c r="AB296">
        <v>4271402</v>
      </c>
      <c r="AC296">
        <v>1727373</v>
      </c>
      <c r="AD296">
        <v>1972725</v>
      </c>
      <c r="AE296">
        <v>2314840</v>
      </c>
      <c r="AF296">
        <v>19078549</v>
      </c>
      <c r="AG296">
        <v>5863699</v>
      </c>
      <c r="AH296">
        <v>1022488</v>
      </c>
      <c r="AI296">
        <v>32377414</v>
      </c>
      <c r="AJ296">
        <v>563292</v>
      </c>
      <c r="AK296">
        <v>825145</v>
      </c>
      <c r="AL296">
        <v>0</v>
      </c>
      <c r="AM296">
        <v>13758589</v>
      </c>
      <c r="AN296">
        <v>702611</v>
      </c>
      <c r="AO296">
        <v>584842</v>
      </c>
      <c r="AP296">
        <v>33206</v>
      </c>
      <c r="AQ296">
        <v>5404640</v>
      </c>
      <c r="AR296">
        <v>6264838</v>
      </c>
      <c r="AS296">
        <v>497591</v>
      </c>
      <c r="AT296">
        <v>2440066</v>
      </c>
      <c r="AU296">
        <v>181642</v>
      </c>
      <c r="AV296">
        <v>16041550</v>
      </c>
      <c r="AW296">
        <v>1610047</v>
      </c>
      <c r="AX296">
        <v>2578457</v>
      </c>
      <c r="AY296">
        <v>9256975</v>
      </c>
      <c r="AZ296">
        <v>1150073</v>
      </c>
      <c r="BA296">
        <v>1254736</v>
      </c>
      <c r="BB296">
        <v>21684</v>
      </c>
      <c r="BC296">
        <v>242834</v>
      </c>
      <c r="BD296">
        <v>8799807</v>
      </c>
      <c r="BE296">
        <v>83964</v>
      </c>
      <c r="BF296">
        <v>340391</v>
      </c>
      <c r="BG296">
        <v>311944</v>
      </c>
      <c r="BH296">
        <v>66573</v>
      </c>
      <c r="BI296">
        <v>243724</v>
      </c>
      <c r="BJ296">
        <v>217601</v>
      </c>
      <c r="BK296">
        <v>3554679</v>
      </c>
      <c r="BL296">
        <v>675776</v>
      </c>
      <c r="BM296">
        <v>1909116</v>
      </c>
      <c r="BN296">
        <v>4996030</v>
      </c>
      <c r="BO296">
        <v>1082744</v>
      </c>
      <c r="BP296">
        <v>1424823</v>
      </c>
      <c r="BQ296">
        <v>19276496</v>
      </c>
      <c r="BR296">
        <v>1215725</v>
      </c>
      <c r="BS296">
        <v>16492319</v>
      </c>
      <c r="BT296">
        <v>787060</v>
      </c>
      <c r="BU296">
        <v>4646013</v>
      </c>
      <c r="BV296">
        <v>860026</v>
      </c>
      <c r="BW296">
        <v>2270561</v>
      </c>
      <c r="BX296">
        <v>864521</v>
      </c>
      <c r="BY296">
        <v>71822</v>
      </c>
      <c r="BZ296">
        <v>151757</v>
      </c>
      <c r="CA296">
        <v>153208</v>
      </c>
      <c r="CB296">
        <v>1057856</v>
      </c>
      <c r="CC296">
        <v>0</v>
      </c>
      <c r="CD296">
        <v>50678</v>
      </c>
    </row>
    <row r="297" spans="1:82" ht="28.8" x14ac:dyDescent="0.3">
      <c r="A297" s="155">
        <v>9007</v>
      </c>
      <c r="B297" s="527" t="s">
        <v>1611</v>
      </c>
      <c r="C297" s="527" t="s">
        <v>1044</v>
      </c>
      <c r="D297">
        <v>8.6900000000000005E-2</v>
      </c>
      <c r="E297">
        <v>3.1362000000000001</v>
      </c>
      <c r="F297">
        <v>0.69220000000000004</v>
      </c>
      <c r="G297">
        <v>2.5608</v>
      </c>
      <c r="H297">
        <v>5.4031000000000002</v>
      </c>
      <c r="I297">
        <v>1.2718</v>
      </c>
      <c r="J297">
        <v>1.554</v>
      </c>
      <c r="K297">
        <v>3.6928999999999998</v>
      </c>
      <c r="L297">
        <v>6.2708000000000004</v>
      </c>
      <c r="M297">
        <v>0.4839</v>
      </c>
      <c r="N297">
        <v>1.1725000000000001</v>
      </c>
      <c r="O297">
        <v>1.1939</v>
      </c>
      <c r="P297">
        <v>3.052</v>
      </c>
      <c r="Q297">
        <v>0.72529999999999994</v>
      </c>
      <c r="R297">
        <v>0.25969999999999999</v>
      </c>
      <c r="S297">
        <v>3.3521000000000001</v>
      </c>
      <c r="T297">
        <v>1.0183</v>
      </c>
      <c r="U297">
        <v>0.49309999999999998</v>
      </c>
      <c r="V297">
        <v>1.1667000000000001</v>
      </c>
      <c r="W297">
        <v>0.55689999999999995</v>
      </c>
      <c r="X297">
        <v>0.4602</v>
      </c>
      <c r="Y297">
        <v>0.96209999999999996</v>
      </c>
      <c r="Z297" s="180">
        <v>1.1872</v>
      </c>
      <c r="AA297">
        <v>1.1017999999999999</v>
      </c>
      <c r="AB297">
        <v>0.14760000000000001</v>
      </c>
      <c r="AC297">
        <v>1.2865</v>
      </c>
      <c r="AD297">
        <v>0.72430000000000005</v>
      </c>
      <c r="AE297">
        <v>1.5921000000000001</v>
      </c>
      <c r="AF297">
        <v>0.75970000000000004</v>
      </c>
      <c r="AG297">
        <v>0.9506</v>
      </c>
      <c r="AH297">
        <v>1.0773999999999999</v>
      </c>
      <c r="AI297">
        <v>0.33050000000000002</v>
      </c>
      <c r="AJ297">
        <v>6.2538</v>
      </c>
      <c r="AK297">
        <v>1.0809</v>
      </c>
      <c r="AL297">
        <v>0</v>
      </c>
      <c r="AM297">
        <v>0.73580000000000001</v>
      </c>
      <c r="AN297">
        <v>0.79930000000000001</v>
      </c>
      <c r="AO297">
        <v>1.0519000000000001</v>
      </c>
      <c r="AP297">
        <v>2.1206</v>
      </c>
      <c r="AQ297">
        <v>0.67230000000000001</v>
      </c>
      <c r="AR297">
        <v>0.98219999999999996</v>
      </c>
      <c r="AS297">
        <v>1.3671</v>
      </c>
      <c r="AT297">
        <v>0.65290000000000004</v>
      </c>
      <c r="AU297">
        <v>1.3717999999999999</v>
      </c>
      <c r="AV297">
        <v>0.99460000000000004</v>
      </c>
      <c r="AW297">
        <v>2.3458000000000001</v>
      </c>
      <c r="AX297">
        <v>0.30580000000000002</v>
      </c>
      <c r="AY297">
        <v>2.2319</v>
      </c>
      <c r="AZ297">
        <v>1.8779999999999999</v>
      </c>
      <c r="BA297">
        <v>0.82720000000000005</v>
      </c>
      <c r="BB297">
        <v>5.5766</v>
      </c>
      <c r="BC297">
        <v>1.7768999999999999</v>
      </c>
      <c r="BD297">
        <v>0.74919999999999998</v>
      </c>
      <c r="BE297">
        <v>7.4225000000000003</v>
      </c>
      <c r="BF297">
        <v>2.2515999999999998</v>
      </c>
      <c r="BG297">
        <v>0.71099999999999997</v>
      </c>
      <c r="BH297">
        <v>4.9249999999999998</v>
      </c>
      <c r="BI297">
        <v>1.8306</v>
      </c>
      <c r="BJ297">
        <v>1.1025</v>
      </c>
      <c r="BK297">
        <v>0.54859999999999998</v>
      </c>
      <c r="BL297">
        <v>0.58899999999999997</v>
      </c>
      <c r="BM297">
        <v>1.7000000000000001E-2</v>
      </c>
      <c r="BN297">
        <v>0.48459999999999998</v>
      </c>
      <c r="BO297">
        <v>1.0613999999999999</v>
      </c>
      <c r="BP297">
        <v>1.554</v>
      </c>
      <c r="BQ297">
        <v>0.54600000000000004</v>
      </c>
      <c r="BR297">
        <v>0.29320000000000002</v>
      </c>
      <c r="BS297">
        <v>1.1417999999999999</v>
      </c>
      <c r="BT297">
        <v>0.79279999999999995</v>
      </c>
      <c r="BU297">
        <v>1.0592999999999999</v>
      </c>
      <c r="BV297">
        <v>0.97260000000000002</v>
      </c>
      <c r="BW297">
        <v>0.4672</v>
      </c>
      <c r="BX297">
        <v>2.0236000000000001</v>
      </c>
      <c r="BY297">
        <v>2.8151999999999999</v>
      </c>
      <c r="BZ297">
        <v>0.94840000000000002</v>
      </c>
      <c r="CA297">
        <v>1.0738000000000001</v>
      </c>
      <c r="CB297">
        <v>0.4456</v>
      </c>
      <c r="CC297">
        <v>0</v>
      </c>
      <c r="CD297">
        <v>7.2545999999999999</v>
      </c>
    </row>
    <row r="298" spans="1:82" ht="21" customHeight="1" x14ac:dyDescent="0.3">
      <c r="A298" s="155">
        <v>9008</v>
      </c>
      <c r="B298" t="s">
        <v>1045</v>
      </c>
      <c r="C298" t="s">
        <v>351</v>
      </c>
      <c r="D298">
        <v>0</v>
      </c>
      <c r="E298">
        <v>0</v>
      </c>
      <c r="F298">
        <v>0</v>
      </c>
      <c r="G298">
        <v>0</v>
      </c>
      <c r="H298">
        <v>0</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0</v>
      </c>
      <c r="BY298">
        <v>0</v>
      </c>
      <c r="BZ298">
        <v>0</v>
      </c>
      <c r="CA298">
        <v>0</v>
      </c>
      <c r="CB298">
        <v>0</v>
      </c>
      <c r="CC298">
        <v>0</v>
      </c>
      <c r="CD298">
        <v>0</v>
      </c>
    </row>
    <row r="299" spans="1:82" x14ac:dyDescent="0.3">
      <c r="A299" s="155">
        <v>9010</v>
      </c>
      <c r="B299" t="s">
        <v>1046</v>
      </c>
      <c r="C299" t="s">
        <v>1047</v>
      </c>
      <c r="D299">
        <v>4.37</v>
      </c>
      <c r="E299">
        <v>0</v>
      </c>
      <c r="F299">
        <v>2.56</v>
      </c>
      <c r="G299">
        <v>0</v>
      </c>
      <c r="H299">
        <v>0</v>
      </c>
      <c r="I299">
        <v>0</v>
      </c>
      <c r="J299">
        <v>3.98</v>
      </c>
      <c r="K299">
        <v>0</v>
      </c>
      <c r="L299">
        <v>0</v>
      </c>
      <c r="M299">
        <v>0</v>
      </c>
      <c r="N299">
        <v>0</v>
      </c>
      <c r="O299">
        <v>3.55</v>
      </c>
      <c r="P299">
        <v>0</v>
      </c>
      <c r="Q299">
        <v>24.48</v>
      </c>
      <c r="R299">
        <v>17.71</v>
      </c>
      <c r="S299">
        <v>0</v>
      </c>
      <c r="T299">
        <v>3.25</v>
      </c>
      <c r="U299">
        <v>3.81</v>
      </c>
      <c r="V299">
        <v>8.2100000000000009</v>
      </c>
      <c r="W299">
        <v>0</v>
      </c>
      <c r="X299">
        <v>16.91</v>
      </c>
      <c r="Y299">
        <v>4.25</v>
      </c>
      <c r="Z299">
        <v>5.89</v>
      </c>
      <c r="AA299">
        <v>34.18</v>
      </c>
      <c r="AB299">
        <v>1.89</v>
      </c>
      <c r="AC299">
        <v>5.0599999999999996</v>
      </c>
      <c r="AD299">
        <v>3.54</v>
      </c>
      <c r="AE299">
        <v>18.29</v>
      </c>
      <c r="AF299">
        <v>19.16</v>
      </c>
      <c r="AG299">
        <v>5.14</v>
      </c>
      <c r="AH299">
        <v>0</v>
      </c>
      <c r="AI299">
        <v>4.3899999999999997</v>
      </c>
      <c r="AJ299">
        <v>11.62</v>
      </c>
      <c r="AK299">
        <v>12.19</v>
      </c>
      <c r="AL299">
        <v>0</v>
      </c>
      <c r="AM299">
        <v>2.73</v>
      </c>
      <c r="AN299">
        <v>2.71</v>
      </c>
      <c r="AO299">
        <v>0.93</v>
      </c>
      <c r="AP299">
        <v>0</v>
      </c>
      <c r="AQ299">
        <v>0</v>
      </c>
      <c r="AR299">
        <v>5.87</v>
      </c>
      <c r="AS299">
        <v>0</v>
      </c>
      <c r="AT299">
        <v>1.29</v>
      </c>
      <c r="AU299">
        <v>0</v>
      </c>
      <c r="AV299">
        <v>23.3</v>
      </c>
      <c r="AW299">
        <v>0</v>
      </c>
      <c r="AX299">
        <v>7.3</v>
      </c>
      <c r="AY299">
        <v>37.590000000000003</v>
      </c>
      <c r="AZ299">
        <v>11.28</v>
      </c>
      <c r="BA299">
        <v>3.76</v>
      </c>
      <c r="BB299">
        <v>0</v>
      </c>
      <c r="BC299">
        <v>9.7799999999999994</v>
      </c>
      <c r="BD299">
        <v>3.86</v>
      </c>
      <c r="BE299">
        <v>0</v>
      </c>
      <c r="BF299">
        <v>3.54</v>
      </c>
      <c r="BG299">
        <v>19.95</v>
      </c>
      <c r="BH299">
        <v>0</v>
      </c>
      <c r="BI299">
        <v>30.82</v>
      </c>
      <c r="BJ299">
        <v>0</v>
      </c>
      <c r="BK299">
        <v>7.05</v>
      </c>
      <c r="BL299">
        <v>4.3899999999999997</v>
      </c>
      <c r="BM299">
        <v>1.07</v>
      </c>
      <c r="BN299">
        <v>7.65</v>
      </c>
      <c r="BO299">
        <v>70.16</v>
      </c>
      <c r="BP299">
        <v>11.15</v>
      </c>
      <c r="BQ299">
        <v>0</v>
      </c>
      <c r="BR299">
        <v>5.43</v>
      </c>
      <c r="BS299">
        <v>0</v>
      </c>
      <c r="BT299">
        <v>8.56</v>
      </c>
      <c r="BU299">
        <v>18.45</v>
      </c>
      <c r="BV299">
        <v>0</v>
      </c>
      <c r="BW299">
        <v>2.86</v>
      </c>
      <c r="BX299">
        <v>83.35</v>
      </c>
      <c r="BY299">
        <v>0.26</v>
      </c>
      <c r="BZ299">
        <v>0.49</v>
      </c>
      <c r="CA299">
        <v>3.78</v>
      </c>
      <c r="CB299">
        <v>17.07</v>
      </c>
      <c r="CC299">
        <v>0</v>
      </c>
      <c r="CD299">
        <v>0</v>
      </c>
    </row>
    <row r="300" spans="1:82" x14ac:dyDescent="0.3">
      <c r="A300" s="155">
        <v>9011</v>
      </c>
      <c r="B300" t="s">
        <v>1723</v>
      </c>
      <c r="C300" t="s">
        <v>1048</v>
      </c>
      <c r="D300">
        <v>-32111</v>
      </c>
      <c r="E300">
        <v>0</v>
      </c>
      <c r="F300">
        <v>2554</v>
      </c>
      <c r="G300">
        <v>0</v>
      </c>
      <c r="H300">
        <v>0</v>
      </c>
      <c r="I300">
        <v>0</v>
      </c>
      <c r="J300">
        <v>5807</v>
      </c>
      <c r="K300">
        <v>0</v>
      </c>
      <c r="L300">
        <v>0</v>
      </c>
      <c r="M300">
        <v>0</v>
      </c>
      <c r="N300">
        <v>0</v>
      </c>
      <c r="O300">
        <v>342946</v>
      </c>
      <c r="P300">
        <v>0</v>
      </c>
      <c r="Q300">
        <v>10553216</v>
      </c>
      <c r="R300">
        <v>74950</v>
      </c>
      <c r="S300">
        <v>0</v>
      </c>
      <c r="T300">
        <v>-4239798</v>
      </c>
      <c r="U300">
        <v>987400</v>
      </c>
      <c r="V300">
        <v>2772997</v>
      </c>
      <c r="W300">
        <v>0</v>
      </c>
      <c r="X300">
        <v>19388</v>
      </c>
      <c r="Y300">
        <v>1188554</v>
      </c>
      <c r="Z300">
        <v>94315</v>
      </c>
      <c r="AA300">
        <v>3601867</v>
      </c>
      <c r="AB300">
        <v>-127555</v>
      </c>
      <c r="AC300">
        <v>79236</v>
      </c>
      <c r="AD300">
        <v>294350</v>
      </c>
      <c r="AE300">
        <v>268166</v>
      </c>
      <c r="AF300">
        <v>707368</v>
      </c>
      <c r="AG300">
        <v>-893294</v>
      </c>
      <c r="AH300">
        <v>-251131</v>
      </c>
      <c r="AI300">
        <v>3052319</v>
      </c>
      <c r="AJ300">
        <v>26391</v>
      </c>
      <c r="AK300">
        <v>142708</v>
      </c>
      <c r="AL300">
        <v>0</v>
      </c>
      <c r="AM300">
        <v>1347345</v>
      </c>
      <c r="AN300">
        <v>-9664</v>
      </c>
      <c r="AO300">
        <v>30953</v>
      </c>
      <c r="AP300">
        <v>0</v>
      </c>
      <c r="AQ300">
        <v>0</v>
      </c>
      <c r="AR300">
        <v>568776</v>
      </c>
      <c r="AS300">
        <v>0</v>
      </c>
      <c r="AT300">
        <v>356869</v>
      </c>
      <c r="AU300">
        <v>0</v>
      </c>
      <c r="AV300">
        <v>1502009</v>
      </c>
      <c r="AW300">
        <v>0</v>
      </c>
      <c r="AX300">
        <v>85862</v>
      </c>
      <c r="AY300">
        <v>951386</v>
      </c>
      <c r="AZ300">
        <v>77330</v>
      </c>
      <c r="BA300">
        <v>-4493</v>
      </c>
      <c r="BB300">
        <v>0</v>
      </c>
      <c r="BC300">
        <v>-25124</v>
      </c>
      <c r="BD300">
        <v>2130137</v>
      </c>
      <c r="BE300">
        <v>0</v>
      </c>
      <c r="BF300">
        <v>-8318</v>
      </c>
      <c r="BG300">
        <v>12903</v>
      </c>
      <c r="BH300">
        <v>0</v>
      </c>
      <c r="BI300">
        <v>39586</v>
      </c>
      <c r="BJ300">
        <v>0</v>
      </c>
      <c r="BK300">
        <v>-175326</v>
      </c>
      <c r="BL300">
        <v>112100</v>
      </c>
      <c r="BM300">
        <v>86901</v>
      </c>
      <c r="BN300">
        <v>60871</v>
      </c>
      <c r="BO300">
        <v>61329</v>
      </c>
      <c r="BP300">
        <v>87769</v>
      </c>
      <c r="BQ300">
        <v>0</v>
      </c>
      <c r="BR300">
        <v>90960</v>
      </c>
      <c r="BS300">
        <v>0</v>
      </c>
      <c r="BT300">
        <v>6795</v>
      </c>
      <c r="BU300">
        <v>-25386</v>
      </c>
      <c r="BV300">
        <v>0</v>
      </c>
      <c r="BW300">
        <v>219718</v>
      </c>
      <c r="BX300">
        <v>118520</v>
      </c>
      <c r="BY300">
        <v>-788</v>
      </c>
      <c r="BZ300">
        <v>24498</v>
      </c>
      <c r="CA300">
        <v>12901</v>
      </c>
      <c r="CB300">
        <v>56478</v>
      </c>
      <c r="CC300">
        <v>0</v>
      </c>
      <c r="CD300">
        <v>-5788</v>
      </c>
    </row>
    <row r="301" spans="1:82" x14ac:dyDescent="0.3">
      <c r="A301" s="155">
        <v>9012</v>
      </c>
      <c r="B301" t="s">
        <v>1724</v>
      </c>
      <c r="C301" t="s">
        <v>1048</v>
      </c>
      <c r="D301">
        <v>0.47960000000000003</v>
      </c>
      <c r="E301">
        <v>0</v>
      </c>
      <c r="F301">
        <v>1.1115999999999999</v>
      </c>
      <c r="G301">
        <v>0</v>
      </c>
      <c r="H301">
        <v>0</v>
      </c>
      <c r="I301">
        <v>0</v>
      </c>
      <c r="J301">
        <v>6.6000000000000003E-2</v>
      </c>
      <c r="K301">
        <v>0</v>
      </c>
      <c r="L301">
        <v>0</v>
      </c>
      <c r="M301">
        <v>0</v>
      </c>
      <c r="N301">
        <v>0</v>
      </c>
      <c r="O301">
        <v>0.23330000000000001</v>
      </c>
      <c r="P301">
        <v>0</v>
      </c>
      <c r="Q301">
        <v>5</v>
      </c>
      <c r="R301">
        <v>3.1196999999999999</v>
      </c>
      <c r="S301">
        <v>0</v>
      </c>
      <c r="T301">
        <v>1.5369999999999999</v>
      </c>
      <c r="U301">
        <v>0.9395</v>
      </c>
      <c r="V301">
        <v>2.0276999999999998</v>
      </c>
      <c r="W301">
        <v>0</v>
      </c>
      <c r="X301">
        <v>1.1780999999999999</v>
      </c>
      <c r="Y301">
        <v>0.86119999999999997</v>
      </c>
      <c r="Z301">
        <v>1.1509</v>
      </c>
      <c r="AA301">
        <v>1.8526</v>
      </c>
      <c r="AB301">
        <v>0.19650000000000001</v>
      </c>
      <c r="AC301">
        <v>0.75880000000000003</v>
      </c>
      <c r="AD301">
        <v>0.56130000000000002</v>
      </c>
      <c r="AE301">
        <v>1.2282999999999999</v>
      </c>
      <c r="AF301">
        <v>1.1234999999999999</v>
      </c>
      <c r="AG301">
        <v>7.5499999999999998E-2</v>
      </c>
      <c r="AH301">
        <v>0</v>
      </c>
      <c r="AI301">
        <v>0.96079999999999999</v>
      </c>
      <c r="AJ301">
        <v>1.3491</v>
      </c>
      <c r="AK301">
        <v>1.3915999999999999</v>
      </c>
      <c r="AL301">
        <v>0</v>
      </c>
      <c r="AM301">
        <v>0.37509999999999999</v>
      </c>
      <c r="AN301">
        <v>2.52E-2</v>
      </c>
      <c r="AO301">
        <v>7.3800000000000004E-2</v>
      </c>
      <c r="AP301">
        <v>0</v>
      </c>
      <c r="AQ301">
        <v>0</v>
      </c>
      <c r="AR301">
        <v>2.0291000000000001</v>
      </c>
      <c r="AS301">
        <v>0</v>
      </c>
      <c r="AT301">
        <v>0.17030000000000001</v>
      </c>
      <c r="AU301">
        <v>0</v>
      </c>
      <c r="AV301">
        <v>2.0541</v>
      </c>
      <c r="AW301">
        <v>0</v>
      </c>
      <c r="AX301">
        <v>1.6479999999999999</v>
      </c>
      <c r="AY301">
        <v>2.0647000000000002</v>
      </c>
      <c r="AZ301">
        <v>2.1789999999999998</v>
      </c>
      <c r="BA301">
        <v>0.67469999999999997</v>
      </c>
      <c r="BB301">
        <v>0</v>
      </c>
      <c r="BC301">
        <v>0.52959999999999996</v>
      </c>
      <c r="BD301">
        <v>2.1958000000000002</v>
      </c>
      <c r="BE301">
        <v>0</v>
      </c>
      <c r="BF301">
        <v>0.62880000000000003</v>
      </c>
      <c r="BG301">
        <v>1.1147</v>
      </c>
      <c r="BH301">
        <v>0</v>
      </c>
      <c r="BI301">
        <v>2.2174</v>
      </c>
      <c r="BJ301">
        <v>0</v>
      </c>
      <c r="BK301">
        <v>0.80740000000000001</v>
      </c>
      <c r="BL301">
        <v>0.76629999999999998</v>
      </c>
      <c r="BM301">
        <v>5.2999999999999999E-2</v>
      </c>
      <c r="BN301">
        <v>0.99119999999999997</v>
      </c>
      <c r="BO301">
        <v>0.21210000000000001</v>
      </c>
      <c r="BP301">
        <v>3.0409999999999999</v>
      </c>
      <c r="BQ301">
        <v>0</v>
      </c>
      <c r="BR301">
        <v>0.57899999999999996</v>
      </c>
      <c r="BS301">
        <v>0</v>
      </c>
      <c r="BT301">
        <v>0.94399999999999995</v>
      </c>
      <c r="BU301">
        <v>1.3802000000000001</v>
      </c>
      <c r="BV301">
        <v>0</v>
      </c>
      <c r="BW301">
        <v>0.1542</v>
      </c>
      <c r="BX301">
        <v>4.4577999999999998</v>
      </c>
      <c r="BY301">
        <v>0.22670000000000001</v>
      </c>
      <c r="BZ301">
        <v>1.3564000000000001</v>
      </c>
      <c r="CA301">
        <v>0.13420000000000001</v>
      </c>
      <c r="CB301">
        <v>0.48080000000000001</v>
      </c>
      <c r="CC301">
        <v>0</v>
      </c>
      <c r="CD301">
        <v>0.10349999999999999</v>
      </c>
    </row>
    <row r="302" spans="1:82" x14ac:dyDescent="0.3">
      <c r="A302" s="155">
        <v>9013</v>
      </c>
      <c r="B302" t="s">
        <v>1049</v>
      </c>
      <c r="C302" t="s">
        <v>1050</v>
      </c>
      <c r="D302">
        <v>4.37</v>
      </c>
      <c r="E302">
        <v>0</v>
      </c>
      <c r="F302">
        <v>2.56</v>
      </c>
      <c r="G302">
        <v>0</v>
      </c>
      <c r="H302">
        <v>0</v>
      </c>
      <c r="I302">
        <v>0</v>
      </c>
      <c r="J302">
        <v>3.98</v>
      </c>
      <c r="K302">
        <v>0</v>
      </c>
      <c r="L302">
        <v>0</v>
      </c>
      <c r="M302">
        <v>0</v>
      </c>
      <c r="N302">
        <v>0</v>
      </c>
      <c r="O302">
        <v>3.55</v>
      </c>
      <c r="P302">
        <v>0</v>
      </c>
      <c r="Q302">
        <v>24.48</v>
      </c>
      <c r="R302">
        <v>17.71</v>
      </c>
      <c r="S302">
        <v>0</v>
      </c>
      <c r="T302">
        <v>3.25</v>
      </c>
      <c r="U302">
        <v>3.81</v>
      </c>
      <c r="V302">
        <v>8.2100000000000009</v>
      </c>
      <c r="W302">
        <v>0</v>
      </c>
      <c r="X302">
        <v>16.91</v>
      </c>
      <c r="Y302">
        <v>4.25</v>
      </c>
      <c r="Z302">
        <v>5.89</v>
      </c>
      <c r="AA302">
        <v>34.18</v>
      </c>
      <c r="AB302">
        <v>1.89</v>
      </c>
      <c r="AC302">
        <v>5.0599999999999996</v>
      </c>
      <c r="AD302">
        <v>3.54</v>
      </c>
      <c r="AE302">
        <v>18.29</v>
      </c>
      <c r="AF302">
        <v>19.16</v>
      </c>
      <c r="AG302">
        <v>5.14</v>
      </c>
      <c r="AH302">
        <v>0</v>
      </c>
      <c r="AI302">
        <v>4.3899999999999997</v>
      </c>
      <c r="AJ302">
        <v>11.62</v>
      </c>
      <c r="AK302">
        <v>12.19</v>
      </c>
      <c r="AL302">
        <v>0</v>
      </c>
      <c r="AM302">
        <v>2.73</v>
      </c>
      <c r="AN302">
        <v>2.71</v>
      </c>
      <c r="AO302">
        <v>0.93</v>
      </c>
      <c r="AP302">
        <v>0</v>
      </c>
      <c r="AQ302">
        <v>0</v>
      </c>
      <c r="AR302">
        <v>5.87</v>
      </c>
      <c r="AS302">
        <v>0</v>
      </c>
      <c r="AT302">
        <v>1.29</v>
      </c>
      <c r="AU302">
        <v>0</v>
      </c>
      <c r="AV302">
        <v>23.3</v>
      </c>
      <c r="AW302">
        <v>0</v>
      </c>
      <c r="AX302">
        <v>7.3</v>
      </c>
      <c r="AY302">
        <v>37.590000000000003</v>
      </c>
      <c r="AZ302">
        <v>11.28</v>
      </c>
      <c r="BA302">
        <v>3.76</v>
      </c>
      <c r="BB302">
        <v>0</v>
      </c>
      <c r="BC302">
        <v>9.7799999999999994</v>
      </c>
      <c r="BD302">
        <v>3.86</v>
      </c>
      <c r="BE302">
        <v>0</v>
      </c>
      <c r="BF302">
        <v>3.54</v>
      </c>
      <c r="BG302">
        <v>19.95</v>
      </c>
      <c r="BH302">
        <v>0</v>
      </c>
      <c r="BI302">
        <v>30.82</v>
      </c>
      <c r="BJ302">
        <v>0</v>
      </c>
      <c r="BK302">
        <v>7.05</v>
      </c>
      <c r="BL302">
        <v>4.3899999999999997</v>
      </c>
      <c r="BM302">
        <v>1.07</v>
      </c>
      <c r="BN302">
        <v>7.65</v>
      </c>
      <c r="BO302">
        <v>70.16</v>
      </c>
      <c r="BP302">
        <v>11.15</v>
      </c>
      <c r="BQ302">
        <v>0</v>
      </c>
      <c r="BR302">
        <v>5.43</v>
      </c>
      <c r="BS302">
        <v>0</v>
      </c>
      <c r="BT302">
        <v>8.56</v>
      </c>
      <c r="BU302">
        <v>18.45</v>
      </c>
      <c r="BV302">
        <v>0</v>
      </c>
      <c r="BW302">
        <v>2.86</v>
      </c>
      <c r="BX302">
        <v>83.35</v>
      </c>
      <c r="BY302">
        <v>0.26</v>
      </c>
      <c r="BZ302">
        <v>0.49</v>
      </c>
      <c r="CA302">
        <v>3.78</v>
      </c>
      <c r="CB302">
        <v>17.07</v>
      </c>
      <c r="CC302">
        <v>0</v>
      </c>
      <c r="CD302">
        <v>0</v>
      </c>
    </row>
    <row r="303" spans="1:82" x14ac:dyDescent="0.3">
      <c r="A303" s="155">
        <v>9014</v>
      </c>
      <c r="B303" t="s">
        <v>1051</v>
      </c>
      <c r="C303" t="s">
        <v>1052</v>
      </c>
      <c r="D303">
        <v>0</v>
      </c>
      <c r="E303">
        <v>0</v>
      </c>
      <c r="F303">
        <v>0</v>
      </c>
      <c r="G303">
        <v>0</v>
      </c>
      <c r="H303">
        <v>0</v>
      </c>
      <c r="I303">
        <v>0</v>
      </c>
      <c r="J303">
        <v>0</v>
      </c>
      <c r="K303">
        <v>0</v>
      </c>
      <c r="L303">
        <v>0</v>
      </c>
      <c r="M303">
        <v>0</v>
      </c>
      <c r="N303">
        <v>0</v>
      </c>
      <c r="O303">
        <v>0</v>
      </c>
      <c r="P303">
        <v>0</v>
      </c>
      <c r="Q303">
        <v>14.54</v>
      </c>
      <c r="R303">
        <v>0</v>
      </c>
      <c r="S303">
        <v>0</v>
      </c>
      <c r="T303">
        <v>0</v>
      </c>
      <c r="U303">
        <v>0</v>
      </c>
      <c r="V303">
        <v>8.2100000000000009</v>
      </c>
      <c r="W303">
        <v>0</v>
      </c>
      <c r="X303">
        <v>0</v>
      </c>
      <c r="Y303">
        <v>0</v>
      </c>
      <c r="Z303">
        <v>0</v>
      </c>
      <c r="AA303">
        <v>0</v>
      </c>
      <c r="AB303">
        <v>0</v>
      </c>
      <c r="AC303">
        <v>0</v>
      </c>
      <c r="AD303">
        <v>0</v>
      </c>
      <c r="AE303">
        <v>0</v>
      </c>
      <c r="AF303">
        <v>0</v>
      </c>
      <c r="AG303">
        <v>0</v>
      </c>
      <c r="AH303">
        <v>0</v>
      </c>
      <c r="AI303">
        <v>3.01</v>
      </c>
      <c r="AJ303">
        <v>0</v>
      </c>
      <c r="AK303">
        <v>0</v>
      </c>
      <c r="AL303">
        <v>0</v>
      </c>
      <c r="AM303">
        <v>6.19</v>
      </c>
      <c r="AN303">
        <v>0</v>
      </c>
      <c r="AO303">
        <v>0</v>
      </c>
      <c r="AP303">
        <v>0</v>
      </c>
      <c r="AQ303">
        <v>0</v>
      </c>
      <c r="AR303">
        <v>0</v>
      </c>
      <c r="AS303">
        <v>0</v>
      </c>
      <c r="AT303">
        <v>0</v>
      </c>
      <c r="AU303">
        <v>27.94</v>
      </c>
      <c r="AV303">
        <v>0</v>
      </c>
      <c r="AW303">
        <v>0</v>
      </c>
      <c r="AX303">
        <v>0</v>
      </c>
      <c r="AY303">
        <v>0</v>
      </c>
      <c r="AZ303">
        <v>0</v>
      </c>
      <c r="BA303">
        <v>0</v>
      </c>
      <c r="BB303">
        <v>0</v>
      </c>
      <c r="BC303">
        <v>0</v>
      </c>
      <c r="BD303">
        <v>0</v>
      </c>
      <c r="BE303">
        <v>0</v>
      </c>
      <c r="BF303">
        <v>0</v>
      </c>
      <c r="BG303">
        <v>0</v>
      </c>
      <c r="BH303">
        <v>0</v>
      </c>
      <c r="BI303">
        <v>0</v>
      </c>
      <c r="BJ303">
        <v>0</v>
      </c>
      <c r="BK303">
        <v>0</v>
      </c>
      <c r="BL303">
        <v>7.78</v>
      </c>
      <c r="BM303">
        <v>0</v>
      </c>
      <c r="BN303">
        <v>0</v>
      </c>
      <c r="BO303">
        <v>0</v>
      </c>
      <c r="BP303">
        <v>0</v>
      </c>
      <c r="BQ303">
        <v>0</v>
      </c>
      <c r="BR303">
        <v>9.99</v>
      </c>
      <c r="BS303">
        <v>6.35</v>
      </c>
      <c r="BT303">
        <v>0</v>
      </c>
      <c r="BU303">
        <v>0</v>
      </c>
      <c r="BV303">
        <v>0</v>
      </c>
      <c r="BW303">
        <v>0</v>
      </c>
      <c r="BX303">
        <v>0</v>
      </c>
      <c r="BY303">
        <v>0</v>
      </c>
      <c r="BZ303">
        <v>0</v>
      </c>
      <c r="CA303">
        <v>0</v>
      </c>
      <c r="CB303">
        <v>0</v>
      </c>
      <c r="CC303">
        <v>0</v>
      </c>
      <c r="CD303">
        <v>0</v>
      </c>
    </row>
    <row r="304" spans="1:82" x14ac:dyDescent="0.3">
      <c r="A304" s="155">
        <v>9015</v>
      </c>
      <c r="B304" t="s">
        <v>1725</v>
      </c>
      <c r="C304" t="s">
        <v>351</v>
      </c>
      <c r="D304">
        <v>0</v>
      </c>
      <c r="E304">
        <v>0</v>
      </c>
      <c r="F304">
        <v>0</v>
      </c>
      <c r="G304">
        <v>0</v>
      </c>
      <c r="H304">
        <v>0</v>
      </c>
      <c r="I304">
        <v>0</v>
      </c>
      <c r="J304">
        <v>0</v>
      </c>
      <c r="K304">
        <v>0</v>
      </c>
      <c r="L304">
        <v>0</v>
      </c>
      <c r="M304">
        <v>0</v>
      </c>
      <c r="N304">
        <v>0</v>
      </c>
      <c r="O304">
        <v>0</v>
      </c>
      <c r="P304">
        <v>0</v>
      </c>
      <c r="Q304">
        <v>3269257</v>
      </c>
      <c r="R304">
        <v>0</v>
      </c>
      <c r="S304">
        <v>0</v>
      </c>
      <c r="T304">
        <v>0</v>
      </c>
      <c r="U304">
        <v>0</v>
      </c>
      <c r="V304">
        <v>8556449</v>
      </c>
      <c r="W304">
        <v>0</v>
      </c>
      <c r="X304">
        <v>0</v>
      </c>
      <c r="Y304">
        <v>0</v>
      </c>
      <c r="Z304">
        <v>0</v>
      </c>
      <c r="AA304">
        <v>0</v>
      </c>
      <c r="AB304">
        <v>0</v>
      </c>
      <c r="AC304">
        <v>0</v>
      </c>
      <c r="AD304">
        <v>0</v>
      </c>
      <c r="AE304">
        <v>0</v>
      </c>
      <c r="AF304">
        <v>0</v>
      </c>
      <c r="AG304">
        <v>0</v>
      </c>
      <c r="AH304">
        <v>0</v>
      </c>
      <c r="AI304">
        <v>5497121</v>
      </c>
      <c r="AJ304">
        <v>0</v>
      </c>
      <c r="AK304">
        <v>0</v>
      </c>
      <c r="AL304">
        <v>0</v>
      </c>
      <c r="AM304">
        <v>634453</v>
      </c>
      <c r="AN304">
        <v>0</v>
      </c>
      <c r="AO304">
        <v>0</v>
      </c>
      <c r="AP304">
        <v>0</v>
      </c>
      <c r="AQ304">
        <v>0</v>
      </c>
      <c r="AR304">
        <v>0</v>
      </c>
      <c r="AS304">
        <v>0</v>
      </c>
      <c r="AT304">
        <v>0</v>
      </c>
      <c r="AU304">
        <v>3862</v>
      </c>
      <c r="AV304">
        <v>0</v>
      </c>
      <c r="AW304">
        <v>0</v>
      </c>
      <c r="AX304">
        <v>0</v>
      </c>
      <c r="AY304">
        <v>0</v>
      </c>
      <c r="AZ304">
        <v>0</v>
      </c>
      <c r="BA304">
        <v>0</v>
      </c>
      <c r="BB304">
        <v>0</v>
      </c>
      <c r="BC304">
        <v>0</v>
      </c>
      <c r="BD304">
        <v>0</v>
      </c>
      <c r="BE304">
        <v>0</v>
      </c>
      <c r="BF304">
        <v>0</v>
      </c>
      <c r="BG304">
        <v>0</v>
      </c>
      <c r="BH304">
        <v>0</v>
      </c>
      <c r="BI304">
        <v>0</v>
      </c>
      <c r="BJ304">
        <v>0</v>
      </c>
      <c r="BK304">
        <v>0</v>
      </c>
      <c r="BL304">
        <v>76374</v>
      </c>
      <c r="BM304">
        <v>0</v>
      </c>
      <c r="BN304">
        <v>0</v>
      </c>
      <c r="BO304">
        <v>0</v>
      </c>
      <c r="BP304">
        <v>0</v>
      </c>
      <c r="BQ304">
        <v>0</v>
      </c>
      <c r="BR304">
        <v>575495</v>
      </c>
      <c r="BS304">
        <v>1389853</v>
      </c>
      <c r="BT304">
        <v>0</v>
      </c>
      <c r="BU304">
        <v>0</v>
      </c>
      <c r="BV304">
        <v>0</v>
      </c>
      <c r="BW304">
        <v>0</v>
      </c>
      <c r="BX304">
        <v>0</v>
      </c>
      <c r="BY304">
        <v>0</v>
      </c>
      <c r="BZ304">
        <v>0</v>
      </c>
      <c r="CA304">
        <v>0</v>
      </c>
      <c r="CB304">
        <v>0</v>
      </c>
      <c r="CC304">
        <v>0</v>
      </c>
      <c r="CD304">
        <v>0</v>
      </c>
    </row>
    <row r="305" spans="1:89" x14ac:dyDescent="0.3">
      <c r="A305" s="155">
        <v>9016</v>
      </c>
      <c r="B305" t="s">
        <v>1726</v>
      </c>
      <c r="C305" t="s">
        <v>351</v>
      </c>
      <c r="D305">
        <v>0</v>
      </c>
      <c r="E305">
        <v>0</v>
      </c>
      <c r="F305">
        <v>0</v>
      </c>
      <c r="G305">
        <v>0</v>
      </c>
      <c r="H305">
        <v>0</v>
      </c>
      <c r="I305">
        <v>0</v>
      </c>
      <c r="J305">
        <v>0</v>
      </c>
      <c r="K305">
        <v>0</v>
      </c>
      <c r="L305">
        <v>0</v>
      </c>
      <c r="M305">
        <v>0</v>
      </c>
      <c r="N305">
        <v>0</v>
      </c>
      <c r="O305">
        <v>0</v>
      </c>
      <c r="P305">
        <v>0</v>
      </c>
      <c r="Q305">
        <v>1.4691000000000001</v>
      </c>
      <c r="R305">
        <v>0</v>
      </c>
      <c r="S305">
        <v>0</v>
      </c>
      <c r="T305">
        <v>0</v>
      </c>
      <c r="U305">
        <v>0</v>
      </c>
      <c r="V305">
        <v>0.84660000000000002</v>
      </c>
      <c r="W305">
        <v>0</v>
      </c>
      <c r="X305">
        <v>0</v>
      </c>
      <c r="Y305">
        <v>0</v>
      </c>
      <c r="Z305">
        <v>0</v>
      </c>
      <c r="AA305">
        <v>0</v>
      </c>
      <c r="AB305">
        <v>0</v>
      </c>
      <c r="AC305">
        <v>0</v>
      </c>
      <c r="AD305">
        <v>0</v>
      </c>
      <c r="AE305">
        <v>0</v>
      </c>
      <c r="AF305">
        <v>0</v>
      </c>
      <c r="AG305">
        <v>0</v>
      </c>
      <c r="AH305">
        <v>0</v>
      </c>
      <c r="AI305">
        <v>0.36359999999999998</v>
      </c>
      <c r="AJ305">
        <v>0</v>
      </c>
      <c r="AK305">
        <v>0</v>
      </c>
      <c r="AL305">
        <v>0</v>
      </c>
      <c r="AM305">
        <v>0.65810000000000002</v>
      </c>
      <c r="AN305">
        <v>0</v>
      </c>
      <c r="AO305">
        <v>0</v>
      </c>
      <c r="AP305">
        <v>0</v>
      </c>
      <c r="AQ305">
        <v>0</v>
      </c>
      <c r="AR305">
        <v>0</v>
      </c>
      <c r="AS305">
        <v>0</v>
      </c>
      <c r="AT305">
        <v>0</v>
      </c>
      <c r="AU305">
        <v>1.6445000000000001</v>
      </c>
      <c r="AV305">
        <v>0</v>
      </c>
      <c r="AW305">
        <v>0</v>
      </c>
      <c r="AX305">
        <v>0</v>
      </c>
      <c r="AY305">
        <v>0</v>
      </c>
      <c r="AZ305">
        <v>0</v>
      </c>
      <c r="BA305">
        <v>0</v>
      </c>
      <c r="BB305">
        <v>0</v>
      </c>
      <c r="BC305">
        <v>0</v>
      </c>
      <c r="BD305">
        <v>0</v>
      </c>
      <c r="BE305">
        <v>0</v>
      </c>
      <c r="BF305">
        <v>0</v>
      </c>
      <c r="BG305">
        <v>0</v>
      </c>
      <c r="BH305">
        <v>0</v>
      </c>
      <c r="BI305">
        <v>0</v>
      </c>
      <c r="BJ305">
        <v>0</v>
      </c>
      <c r="BK305">
        <v>0</v>
      </c>
      <c r="BL305">
        <v>1.4666999999999999</v>
      </c>
      <c r="BM305">
        <v>0</v>
      </c>
      <c r="BN305">
        <v>0</v>
      </c>
      <c r="BO305">
        <v>0</v>
      </c>
      <c r="BP305">
        <v>0</v>
      </c>
      <c r="BQ305">
        <v>0</v>
      </c>
      <c r="BR305">
        <v>0.52769999999999995</v>
      </c>
      <c r="BS305">
        <v>0.46079999999999999</v>
      </c>
      <c r="BT305">
        <v>0</v>
      </c>
      <c r="BU305">
        <v>0</v>
      </c>
      <c r="BV305">
        <v>0</v>
      </c>
      <c r="BW305">
        <v>0</v>
      </c>
      <c r="BX305">
        <v>0</v>
      </c>
      <c r="BY305">
        <v>0</v>
      </c>
      <c r="BZ305">
        <v>0</v>
      </c>
      <c r="CA305">
        <v>0</v>
      </c>
      <c r="CB305">
        <v>0</v>
      </c>
      <c r="CC305">
        <v>0</v>
      </c>
      <c r="CD305">
        <v>0</v>
      </c>
    </row>
    <row r="306" spans="1:89" x14ac:dyDescent="0.3">
      <c r="A306" s="155">
        <v>9017</v>
      </c>
      <c r="B306" t="s">
        <v>1053</v>
      </c>
      <c r="C306" t="s">
        <v>1054</v>
      </c>
      <c r="D306">
        <v>0</v>
      </c>
      <c r="E306">
        <v>0</v>
      </c>
      <c r="F306">
        <v>0</v>
      </c>
      <c r="G306">
        <v>0</v>
      </c>
      <c r="H306">
        <v>0</v>
      </c>
      <c r="I306">
        <v>0</v>
      </c>
      <c r="J306">
        <v>0</v>
      </c>
      <c r="K306">
        <v>0</v>
      </c>
      <c r="L306">
        <v>0</v>
      </c>
      <c r="M306">
        <v>0</v>
      </c>
      <c r="N306">
        <v>0</v>
      </c>
      <c r="O306">
        <v>0</v>
      </c>
      <c r="P306">
        <v>0</v>
      </c>
      <c r="Q306">
        <v>14.54</v>
      </c>
      <c r="R306">
        <v>0</v>
      </c>
      <c r="S306">
        <v>0</v>
      </c>
      <c r="T306">
        <v>0</v>
      </c>
      <c r="U306">
        <v>0</v>
      </c>
      <c r="V306">
        <v>8.2100000000000009</v>
      </c>
      <c r="W306">
        <v>0</v>
      </c>
      <c r="X306">
        <v>0</v>
      </c>
      <c r="Y306">
        <v>0</v>
      </c>
      <c r="Z306">
        <v>0</v>
      </c>
      <c r="AA306">
        <v>0</v>
      </c>
      <c r="AB306">
        <v>0</v>
      </c>
      <c r="AC306">
        <v>0</v>
      </c>
      <c r="AD306">
        <v>0</v>
      </c>
      <c r="AE306">
        <v>0</v>
      </c>
      <c r="AF306">
        <v>0</v>
      </c>
      <c r="AG306">
        <v>0</v>
      </c>
      <c r="AH306">
        <v>0</v>
      </c>
      <c r="AI306">
        <v>3.01</v>
      </c>
      <c r="AJ306">
        <v>0</v>
      </c>
      <c r="AK306">
        <v>0</v>
      </c>
      <c r="AL306">
        <v>0</v>
      </c>
      <c r="AM306">
        <v>6.19</v>
      </c>
      <c r="AN306">
        <v>0</v>
      </c>
      <c r="AO306">
        <v>0</v>
      </c>
      <c r="AP306">
        <v>0</v>
      </c>
      <c r="AQ306">
        <v>0</v>
      </c>
      <c r="AR306">
        <v>0</v>
      </c>
      <c r="AS306">
        <v>0</v>
      </c>
      <c r="AT306">
        <v>0</v>
      </c>
      <c r="AU306">
        <v>27.94</v>
      </c>
      <c r="AV306">
        <v>0</v>
      </c>
      <c r="AW306">
        <v>0</v>
      </c>
      <c r="AX306">
        <v>0</v>
      </c>
      <c r="AY306">
        <v>0</v>
      </c>
      <c r="AZ306">
        <v>0</v>
      </c>
      <c r="BA306">
        <v>0</v>
      </c>
      <c r="BB306">
        <v>0</v>
      </c>
      <c r="BC306">
        <v>0</v>
      </c>
      <c r="BD306">
        <v>0</v>
      </c>
      <c r="BE306">
        <v>0</v>
      </c>
      <c r="BF306">
        <v>0</v>
      </c>
      <c r="BG306">
        <v>0</v>
      </c>
      <c r="BH306">
        <v>0</v>
      </c>
      <c r="BI306">
        <v>0</v>
      </c>
      <c r="BJ306">
        <v>0</v>
      </c>
      <c r="BK306">
        <v>0</v>
      </c>
      <c r="BL306">
        <v>7.78</v>
      </c>
      <c r="BM306">
        <v>0</v>
      </c>
      <c r="BN306">
        <v>0</v>
      </c>
      <c r="BO306">
        <v>0</v>
      </c>
      <c r="BP306">
        <v>0</v>
      </c>
      <c r="BQ306">
        <v>0</v>
      </c>
      <c r="BR306">
        <v>9.99</v>
      </c>
      <c r="BS306">
        <v>6.35</v>
      </c>
      <c r="BT306">
        <v>0</v>
      </c>
      <c r="BU306">
        <v>0</v>
      </c>
      <c r="BV306">
        <v>0</v>
      </c>
      <c r="BW306">
        <v>0</v>
      </c>
      <c r="BX306">
        <v>0</v>
      </c>
      <c r="BY306">
        <v>0</v>
      </c>
      <c r="BZ306">
        <v>0</v>
      </c>
      <c r="CA306">
        <v>0</v>
      </c>
      <c r="CB306">
        <v>0</v>
      </c>
      <c r="CC306">
        <v>0</v>
      </c>
      <c r="CD306">
        <v>0</v>
      </c>
    </row>
    <row r="307" spans="1:89" x14ac:dyDescent="0.3">
      <c r="A307" s="155">
        <v>9018</v>
      </c>
      <c r="B307" t="s">
        <v>1055</v>
      </c>
      <c r="C307" t="s">
        <v>1056</v>
      </c>
      <c r="D307">
        <v>71865</v>
      </c>
      <c r="E307">
        <v>6984</v>
      </c>
      <c r="F307">
        <v>35382</v>
      </c>
      <c r="G307">
        <v>107014</v>
      </c>
      <c r="H307">
        <v>62428</v>
      </c>
      <c r="I307">
        <v>18514</v>
      </c>
      <c r="J307">
        <v>322</v>
      </c>
      <c r="K307">
        <v>1996</v>
      </c>
      <c r="L307">
        <v>6482</v>
      </c>
      <c r="M307">
        <v>1218202</v>
      </c>
      <c r="N307">
        <v>39205</v>
      </c>
      <c r="O307">
        <v>472333</v>
      </c>
      <c r="P307">
        <v>2011</v>
      </c>
      <c r="Q307">
        <v>4411757</v>
      </c>
      <c r="R307">
        <v>143018</v>
      </c>
      <c r="S307">
        <v>4092</v>
      </c>
      <c r="T307">
        <v>15098330</v>
      </c>
      <c r="U307">
        <v>2135132</v>
      </c>
      <c r="V307">
        <v>5216381</v>
      </c>
      <c r="W307">
        <v>5316677</v>
      </c>
      <c r="X307">
        <v>22361</v>
      </c>
      <c r="Y307">
        <v>1225587</v>
      </c>
      <c r="Z307">
        <v>32504</v>
      </c>
      <c r="AA307">
        <v>1354991</v>
      </c>
      <c r="AB307">
        <v>232349</v>
      </c>
      <c r="AC307">
        <v>147229</v>
      </c>
      <c r="AD307">
        <v>42516</v>
      </c>
      <c r="AE307">
        <v>145396</v>
      </c>
      <c r="AF307">
        <v>4490072</v>
      </c>
      <c r="AG307">
        <v>347220</v>
      </c>
      <c r="AH307">
        <v>11958</v>
      </c>
      <c r="AI307">
        <v>11227336</v>
      </c>
      <c r="AJ307">
        <v>14310</v>
      </c>
      <c r="AK307">
        <v>9169</v>
      </c>
      <c r="AL307">
        <v>0</v>
      </c>
      <c r="AM307">
        <v>2054755</v>
      </c>
      <c r="AN307">
        <v>30258</v>
      </c>
      <c r="AO307">
        <v>30036</v>
      </c>
      <c r="AP307">
        <v>0</v>
      </c>
      <c r="AQ307">
        <v>786919</v>
      </c>
      <c r="AR307">
        <v>336605</v>
      </c>
      <c r="AS307">
        <v>20677</v>
      </c>
      <c r="AT307">
        <v>97184</v>
      </c>
      <c r="AU307">
        <v>16678</v>
      </c>
      <c r="AV307">
        <v>340036</v>
      </c>
      <c r="AW307">
        <v>306985</v>
      </c>
      <c r="AX307">
        <v>35409</v>
      </c>
      <c r="AY307">
        <v>2557824</v>
      </c>
      <c r="AZ307">
        <v>129621</v>
      </c>
      <c r="BA307">
        <v>78484</v>
      </c>
      <c r="BB307">
        <v>0</v>
      </c>
      <c r="BC307">
        <v>44927</v>
      </c>
      <c r="BD307">
        <v>750813</v>
      </c>
      <c r="BE307">
        <v>2846</v>
      </c>
      <c r="BF307">
        <v>2804</v>
      </c>
      <c r="BG307">
        <v>13361</v>
      </c>
      <c r="BH307">
        <v>1121</v>
      </c>
      <c r="BI307">
        <v>2862</v>
      </c>
      <c r="BJ307">
        <v>82516</v>
      </c>
      <c r="BK307">
        <v>973721</v>
      </c>
      <c r="BL307">
        <v>23815</v>
      </c>
      <c r="BM307">
        <v>126337</v>
      </c>
      <c r="BN307">
        <v>368823</v>
      </c>
      <c r="BO307">
        <v>105533</v>
      </c>
      <c r="BP307">
        <v>107062</v>
      </c>
      <c r="BQ307">
        <v>1314991</v>
      </c>
      <c r="BR307">
        <v>48334</v>
      </c>
      <c r="BS307">
        <v>2029900</v>
      </c>
      <c r="BT307">
        <v>26953</v>
      </c>
      <c r="BU307">
        <v>370047</v>
      </c>
      <c r="BV307">
        <v>50002</v>
      </c>
      <c r="BW307">
        <v>187489</v>
      </c>
      <c r="BX307">
        <v>49597</v>
      </c>
      <c r="BY307">
        <v>2229</v>
      </c>
      <c r="BZ307">
        <v>117574</v>
      </c>
      <c r="CA307">
        <v>8136</v>
      </c>
      <c r="CB307">
        <v>109860</v>
      </c>
      <c r="CC307">
        <v>0</v>
      </c>
      <c r="CD307">
        <v>20738</v>
      </c>
    </row>
    <row r="308" spans="1:89" x14ac:dyDescent="0.3">
      <c r="A308" s="155">
        <v>9019</v>
      </c>
      <c r="B308" t="s">
        <v>1057</v>
      </c>
      <c r="C308" t="s">
        <v>1058</v>
      </c>
      <c r="D308">
        <v>71865</v>
      </c>
      <c r="E308">
        <v>6984</v>
      </c>
      <c r="F308">
        <v>35382</v>
      </c>
      <c r="G308">
        <v>107014</v>
      </c>
      <c r="H308">
        <v>62428</v>
      </c>
      <c r="I308">
        <v>18514</v>
      </c>
      <c r="J308">
        <v>322</v>
      </c>
      <c r="K308">
        <v>1996</v>
      </c>
      <c r="L308">
        <v>6482</v>
      </c>
      <c r="M308">
        <v>1218202</v>
      </c>
      <c r="N308">
        <v>39205</v>
      </c>
      <c r="O308">
        <v>472333</v>
      </c>
      <c r="P308">
        <v>2011</v>
      </c>
      <c r="Q308">
        <v>4411757</v>
      </c>
      <c r="R308">
        <v>143018</v>
      </c>
      <c r="S308">
        <v>4092</v>
      </c>
      <c r="T308">
        <v>15098330</v>
      </c>
      <c r="U308">
        <v>2135132</v>
      </c>
      <c r="V308">
        <v>5216381</v>
      </c>
      <c r="W308">
        <v>5316677</v>
      </c>
      <c r="X308">
        <v>22361</v>
      </c>
      <c r="Y308">
        <v>1225587</v>
      </c>
      <c r="Z308">
        <v>32504</v>
      </c>
      <c r="AA308">
        <v>1354991</v>
      </c>
      <c r="AB308">
        <v>232349</v>
      </c>
      <c r="AC308">
        <v>147229</v>
      </c>
      <c r="AD308">
        <v>42516</v>
      </c>
      <c r="AE308">
        <v>145396</v>
      </c>
      <c r="AF308">
        <v>4490072</v>
      </c>
      <c r="AG308">
        <v>347220</v>
      </c>
      <c r="AH308">
        <v>11958</v>
      </c>
      <c r="AI308">
        <v>11227336</v>
      </c>
      <c r="AJ308">
        <v>14310</v>
      </c>
      <c r="AK308">
        <v>9169</v>
      </c>
      <c r="AL308">
        <v>0</v>
      </c>
      <c r="AM308">
        <v>2054755</v>
      </c>
      <c r="AN308">
        <v>30258</v>
      </c>
      <c r="AO308">
        <v>30036</v>
      </c>
      <c r="AP308">
        <v>0</v>
      </c>
      <c r="AQ308">
        <v>786919</v>
      </c>
      <c r="AR308">
        <v>336605</v>
      </c>
      <c r="AS308">
        <v>20677</v>
      </c>
      <c r="AT308">
        <v>97184</v>
      </c>
      <c r="AU308">
        <v>16678</v>
      </c>
      <c r="AV308">
        <v>340036</v>
      </c>
      <c r="AW308">
        <v>306985</v>
      </c>
      <c r="AX308">
        <v>35409</v>
      </c>
      <c r="AY308">
        <v>2557824</v>
      </c>
      <c r="AZ308">
        <v>129621</v>
      </c>
      <c r="BA308">
        <v>78484</v>
      </c>
      <c r="BB308">
        <v>0</v>
      </c>
      <c r="BC308">
        <v>44927</v>
      </c>
      <c r="BD308">
        <v>750813</v>
      </c>
      <c r="BE308">
        <v>2846</v>
      </c>
      <c r="BF308">
        <v>2804</v>
      </c>
      <c r="BG308">
        <v>13361</v>
      </c>
      <c r="BH308">
        <v>1121</v>
      </c>
      <c r="BI308">
        <v>2862</v>
      </c>
      <c r="BJ308">
        <v>82516</v>
      </c>
      <c r="BK308">
        <v>973721</v>
      </c>
      <c r="BL308">
        <v>23815</v>
      </c>
      <c r="BM308">
        <v>126337</v>
      </c>
      <c r="BN308">
        <v>368823</v>
      </c>
      <c r="BO308">
        <v>105533</v>
      </c>
      <c r="BP308">
        <v>107062</v>
      </c>
      <c r="BQ308">
        <v>1314991</v>
      </c>
      <c r="BR308">
        <v>48334</v>
      </c>
      <c r="BS308">
        <v>2029900</v>
      </c>
      <c r="BT308">
        <v>26953</v>
      </c>
      <c r="BU308">
        <v>370047</v>
      </c>
      <c r="BV308">
        <v>50002</v>
      </c>
      <c r="BW308">
        <v>187489</v>
      </c>
      <c r="BX308">
        <v>49597</v>
      </c>
      <c r="BY308">
        <v>2229</v>
      </c>
      <c r="BZ308">
        <v>117574</v>
      </c>
      <c r="CA308">
        <v>8136</v>
      </c>
      <c r="CB308">
        <v>109860</v>
      </c>
      <c r="CC308">
        <v>0</v>
      </c>
      <c r="CD308">
        <v>20738</v>
      </c>
    </row>
    <row r="309" spans="1:89" s="1009" customFormat="1" ht="21.6" customHeight="1" x14ac:dyDescent="0.3">
      <c r="A309" s="1004" t="s">
        <v>1991</v>
      </c>
      <c r="B309" s="1005" t="s">
        <v>1980</v>
      </c>
      <c r="C309" s="1005" t="s">
        <v>1990</v>
      </c>
      <c r="D309" s="1008">
        <f t="shared" ref="D309:AI309" si="0">D295/(D296)</f>
        <v>8.694464705145219E-2</v>
      </c>
      <c r="E309" s="1008">
        <f t="shared" si="0"/>
        <v>3.1362201742204268</v>
      </c>
      <c r="F309" s="1008">
        <f t="shared" si="0"/>
        <v>0.69222815161901452</v>
      </c>
      <c r="G309" s="1008">
        <f t="shared" si="0"/>
        <v>2.5607695982788936</v>
      </c>
      <c r="H309" s="1008">
        <f t="shared" si="0"/>
        <v>5.4031077564997609</v>
      </c>
      <c r="I309" s="1008">
        <f t="shared" si="0"/>
        <v>1.2718145615243728</v>
      </c>
      <c r="J309" s="1008">
        <f t="shared" si="0"/>
        <v>1.5540437589382377</v>
      </c>
      <c r="K309" s="1008">
        <f t="shared" si="0"/>
        <v>3.6929479111688521</v>
      </c>
      <c r="L309" s="1008">
        <f t="shared" si="0"/>
        <v>6.2708435938929146</v>
      </c>
      <c r="M309" s="1008">
        <f t="shared" si="0"/>
        <v>0.48389828249333922</v>
      </c>
      <c r="N309" s="1008">
        <f t="shared" si="0"/>
        <v>1.1724684777356962</v>
      </c>
      <c r="O309" s="1008">
        <f t="shared" si="0"/>
        <v>1.1939451977065858</v>
      </c>
      <c r="P309" s="1008">
        <f t="shared" si="0"/>
        <v>3.0520305075270535</v>
      </c>
      <c r="Q309" s="1008">
        <f t="shared" si="0"/>
        <v>0.72526897481361807</v>
      </c>
      <c r="R309" s="1008">
        <f t="shared" si="0"/>
        <v>0.25974955963709012</v>
      </c>
      <c r="S309" s="1008">
        <f t="shared" si="0"/>
        <v>3.3521170130869899</v>
      </c>
      <c r="T309" s="1008">
        <f t="shared" si="0"/>
        <v>1.0182627461517886</v>
      </c>
      <c r="U309" s="1008">
        <f t="shared" si="0"/>
        <v>0.49312870541992632</v>
      </c>
      <c r="V309" s="1008">
        <f t="shared" si="0"/>
        <v>1.1666675646899547</v>
      </c>
      <c r="W309" s="1008">
        <f t="shared" si="0"/>
        <v>0.55686449632608181</v>
      </c>
      <c r="X309" s="1008">
        <f t="shared" si="0"/>
        <v>0.46016018522432761</v>
      </c>
      <c r="Y309" s="1008">
        <f t="shared" si="0"/>
        <v>0.96205732394933408</v>
      </c>
      <c r="Z309" s="1008">
        <f t="shared" si="0"/>
        <v>1.1872400926488356</v>
      </c>
      <c r="AA309" s="1008">
        <f t="shared" si="0"/>
        <v>1.1017591466779386</v>
      </c>
      <c r="AB309" s="1008">
        <f t="shared" si="0"/>
        <v>0.14759861047965048</v>
      </c>
      <c r="AC309" s="1008">
        <f t="shared" si="0"/>
        <v>1.286538576207918</v>
      </c>
      <c r="AD309" s="1008">
        <f t="shared" si="0"/>
        <v>0.7242844288991116</v>
      </c>
      <c r="AE309" s="1008">
        <f t="shared" si="0"/>
        <v>1.5921346615748821</v>
      </c>
      <c r="AF309" s="1008">
        <f t="shared" si="0"/>
        <v>0.75972040641036176</v>
      </c>
      <c r="AG309" s="1008">
        <f t="shared" si="0"/>
        <v>0.9505987602706073</v>
      </c>
      <c r="AH309" s="1008">
        <f t="shared" si="0"/>
        <v>1.0774463856788539</v>
      </c>
      <c r="AI309" s="1008">
        <f t="shared" si="0"/>
        <v>0.33045934428240625</v>
      </c>
      <c r="AJ309" s="1008">
        <f t="shared" ref="AJ309:BR309" si="1">AJ295/(AJ296)</f>
        <v>6.2537777919800028</v>
      </c>
      <c r="AK309" s="1008">
        <f t="shared" si="1"/>
        <v>1.0808815420320066</v>
      </c>
      <c r="AL309" s="1008" t="e">
        <f t="shared" si="1"/>
        <v>#DIV/0!</v>
      </c>
      <c r="AM309" s="1008">
        <f t="shared" si="1"/>
        <v>0.73578155434398107</v>
      </c>
      <c r="AN309" s="1008">
        <f t="shared" si="1"/>
        <v>0.79926588112056318</v>
      </c>
      <c r="AO309" s="1008">
        <f t="shared" si="1"/>
        <v>1.0518567407949497</v>
      </c>
      <c r="AP309" s="1008">
        <f t="shared" si="1"/>
        <v>2.1206107330000603</v>
      </c>
      <c r="AQ309" s="1008">
        <f t="shared" si="1"/>
        <v>0.67229787737943691</v>
      </c>
      <c r="AR309" s="1008">
        <f t="shared" si="1"/>
        <v>0.9821709675493604</v>
      </c>
      <c r="AS309" s="1008">
        <f t="shared" si="1"/>
        <v>1.3671027008125147</v>
      </c>
      <c r="AT309" s="1008">
        <f t="shared" si="1"/>
        <v>0.65292455204080546</v>
      </c>
      <c r="AU309" s="1008">
        <f t="shared" si="1"/>
        <v>1.3718303035641537</v>
      </c>
      <c r="AV309" s="1008">
        <f t="shared" si="1"/>
        <v>0.99456985141710119</v>
      </c>
      <c r="AW309" s="1008">
        <f t="shared" si="1"/>
        <v>2.345789905512075</v>
      </c>
      <c r="AX309" s="1008">
        <f t="shared" si="1"/>
        <v>0.30579800244875133</v>
      </c>
      <c r="AY309" s="1008">
        <f t="shared" si="1"/>
        <v>2.2318893591048914</v>
      </c>
      <c r="AZ309" s="1008">
        <f t="shared" si="1"/>
        <v>1.8780190474865508</v>
      </c>
      <c r="BA309" s="1008">
        <f t="shared" si="1"/>
        <v>0.82724891929457667</v>
      </c>
      <c r="BB309" s="1008">
        <f t="shared" si="1"/>
        <v>5.5765541413023429</v>
      </c>
      <c r="BC309" s="1008">
        <f t="shared" si="1"/>
        <v>1.7768928568487115</v>
      </c>
      <c r="BD309" s="1008">
        <f t="shared" si="1"/>
        <v>0.74921165884660879</v>
      </c>
      <c r="BE309" s="1008">
        <f t="shared" si="1"/>
        <v>7.422514410938021</v>
      </c>
      <c r="BF309" s="1008">
        <f t="shared" si="1"/>
        <v>2.2515900831690616</v>
      </c>
      <c r="BG309" s="1008">
        <f t="shared" si="1"/>
        <v>0.7109994101505398</v>
      </c>
      <c r="BH309" s="1008">
        <f t="shared" si="1"/>
        <v>4.9249545611584278</v>
      </c>
      <c r="BI309" s="1008">
        <f t="shared" si="1"/>
        <v>1.8305501304754559</v>
      </c>
      <c r="BJ309" s="1008">
        <f t="shared" si="1"/>
        <v>1.1025225067899505</v>
      </c>
      <c r="BK309" s="1008">
        <f t="shared" si="1"/>
        <v>0.54858343045884028</v>
      </c>
      <c r="BL309" s="1008">
        <f t="shared" si="1"/>
        <v>0.58903394024055311</v>
      </c>
      <c r="BM309" s="1008">
        <f t="shared" si="1"/>
        <v>1.7036680851242145E-2</v>
      </c>
      <c r="BN309" s="1008">
        <f t="shared" si="1"/>
        <v>0.48457094933377104</v>
      </c>
      <c r="BO309" s="1008">
        <f t="shared" si="1"/>
        <v>1.0614494284890981</v>
      </c>
      <c r="BP309" s="1008">
        <f t="shared" si="1"/>
        <v>1.5540344309433523</v>
      </c>
      <c r="BQ309" s="1008">
        <f t="shared" si="1"/>
        <v>0.54600773916587331</v>
      </c>
      <c r="BR309" s="1008">
        <f t="shared" si="1"/>
        <v>0.29320199880729608</v>
      </c>
      <c r="BS309" s="1008">
        <f t="shared" ref="BS309:BZ309" si="2">BS295/(BS296)</f>
        <v>1.1418028598646437</v>
      </c>
      <c r="BT309" s="1008">
        <f t="shared" si="2"/>
        <v>0.79280995095672502</v>
      </c>
      <c r="BU309" s="1008">
        <f t="shared" si="2"/>
        <v>1.0593028904568282</v>
      </c>
      <c r="BV309" s="1008">
        <f t="shared" si="2"/>
        <v>0.97256594568071197</v>
      </c>
      <c r="BW309" s="1008">
        <f t="shared" si="2"/>
        <v>0.46723563031338949</v>
      </c>
      <c r="BX309" s="1008">
        <f t="shared" si="2"/>
        <v>2.023589941713388</v>
      </c>
      <c r="BY309" s="1008">
        <f t="shared" si="2"/>
        <v>2.8152237475982291</v>
      </c>
      <c r="BZ309" s="1008">
        <f t="shared" si="2"/>
        <v>0.94835823059232849</v>
      </c>
      <c r="CA309" s="1008">
        <f t="shared" ref="CA309:CD309" si="3">CA295/(CA296)</f>
        <v>1.073762466711921</v>
      </c>
      <c r="CB309" s="1008">
        <f t="shared" si="3"/>
        <v>0.44562208845060197</v>
      </c>
      <c r="CC309" s="1008" t="e">
        <f t="shared" si="3"/>
        <v>#DIV/0!</v>
      </c>
      <c r="CD309" s="1008">
        <f t="shared" si="3"/>
        <v>7.2546469868582024</v>
      </c>
      <c r="CE309" s="1008"/>
      <c r="CF309" s="1008"/>
      <c r="CG309" s="1008"/>
      <c r="CH309" s="1008"/>
      <c r="CI309" s="1008"/>
      <c r="CJ309" s="1008"/>
      <c r="CK309" s="1008"/>
    </row>
    <row r="310" spans="1:89" s="571" customFormat="1" ht="20.399999999999999" customHeight="1" x14ac:dyDescent="0.3">
      <c r="A310" s="570" t="s">
        <v>1950</v>
      </c>
      <c r="B310" s="571" t="s">
        <v>1949</v>
      </c>
      <c r="D310" s="995">
        <f>1-((D146+D147+D148+D149)/(D138+D139+D140+D141))</f>
        <v>0.61878438493894983</v>
      </c>
      <c r="E310" s="995" t="e">
        <f t="shared" ref="E310:BP310" si="4">1-((E146+E147+E148+E149)/(E138+E139+E140+E141))</f>
        <v>#DIV/0!</v>
      </c>
      <c r="F310" s="995">
        <f t="shared" si="4"/>
        <v>0.57819700182541856</v>
      </c>
      <c r="G310" s="995" t="e">
        <f t="shared" si="4"/>
        <v>#DIV/0!</v>
      </c>
      <c r="H310" s="995" t="e">
        <f t="shared" si="4"/>
        <v>#DIV/0!</v>
      </c>
      <c r="I310" s="995" t="e">
        <f t="shared" si="4"/>
        <v>#DIV/0!</v>
      </c>
      <c r="J310" s="995">
        <f t="shared" si="4"/>
        <v>0.69530912052946103</v>
      </c>
      <c r="K310" s="995" t="e">
        <f t="shared" si="4"/>
        <v>#DIV/0!</v>
      </c>
      <c r="L310" s="995" t="e">
        <f t="shared" si="4"/>
        <v>#DIV/0!</v>
      </c>
      <c r="M310" s="995" t="e">
        <f t="shared" si="4"/>
        <v>#DIV/0!</v>
      </c>
      <c r="N310" s="995" t="e">
        <f t="shared" si="4"/>
        <v>#DIV/0!</v>
      </c>
      <c r="O310" s="995">
        <f t="shared" si="4"/>
        <v>0.45565926780635435</v>
      </c>
      <c r="P310" s="995" t="e">
        <f t="shared" si="4"/>
        <v>#DIV/0!</v>
      </c>
      <c r="Q310" s="995">
        <f t="shared" si="4"/>
        <v>0.64594017252353897</v>
      </c>
      <c r="R310" s="995">
        <f t="shared" si="4"/>
        <v>0.35823681328466905</v>
      </c>
      <c r="S310" s="995" t="e">
        <f t="shared" si="4"/>
        <v>#DIV/0!</v>
      </c>
      <c r="T310" s="995">
        <f t="shared" si="4"/>
        <v>0.54953346273642545</v>
      </c>
      <c r="U310" s="995">
        <f t="shared" si="4"/>
        <v>0.62873646632114855</v>
      </c>
      <c r="V310" s="995">
        <f t="shared" si="4"/>
        <v>0.47949965947997231</v>
      </c>
      <c r="W310" s="995" t="e">
        <f t="shared" si="4"/>
        <v>#DIV/0!</v>
      </c>
      <c r="X310" s="995">
        <f t="shared" si="4"/>
        <v>0.66134409388421467</v>
      </c>
      <c r="Y310" s="995">
        <f t="shared" si="4"/>
        <v>0.47193471465868175</v>
      </c>
      <c r="Z310" s="995">
        <f t="shared" si="4"/>
        <v>0.60232062853776469</v>
      </c>
      <c r="AA310" s="995">
        <f t="shared" si="4"/>
        <v>0.4089232815380085</v>
      </c>
      <c r="AB310" s="995">
        <f t="shared" si="4"/>
        <v>0.67090197192011258</v>
      </c>
      <c r="AC310" s="995">
        <f t="shared" si="4"/>
        <v>0.58351723992021676</v>
      </c>
      <c r="AD310" s="995">
        <f t="shared" si="4"/>
        <v>0.53335954285434917</v>
      </c>
      <c r="AE310" s="995">
        <f t="shared" si="4"/>
        <v>0.51591409317621229</v>
      </c>
      <c r="AF310" s="995">
        <f t="shared" si="4"/>
        <v>0.36112505395919747</v>
      </c>
      <c r="AG310" s="995">
        <f t="shared" si="4"/>
        <v>0.39210015259873343</v>
      </c>
      <c r="AH310" s="995" t="e">
        <f t="shared" si="4"/>
        <v>#DIV/0!</v>
      </c>
      <c r="AI310" s="995">
        <f t="shared" si="4"/>
        <v>0.60122554171878972</v>
      </c>
      <c r="AJ310" s="995">
        <f t="shared" si="4"/>
        <v>0.54332452845919754</v>
      </c>
      <c r="AK310" s="995">
        <f t="shared" si="4"/>
        <v>0.46603885374845955</v>
      </c>
      <c r="AL310" s="995" t="e">
        <f t="shared" si="4"/>
        <v>#DIV/0!</v>
      </c>
      <c r="AM310" s="995">
        <f t="shared" si="4"/>
        <v>0.38165682792309785</v>
      </c>
      <c r="AN310" s="995">
        <f t="shared" si="4"/>
        <v>0.24958523802444255</v>
      </c>
      <c r="AO310" s="995">
        <f t="shared" si="4"/>
        <v>0.5920356460523678</v>
      </c>
      <c r="AP310" s="995" t="e">
        <f t="shared" si="4"/>
        <v>#DIV/0!</v>
      </c>
      <c r="AQ310" s="995" t="e">
        <f t="shared" si="4"/>
        <v>#DIV/0!</v>
      </c>
      <c r="AR310" s="995">
        <f t="shared" si="4"/>
        <v>0.44295709057517418</v>
      </c>
      <c r="AS310" s="995" t="e">
        <f t="shared" si="4"/>
        <v>#DIV/0!</v>
      </c>
      <c r="AT310" s="995">
        <f t="shared" si="4"/>
        <v>0.55512240265323776</v>
      </c>
      <c r="AU310" s="995" t="e">
        <f t="shared" si="4"/>
        <v>#DIV/0!</v>
      </c>
      <c r="AV310" s="995">
        <f t="shared" si="4"/>
        <v>0.6669661509785314</v>
      </c>
      <c r="AW310" s="995" t="e">
        <f t="shared" si="4"/>
        <v>#DIV/0!</v>
      </c>
      <c r="AX310" s="995">
        <f t="shared" si="4"/>
        <v>0.42324614249625236</v>
      </c>
      <c r="AY310" s="995">
        <f t="shared" si="4"/>
        <v>0.59469597811497144</v>
      </c>
      <c r="AZ310" s="995">
        <f t="shared" si="4"/>
        <v>0.52252819808626549</v>
      </c>
      <c r="BA310" s="995">
        <f t="shared" si="4"/>
        <v>0.41640532438498423</v>
      </c>
      <c r="BB310" s="995" t="e">
        <f t="shared" si="4"/>
        <v>#DIV/0!</v>
      </c>
      <c r="BC310" s="995">
        <f t="shared" si="4"/>
        <v>0.53564182393787285</v>
      </c>
      <c r="BD310" s="995">
        <f t="shared" si="4"/>
        <v>0.53670607716622343</v>
      </c>
      <c r="BE310" s="995" t="e">
        <f t="shared" si="4"/>
        <v>#DIV/0!</v>
      </c>
      <c r="BF310" s="995">
        <f t="shared" si="4"/>
        <v>0.62642696114721741</v>
      </c>
      <c r="BG310" s="995">
        <f t="shared" si="4"/>
        <v>0.60614109780171121</v>
      </c>
      <c r="BH310" s="995" t="e">
        <f t="shared" si="4"/>
        <v>#DIV/0!</v>
      </c>
      <c r="BI310" s="995">
        <f t="shared" si="4"/>
        <v>0.61618349641170245</v>
      </c>
      <c r="BJ310" s="995" t="e">
        <f t="shared" si="4"/>
        <v>#DIV/0!</v>
      </c>
      <c r="BK310" s="995">
        <f t="shared" si="4"/>
        <v>0.61677440647236947</v>
      </c>
      <c r="BL310" s="995">
        <f t="shared" si="4"/>
        <v>0.66144400615862531</v>
      </c>
      <c r="BM310" s="995">
        <f t="shared" si="4"/>
        <v>0.32476345110954907</v>
      </c>
      <c r="BN310" s="995">
        <f t="shared" si="4"/>
        <v>0.62264317727300933</v>
      </c>
      <c r="BO310" s="995">
        <f t="shared" si="4"/>
        <v>0.40200274960284765</v>
      </c>
      <c r="BP310" s="995">
        <f t="shared" si="4"/>
        <v>0.30682005283089109</v>
      </c>
      <c r="BQ310" s="995" t="e">
        <f t="shared" ref="BQ310:BR310" si="5">1-((BQ146+BQ147+BQ148+BQ149)/(BQ138+BQ139+BQ140+BQ141))</f>
        <v>#DIV/0!</v>
      </c>
      <c r="BR310" s="995">
        <f t="shared" si="5"/>
        <v>0.41815954490433982</v>
      </c>
      <c r="BS310" s="995" t="e">
        <f t="shared" ref="BS310:BZ310" si="6">1-((BS146+BS147+BS148+BS149)/(BS138+BS139+BS140+BS141))</f>
        <v>#DIV/0!</v>
      </c>
      <c r="BT310" s="995">
        <f t="shared" si="6"/>
        <v>0.55133724618619806</v>
      </c>
      <c r="BU310" s="995">
        <f t="shared" si="6"/>
        <v>0.47660601507298894</v>
      </c>
      <c r="BV310" s="995" t="e">
        <f t="shared" si="6"/>
        <v>#DIV/0!</v>
      </c>
      <c r="BW310" s="995">
        <f t="shared" si="6"/>
        <v>0.55531482753973183</v>
      </c>
      <c r="BX310" s="995">
        <f t="shared" si="6"/>
        <v>0.58738521222389417</v>
      </c>
      <c r="BY310" s="995">
        <f t="shared" si="6"/>
        <v>0.73599999999999999</v>
      </c>
      <c r="BZ310" s="995">
        <f t="shared" si="6"/>
        <v>0.55413399073408853</v>
      </c>
      <c r="CA310" s="995">
        <f t="shared" ref="CA310:CD310" si="7">1-((CA146+CA147+CA148+CA149)/(CA138+CA139+CA140+CA141))</f>
        <v>0.71252639327816469</v>
      </c>
      <c r="CB310" s="995">
        <f t="shared" si="7"/>
        <v>0.47833737969329726</v>
      </c>
      <c r="CC310" s="995" t="e">
        <f t="shared" si="7"/>
        <v>#DIV/0!</v>
      </c>
      <c r="CD310" s="995">
        <f t="shared" si="7"/>
        <v>0.63484390081003861</v>
      </c>
      <c r="CE310" s="995"/>
      <c r="CF310" s="995"/>
      <c r="CG310" s="995"/>
      <c r="CH310" s="995"/>
      <c r="CI310" s="995"/>
      <c r="CJ310" s="995"/>
      <c r="CK310" s="995"/>
    </row>
    <row r="313" spans="1:89" x14ac:dyDescent="0.3">
      <c r="D313" s="581">
        <f t="shared" ref="D313:U313" si="8">D297-D309</f>
        <v>-4.4647051452184616E-5</v>
      </c>
      <c r="E313" s="581">
        <f t="shared" si="8"/>
        <v>-2.0174220426660838E-5</v>
      </c>
      <c r="F313" s="581">
        <f t="shared" si="8"/>
        <v>-2.8151619014482598E-5</v>
      </c>
      <c r="G313" s="581">
        <f t="shared" si="8"/>
        <v>3.0401721106354529E-5</v>
      </c>
      <c r="H313" s="581">
        <f t="shared" si="8"/>
        <v>-7.7564997607026953E-6</v>
      </c>
      <c r="I313" s="581">
        <f t="shared" si="8"/>
        <v>-1.4561524372735946E-5</v>
      </c>
      <c r="J313" s="581">
        <f t="shared" si="8"/>
        <v>-4.3758938237603573E-5</v>
      </c>
      <c r="K313" s="581">
        <f t="shared" si="8"/>
        <v>-4.7911168852277086E-5</v>
      </c>
      <c r="L313" s="581">
        <f t="shared" si="8"/>
        <v>-4.3593892914195465E-5</v>
      </c>
      <c r="M313" s="581">
        <f t="shared" si="8"/>
        <v>1.7175066607810763E-6</v>
      </c>
      <c r="N313" s="581">
        <f t="shared" si="8"/>
        <v>3.1522264303918135E-5</v>
      </c>
      <c r="O313" s="581">
        <f t="shared" si="8"/>
        <v>-4.5197706585842212E-5</v>
      </c>
      <c r="P313" s="581">
        <f t="shared" si="8"/>
        <v>-3.0507527053469374E-5</v>
      </c>
      <c r="Q313" s="581">
        <f t="shared" si="8"/>
        <v>3.1025186381872238E-5</v>
      </c>
      <c r="R313" s="581">
        <f t="shared" si="8"/>
        <v>-4.9559637090135222E-5</v>
      </c>
      <c r="S313" s="581">
        <f t="shared" si="8"/>
        <v>-1.7013086989869919E-5</v>
      </c>
      <c r="T313" s="581">
        <f t="shared" si="8"/>
        <v>3.7253848211404872E-5</v>
      </c>
      <c r="U313" s="581">
        <f t="shared" si="8"/>
        <v>-2.8705419926333686E-5</v>
      </c>
      <c r="W313" s="581">
        <f>W297-W309</f>
        <v>3.5503673918135803E-5</v>
      </c>
      <c r="X313" s="581">
        <f>X297-X309</f>
        <v>3.981477567238656E-5</v>
      </c>
      <c r="Y313" s="581">
        <f>Y297-Y309</f>
        <v>4.267605066587965E-5</v>
      </c>
      <c r="AA313" s="581">
        <f t="shared" ref="AA313:AT313" si="9">AA297-AA309</f>
        <v>4.08533220612739E-5</v>
      </c>
      <c r="AB313" s="581">
        <f t="shared" si="9"/>
        <v>1.3895203495317698E-6</v>
      </c>
      <c r="AC313" s="581">
        <f t="shared" si="9"/>
        <v>-3.8576207918028516E-5</v>
      </c>
      <c r="AD313" s="581">
        <f t="shared" si="9"/>
        <v>1.5571100888456257E-5</v>
      </c>
      <c r="AE313" s="581">
        <f t="shared" si="9"/>
        <v>-3.4661574882077772E-5</v>
      </c>
      <c r="AF313" s="581">
        <f t="shared" si="9"/>
        <v>-2.040641036171742E-5</v>
      </c>
      <c r="AG313" s="581">
        <f t="shared" si="9"/>
        <v>1.2397293926991182E-6</v>
      </c>
      <c r="AH313" s="581">
        <f t="shared" si="9"/>
        <v>-4.638567885395517E-5</v>
      </c>
      <c r="AI313" s="581">
        <f t="shared" si="9"/>
        <v>4.0655717593762741E-5</v>
      </c>
      <c r="AJ313" s="581">
        <f t="shared" si="9"/>
        <v>2.2208019997194128E-5</v>
      </c>
      <c r="AK313" s="581">
        <f t="shared" si="9"/>
        <v>1.8457967993379398E-5</v>
      </c>
      <c r="AL313" s="581" t="e">
        <f t="shared" si="9"/>
        <v>#DIV/0!</v>
      </c>
      <c r="AM313" s="581">
        <f t="shared" si="9"/>
        <v>1.8445656018939438E-5</v>
      </c>
      <c r="AN313" s="581">
        <f t="shared" si="9"/>
        <v>3.4118879436828564E-5</v>
      </c>
      <c r="AO313" s="581">
        <f t="shared" si="9"/>
        <v>4.3259205050327765E-5</v>
      </c>
      <c r="AP313" s="581">
        <f t="shared" si="9"/>
        <v>-1.0733000060270115E-5</v>
      </c>
      <c r="AQ313" s="581">
        <f t="shared" si="9"/>
        <v>2.1226205630942019E-6</v>
      </c>
      <c r="AR313" s="581">
        <f t="shared" si="9"/>
        <v>2.903245063956561E-5</v>
      </c>
      <c r="AS313" s="581">
        <f t="shared" si="9"/>
        <v>-2.7008125147442996E-6</v>
      </c>
      <c r="AT313" s="581">
        <f t="shared" si="9"/>
        <v>-2.4552040805425612E-5</v>
      </c>
      <c r="AV313" s="581">
        <f t="shared" ref="AV313:BZ313" si="10">AV297-AV309</f>
        <v>3.014858289884792E-5</v>
      </c>
      <c r="AW313" s="581">
        <f t="shared" si="10"/>
        <v>1.0094487925105255E-5</v>
      </c>
      <c r="AX313" s="581">
        <f t="shared" si="10"/>
        <v>1.9975512486891667E-6</v>
      </c>
      <c r="AY313" s="581">
        <f t="shared" si="10"/>
        <v>1.0640895108604553E-5</v>
      </c>
      <c r="AZ313" s="581">
        <f t="shared" si="10"/>
        <v>-1.9047486550904935E-5</v>
      </c>
      <c r="BA313" s="581">
        <f t="shared" si="10"/>
        <v>-4.8919294576621475E-5</v>
      </c>
      <c r="BB313" s="581">
        <f t="shared" si="10"/>
        <v>4.5858697657052971E-5</v>
      </c>
      <c r="BC313" s="581">
        <f t="shared" si="10"/>
        <v>7.1431512884689852E-6</v>
      </c>
      <c r="BD313" s="581">
        <f t="shared" si="10"/>
        <v>-1.165884660880856E-5</v>
      </c>
      <c r="BE313" s="581">
        <f t="shared" si="10"/>
        <v>-1.4410938020681385E-5</v>
      </c>
      <c r="BF313" s="581">
        <f t="shared" si="10"/>
        <v>9.9168309382058339E-6</v>
      </c>
      <c r="BG313" s="581">
        <f t="shared" si="10"/>
        <v>5.8984946016416018E-7</v>
      </c>
      <c r="BH313" s="581">
        <f t="shared" si="10"/>
        <v>4.5438841572043032E-5</v>
      </c>
      <c r="BI313" s="581">
        <f t="shared" si="10"/>
        <v>4.9869524544110533E-5</v>
      </c>
      <c r="BJ313" s="581">
        <f t="shared" si="10"/>
        <v>-2.2506789950416106E-5</v>
      </c>
      <c r="BK313" s="581">
        <f t="shared" si="10"/>
        <v>1.6569541159694445E-5</v>
      </c>
      <c r="BL313" s="581">
        <f t="shared" si="10"/>
        <v>-3.3940240553143042E-5</v>
      </c>
      <c r="BM313" s="581">
        <f t="shared" si="10"/>
        <v>-3.6680851242143486E-5</v>
      </c>
      <c r="BN313" s="581">
        <f t="shared" si="10"/>
        <v>2.9050666228935818E-5</v>
      </c>
      <c r="BO313" s="581">
        <f t="shared" si="10"/>
        <v>-4.9428489098168882E-5</v>
      </c>
      <c r="BP313" s="581">
        <f t="shared" si="10"/>
        <v>-3.4430943352203869E-5</v>
      </c>
      <c r="BQ313" s="581">
        <f t="shared" si="10"/>
        <v>-7.7391658732661739E-6</v>
      </c>
      <c r="BR313" s="581">
        <f t="shared" si="10"/>
        <v>-1.998807296066385E-6</v>
      </c>
      <c r="BS313" s="581">
        <f t="shared" si="10"/>
        <v>-2.859864643767196E-6</v>
      </c>
      <c r="BT313" s="581">
        <f t="shared" si="10"/>
        <v>-9.9509567250688491E-6</v>
      </c>
      <c r="BU313" s="581">
        <f t="shared" si="10"/>
        <v>-2.8904568283305565E-6</v>
      </c>
      <c r="BV313" s="581">
        <f t="shared" si="10"/>
        <v>3.4054319288046031E-5</v>
      </c>
      <c r="BW313" s="581">
        <f t="shared" si="10"/>
        <v>-3.5630313389489743E-5</v>
      </c>
      <c r="BX313" s="581">
        <f t="shared" si="10"/>
        <v>1.0058286612046885E-5</v>
      </c>
      <c r="BY313" s="581">
        <f t="shared" si="10"/>
        <v>-2.3747598229206801E-5</v>
      </c>
      <c r="BZ313" s="581">
        <f t="shared" si="10"/>
        <v>4.1769407671532477E-5</v>
      </c>
      <c r="CA313" s="581"/>
      <c r="CB313" s="581"/>
      <c r="CC313" s="581"/>
      <c r="CD313" s="581"/>
    </row>
    <row r="314" spans="1:89" x14ac:dyDescent="0.3">
      <c r="V314" s="581">
        <f>V297-V309</f>
        <v>3.2435310045375587E-5</v>
      </c>
      <c r="Z314" s="581">
        <f>Z297-Z309</f>
        <v>-4.009264883553243E-5</v>
      </c>
      <c r="AU314" s="581">
        <f>AU297-AU309</f>
        <v>-3.0303564153788543E-5</v>
      </c>
    </row>
  </sheetData>
  <sheetProtection algorithmName="SHA-512" hashValue="j1OuS/LDMRhQ+1G3iTQ2n6A+utYm8fZyusXIqsWFEHhD4CSBIH9EH+3MeYbQ7W+kilcnqYVmpbPWV9b8VFDypA==" saltValue="q0FEWBf6x15kIF8Nca1FNA==" spinCount="100000" sheet="1" objects="1" scenario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T95"/>
  <sheetViews>
    <sheetView topLeftCell="A32" workbookViewId="0">
      <selection activeCell="E32" sqref="E32"/>
    </sheetView>
  </sheetViews>
  <sheetFormatPr defaultColWidth="9.109375" defaultRowHeight="14.4" x14ac:dyDescent="0.3"/>
  <cols>
    <col min="1" max="1" width="28.5546875" style="384" customWidth="1"/>
    <col min="2" max="12" width="9.109375" style="384"/>
    <col min="13" max="13" width="21.6640625" style="384" customWidth="1"/>
    <col min="14" max="14" width="16.88671875" style="384" customWidth="1"/>
    <col min="15" max="16" width="9.109375" style="384"/>
    <col min="17" max="17" width="18.109375" style="384" customWidth="1"/>
    <col min="18" max="18" width="11" style="384" customWidth="1"/>
    <col min="19" max="16384" width="9.109375" style="384"/>
  </cols>
  <sheetData>
    <row r="1" spans="1:20" x14ac:dyDescent="0.3">
      <c r="A1" s="384" t="s">
        <v>814</v>
      </c>
    </row>
    <row r="2" spans="1:20" ht="15" thickBot="1" x14ac:dyDescent="0.35">
      <c r="A2" s="382" t="s">
        <v>836</v>
      </c>
      <c r="B2" s="156">
        <v>50254</v>
      </c>
      <c r="C2" s="380">
        <v>50</v>
      </c>
      <c r="D2" s="50"/>
      <c r="E2" s="50"/>
      <c r="G2" s="384">
        <v>100</v>
      </c>
      <c r="I2" s="384" t="s">
        <v>332</v>
      </c>
    </row>
    <row r="3" spans="1:20" ht="15" customHeight="1" thickBot="1" x14ac:dyDescent="0.35">
      <c r="A3" s="383" t="s">
        <v>837</v>
      </c>
      <c r="B3" s="156">
        <v>50255</v>
      </c>
      <c r="C3" s="380">
        <v>50</v>
      </c>
      <c r="D3" s="49"/>
      <c r="E3" s="50"/>
      <c r="G3" s="384">
        <v>200</v>
      </c>
      <c r="I3" s="384" t="s">
        <v>333</v>
      </c>
      <c r="O3" s="386"/>
      <c r="P3" s="386"/>
      <c r="S3" s="386"/>
      <c r="T3" s="386"/>
    </row>
    <row r="4" spans="1:20" ht="15" customHeight="1" thickBot="1" x14ac:dyDescent="0.35">
      <c r="A4" s="383" t="s">
        <v>1387</v>
      </c>
      <c r="B4" s="156">
        <v>50256</v>
      </c>
      <c r="C4" s="380">
        <v>50</v>
      </c>
      <c r="D4" s="49"/>
      <c r="E4" s="50"/>
      <c r="G4" s="384">
        <v>300</v>
      </c>
      <c r="I4" s="384" t="s">
        <v>334</v>
      </c>
      <c r="O4" s="386"/>
      <c r="P4" s="386"/>
      <c r="S4" s="386"/>
      <c r="T4" s="386"/>
    </row>
    <row r="5" spans="1:20" ht="15" thickBot="1" x14ac:dyDescent="0.35">
      <c r="A5" s="383" t="s">
        <v>1388</v>
      </c>
      <c r="B5" s="156">
        <v>50558</v>
      </c>
      <c r="C5" s="380">
        <v>50</v>
      </c>
      <c r="D5" s="49"/>
      <c r="E5" s="50"/>
      <c r="G5" s="384">
        <v>400</v>
      </c>
      <c r="O5" s="386"/>
      <c r="P5" s="386"/>
      <c r="S5" s="386"/>
      <c r="T5" s="386"/>
    </row>
    <row r="6" spans="1:20" ht="15" thickBot="1" x14ac:dyDescent="0.35">
      <c r="A6" s="383" t="s">
        <v>1389</v>
      </c>
      <c r="B6" s="156">
        <v>50566</v>
      </c>
      <c r="C6" s="380">
        <v>50</v>
      </c>
      <c r="D6" s="49"/>
      <c r="E6" s="50"/>
      <c r="G6" s="384">
        <v>500</v>
      </c>
      <c r="O6" s="386"/>
      <c r="P6" s="386"/>
      <c r="S6" s="386"/>
      <c r="T6" s="386"/>
    </row>
    <row r="7" spans="1:20" ht="15" thickBot="1" x14ac:dyDescent="0.35">
      <c r="A7" s="383" t="s">
        <v>1390</v>
      </c>
      <c r="B7" s="156">
        <v>50562</v>
      </c>
      <c r="C7" s="380">
        <v>50</v>
      </c>
      <c r="D7" s="49"/>
      <c r="E7" s="50"/>
      <c r="O7" s="386"/>
      <c r="P7" s="386"/>
      <c r="S7" s="386"/>
      <c r="T7" s="386"/>
    </row>
    <row r="8" spans="1:20" ht="15" thickBot="1" x14ac:dyDescent="0.35">
      <c r="A8" s="383" t="s">
        <v>524</v>
      </c>
      <c r="B8" s="156">
        <v>50257</v>
      </c>
      <c r="C8" s="380">
        <v>50</v>
      </c>
      <c r="D8" s="49"/>
      <c r="E8" s="50"/>
      <c r="O8" s="386"/>
      <c r="P8" s="386"/>
      <c r="S8" s="386"/>
      <c r="T8" s="386"/>
    </row>
    <row r="9" spans="1:20" ht="15" thickBot="1" x14ac:dyDescent="0.35">
      <c r="A9" s="383" t="s">
        <v>1391</v>
      </c>
      <c r="B9" s="156">
        <v>50555</v>
      </c>
      <c r="C9" s="380">
        <v>50</v>
      </c>
      <c r="D9" s="49"/>
      <c r="E9" s="50"/>
      <c r="O9" s="386"/>
      <c r="P9" s="386"/>
      <c r="S9" s="386"/>
      <c r="T9" s="386"/>
    </row>
    <row r="10" spans="1:20" ht="15" thickBot="1" x14ac:dyDescent="0.35">
      <c r="A10" s="383" t="s">
        <v>1392</v>
      </c>
      <c r="B10" s="156">
        <v>50445</v>
      </c>
      <c r="C10" s="380">
        <v>50</v>
      </c>
      <c r="D10" s="49"/>
      <c r="E10" s="50"/>
      <c r="O10" s="386"/>
      <c r="P10" s="386"/>
      <c r="S10" s="386"/>
      <c r="T10" s="386"/>
    </row>
    <row r="11" spans="1:20" ht="15" thickBot="1" x14ac:dyDescent="0.35">
      <c r="A11" s="383" t="s">
        <v>838</v>
      </c>
      <c r="B11" s="156">
        <v>50452</v>
      </c>
      <c r="C11" s="380">
        <v>50</v>
      </c>
      <c r="D11" s="49"/>
      <c r="E11" s="50"/>
      <c r="O11" s="386"/>
      <c r="P11" s="386"/>
      <c r="S11" s="386"/>
      <c r="T11" s="386"/>
    </row>
    <row r="12" spans="1:20" ht="15" thickBot="1" x14ac:dyDescent="0.35">
      <c r="A12" s="383" t="s">
        <v>1393</v>
      </c>
      <c r="B12" s="156">
        <v>50563</v>
      </c>
      <c r="C12" s="380">
        <v>50</v>
      </c>
      <c r="D12" s="49"/>
      <c r="E12" s="50"/>
      <c r="O12" s="386"/>
      <c r="P12" s="386"/>
      <c r="S12" s="386"/>
      <c r="T12" s="386"/>
    </row>
    <row r="13" spans="1:20" ht="15" thickBot="1" x14ac:dyDescent="0.35">
      <c r="A13" s="383" t="s">
        <v>1394</v>
      </c>
      <c r="B13" s="156">
        <v>50258</v>
      </c>
      <c r="C13" s="380">
        <v>50</v>
      </c>
      <c r="D13" s="49"/>
      <c r="E13" s="50"/>
      <c r="O13" s="386"/>
      <c r="P13" s="386"/>
      <c r="S13" s="386"/>
      <c r="T13" s="386"/>
    </row>
    <row r="14" spans="1:20" ht="15" thickBot="1" x14ac:dyDescent="0.35">
      <c r="A14" s="383" t="s">
        <v>1395</v>
      </c>
      <c r="B14" s="156">
        <v>50523</v>
      </c>
      <c r="C14" s="380">
        <v>50</v>
      </c>
      <c r="D14" s="49"/>
      <c r="E14" s="50"/>
      <c r="O14" s="386"/>
      <c r="P14" s="386"/>
      <c r="S14" s="386"/>
      <c r="T14" s="386"/>
    </row>
    <row r="15" spans="1:20" ht="15" thickBot="1" x14ac:dyDescent="0.35">
      <c r="A15" s="383" t="s">
        <v>1396</v>
      </c>
      <c r="B15" s="156">
        <v>50259</v>
      </c>
      <c r="C15" s="380">
        <v>50</v>
      </c>
      <c r="D15" s="49"/>
      <c r="E15" s="50"/>
      <c r="O15" s="386"/>
      <c r="P15" s="386"/>
      <c r="S15" s="386"/>
      <c r="T15" s="386"/>
    </row>
    <row r="16" spans="1:20" ht="15" thickBot="1" x14ac:dyDescent="0.35">
      <c r="A16" s="383" t="s">
        <v>525</v>
      </c>
      <c r="B16" s="156">
        <v>50260</v>
      </c>
      <c r="C16" s="380">
        <v>50</v>
      </c>
      <c r="D16" s="49"/>
      <c r="E16" s="50"/>
      <c r="O16" s="386"/>
      <c r="P16" s="386"/>
      <c r="S16" s="386"/>
      <c r="T16" s="386"/>
    </row>
    <row r="17" spans="1:20" ht="15" thickBot="1" x14ac:dyDescent="0.35">
      <c r="A17" s="383" t="s">
        <v>1397</v>
      </c>
      <c r="B17" s="156">
        <v>50487</v>
      </c>
      <c r="C17" s="380">
        <v>50</v>
      </c>
      <c r="D17" s="49"/>
      <c r="E17" s="50"/>
      <c r="O17" s="386"/>
      <c r="P17" s="386"/>
      <c r="S17" s="386"/>
      <c r="T17" s="386"/>
    </row>
    <row r="18" spans="1:20" ht="15" thickBot="1" x14ac:dyDescent="0.35">
      <c r="A18" s="383" t="s">
        <v>1398</v>
      </c>
      <c r="B18" s="156">
        <v>50261</v>
      </c>
      <c r="C18" s="380">
        <v>50</v>
      </c>
      <c r="D18" s="49"/>
      <c r="E18" s="50"/>
      <c r="O18" s="386"/>
      <c r="P18" s="386"/>
      <c r="S18" s="386"/>
      <c r="T18" s="386"/>
    </row>
    <row r="19" spans="1:20" ht="15" thickBot="1" x14ac:dyDescent="0.35">
      <c r="A19" s="383" t="s">
        <v>1399</v>
      </c>
      <c r="B19" s="156">
        <v>50262</v>
      </c>
      <c r="C19" s="380">
        <v>50</v>
      </c>
      <c r="D19" s="49"/>
      <c r="E19" s="50"/>
      <c r="O19" s="386"/>
      <c r="P19" s="386"/>
      <c r="S19" s="386"/>
      <c r="T19" s="386"/>
    </row>
    <row r="20" spans="1:20" ht="15" thickBot="1" x14ac:dyDescent="0.35">
      <c r="A20" s="383" t="s">
        <v>1400</v>
      </c>
      <c r="B20" s="156">
        <v>50263</v>
      </c>
      <c r="C20" s="380">
        <v>50</v>
      </c>
      <c r="D20" s="49"/>
      <c r="E20" s="50"/>
      <c r="O20" s="386"/>
      <c r="P20" s="386"/>
      <c r="S20" s="386"/>
      <c r="T20" s="386"/>
    </row>
    <row r="21" spans="1:20" ht="15" thickBot="1" x14ac:dyDescent="0.35">
      <c r="A21" s="383" t="s">
        <v>1401</v>
      </c>
      <c r="B21" s="156">
        <v>50264</v>
      </c>
      <c r="C21" s="380">
        <v>50</v>
      </c>
      <c r="D21" s="49"/>
      <c r="E21" s="50"/>
      <c r="O21" s="386"/>
      <c r="P21" s="386"/>
      <c r="S21" s="386"/>
      <c r="T21" s="386"/>
    </row>
    <row r="22" spans="1:20" ht="15" thickBot="1" x14ac:dyDescent="0.35">
      <c r="A22" s="383" t="s">
        <v>1402</v>
      </c>
      <c r="B22" s="156">
        <v>50265</v>
      </c>
      <c r="C22" s="380">
        <v>50</v>
      </c>
      <c r="D22" s="49"/>
      <c r="E22" s="50"/>
      <c r="O22" s="386"/>
      <c r="P22" s="386"/>
      <c r="S22" s="386"/>
      <c r="T22" s="386"/>
    </row>
    <row r="23" spans="1:20" ht="15" thickBot="1" x14ac:dyDescent="0.35">
      <c r="A23" s="383" t="s">
        <v>1403</v>
      </c>
      <c r="B23" s="156">
        <v>50266</v>
      </c>
      <c r="C23" s="380">
        <v>50</v>
      </c>
      <c r="D23" s="49"/>
      <c r="E23" s="50"/>
      <c r="O23" s="386"/>
      <c r="P23" s="386"/>
      <c r="S23" s="386"/>
      <c r="T23" s="386"/>
    </row>
    <row r="24" spans="1:20" ht="15" thickBot="1" x14ac:dyDescent="0.35">
      <c r="A24" s="383" t="s">
        <v>1404</v>
      </c>
      <c r="B24" s="156">
        <v>50267</v>
      </c>
      <c r="C24" s="380">
        <v>50</v>
      </c>
      <c r="D24" s="49"/>
      <c r="E24" s="50"/>
      <c r="O24" s="386"/>
      <c r="P24" s="386"/>
      <c r="S24" s="386"/>
      <c r="T24" s="386"/>
    </row>
    <row r="25" spans="1:20" ht="15" thickBot="1" x14ac:dyDescent="0.35">
      <c r="A25" s="383" t="s">
        <v>839</v>
      </c>
      <c r="B25" s="156">
        <v>50268</v>
      </c>
      <c r="C25" s="380">
        <v>50</v>
      </c>
      <c r="D25" s="49"/>
      <c r="E25" s="50"/>
      <c r="O25" s="386"/>
      <c r="P25" s="386"/>
      <c r="S25" s="386"/>
      <c r="T25" s="386"/>
    </row>
    <row r="26" spans="1:20" ht="15" thickBot="1" x14ac:dyDescent="0.35">
      <c r="A26" s="383" t="s">
        <v>526</v>
      </c>
      <c r="B26" s="156">
        <v>50269</v>
      </c>
      <c r="C26" s="380">
        <v>50</v>
      </c>
      <c r="D26" s="49"/>
      <c r="E26" s="50"/>
      <c r="O26" s="386"/>
      <c r="P26" s="386"/>
      <c r="S26" s="386"/>
      <c r="T26" s="386"/>
    </row>
    <row r="27" spans="1:20" ht="15" thickBot="1" x14ac:dyDescent="0.35">
      <c r="A27" s="383" t="s">
        <v>1405</v>
      </c>
      <c r="B27" s="156">
        <v>50270</v>
      </c>
      <c r="C27" s="380">
        <v>50</v>
      </c>
      <c r="D27" s="49"/>
      <c r="E27" s="50"/>
      <c r="O27" s="386"/>
      <c r="P27" s="386"/>
      <c r="S27" s="386"/>
      <c r="T27" s="386"/>
    </row>
    <row r="28" spans="1:20" ht="15" thickBot="1" x14ac:dyDescent="0.35">
      <c r="A28" s="383" t="s">
        <v>1406</v>
      </c>
      <c r="B28" s="156">
        <v>50271</v>
      </c>
      <c r="C28" s="380">
        <v>50</v>
      </c>
      <c r="D28" s="49"/>
      <c r="E28" s="50"/>
      <c r="O28" s="386"/>
      <c r="P28" s="386"/>
      <c r="S28" s="386"/>
      <c r="T28" s="386"/>
    </row>
    <row r="29" spans="1:20" ht="15" thickBot="1" x14ac:dyDescent="0.35">
      <c r="A29" s="383" t="s">
        <v>1407</v>
      </c>
      <c r="B29" s="156">
        <v>50272</v>
      </c>
      <c r="C29" s="380">
        <v>50</v>
      </c>
      <c r="D29" s="49"/>
      <c r="E29" s="50"/>
      <c r="O29" s="386"/>
      <c r="P29" s="386"/>
      <c r="S29" s="386"/>
      <c r="T29" s="386"/>
    </row>
    <row r="30" spans="1:20" ht="15" thickBot="1" x14ac:dyDescent="0.35">
      <c r="A30" s="383" t="s">
        <v>1408</v>
      </c>
      <c r="B30" s="156">
        <v>50273</v>
      </c>
      <c r="C30" s="380">
        <v>50</v>
      </c>
      <c r="D30" s="49"/>
      <c r="E30" s="50"/>
      <c r="O30" s="386"/>
      <c r="P30" s="386"/>
      <c r="S30" s="386"/>
      <c r="T30" s="386"/>
    </row>
    <row r="31" spans="1:20" ht="15" thickBot="1" x14ac:dyDescent="0.35">
      <c r="A31" s="383" t="s">
        <v>1409</v>
      </c>
      <c r="B31" s="156">
        <v>50274</v>
      </c>
      <c r="C31" s="380">
        <v>50</v>
      </c>
      <c r="D31" s="49"/>
      <c r="E31" s="50"/>
      <c r="O31" s="386"/>
      <c r="P31" s="386"/>
      <c r="S31" s="386"/>
      <c r="T31" s="386"/>
    </row>
    <row r="32" spans="1:20" ht="15" thickBot="1" x14ac:dyDescent="0.35">
      <c r="A32" s="383" t="s">
        <v>527</v>
      </c>
      <c r="B32" s="156">
        <v>50480</v>
      </c>
      <c r="C32" s="380">
        <v>50</v>
      </c>
      <c r="D32" s="49"/>
      <c r="E32" s="50"/>
      <c r="O32" s="386"/>
      <c r="P32" s="386"/>
      <c r="S32" s="386"/>
      <c r="T32" s="386"/>
    </row>
    <row r="33" spans="1:20" ht="15" thickBot="1" x14ac:dyDescent="0.35">
      <c r="A33" s="383" t="s">
        <v>1410</v>
      </c>
      <c r="B33" s="156">
        <v>50275</v>
      </c>
      <c r="C33" s="380">
        <v>50</v>
      </c>
      <c r="D33" s="49"/>
      <c r="E33" s="50"/>
      <c r="O33" s="386"/>
      <c r="P33" s="386"/>
      <c r="S33" s="386"/>
      <c r="T33" s="386"/>
    </row>
    <row r="34" spans="1:20" ht="15" thickBot="1" x14ac:dyDescent="0.35">
      <c r="A34" s="383" t="s">
        <v>1411</v>
      </c>
      <c r="B34" s="156">
        <v>50277</v>
      </c>
      <c r="C34" s="380">
        <v>50</v>
      </c>
      <c r="D34" s="49"/>
      <c r="E34" s="50"/>
      <c r="O34" s="386"/>
      <c r="P34" s="386"/>
      <c r="S34" s="386"/>
      <c r="T34" s="386"/>
    </row>
    <row r="35" spans="1:20" ht="15" thickBot="1" x14ac:dyDescent="0.35">
      <c r="A35" s="383" t="s">
        <v>1412</v>
      </c>
      <c r="B35" s="156">
        <v>50276</v>
      </c>
      <c r="C35" s="380">
        <v>50</v>
      </c>
      <c r="D35" s="49"/>
      <c r="E35" s="50"/>
      <c r="O35" s="386"/>
      <c r="P35" s="386"/>
      <c r="S35" s="386"/>
      <c r="T35" s="386"/>
    </row>
    <row r="36" spans="1:20" ht="15" thickBot="1" x14ac:dyDescent="0.35">
      <c r="A36" s="383" t="s">
        <v>528</v>
      </c>
      <c r="B36" s="156">
        <v>50278</v>
      </c>
      <c r="C36" s="380">
        <v>50</v>
      </c>
      <c r="D36" s="49"/>
      <c r="E36" s="50"/>
      <c r="O36" s="386"/>
      <c r="P36" s="386"/>
      <c r="S36" s="386"/>
      <c r="T36" s="386"/>
    </row>
    <row r="37" spans="1:20" ht="15" thickBot="1" x14ac:dyDescent="0.35">
      <c r="A37" s="383" t="s">
        <v>1413</v>
      </c>
      <c r="B37" s="156">
        <v>50279</v>
      </c>
      <c r="C37" s="380">
        <v>50</v>
      </c>
      <c r="D37" s="49"/>
      <c r="E37" s="50"/>
      <c r="O37" s="386"/>
      <c r="P37" s="386"/>
      <c r="S37" s="386"/>
      <c r="T37" s="386"/>
    </row>
    <row r="38" spans="1:20" ht="15" thickBot="1" x14ac:dyDescent="0.35">
      <c r="A38" s="383" t="s">
        <v>529</v>
      </c>
      <c r="B38" s="156">
        <v>50280</v>
      </c>
      <c r="C38" s="380">
        <v>50</v>
      </c>
      <c r="D38" s="49"/>
      <c r="E38" s="50"/>
      <c r="O38" s="386"/>
      <c r="P38" s="386"/>
      <c r="S38" s="386"/>
      <c r="T38" s="386"/>
    </row>
    <row r="39" spans="1:20" ht="15" thickBot="1" x14ac:dyDescent="0.35">
      <c r="A39" s="383" t="s">
        <v>530</v>
      </c>
      <c r="B39" s="156">
        <v>50281</v>
      </c>
      <c r="C39" s="380">
        <v>50</v>
      </c>
      <c r="D39" s="49"/>
      <c r="E39" s="50"/>
      <c r="O39" s="386"/>
      <c r="P39" s="386"/>
      <c r="S39" s="386"/>
      <c r="T39" s="386"/>
    </row>
    <row r="40" spans="1:20" ht="15" thickBot="1" x14ac:dyDescent="0.35">
      <c r="A40" s="383" t="s">
        <v>531</v>
      </c>
      <c r="B40" s="156">
        <v>50478</v>
      </c>
      <c r="C40" s="380">
        <v>50</v>
      </c>
      <c r="D40" s="49"/>
      <c r="E40" s="50"/>
      <c r="O40" s="386"/>
      <c r="P40" s="386"/>
      <c r="S40" s="386"/>
      <c r="T40" s="386"/>
    </row>
    <row r="41" spans="1:20" ht="15" thickBot="1" x14ac:dyDescent="0.35">
      <c r="A41" s="383" t="s">
        <v>1414</v>
      </c>
      <c r="B41" s="156">
        <v>50524</v>
      </c>
      <c r="C41" s="380">
        <v>50</v>
      </c>
      <c r="D41" s="49"/>
      <c r="E41" s="50"/>
      <c r="O41" s="386"/>
      <c r="P41" s="386"/>
      <c r="S41" s="386"/>
      <c r="T41" s="386"/>
    </row>
    <row r="42" spans="1:20" ht="15" thickBot="1" x14ac:dyDescent="0.35">
      <c r="A42" s="383" t="s">
        <v>1415</v>
      </c>
      <c r="B42" s="156">
        <v>50282</v>
      </c>
      <c r="C42" s="380">
        <v>50</v>
      </c>
      <c r="D42" s="49"/>
      <c r="E42" s="50"/>
      <c r="O42" s="386"/>
      <c r="P42" s="386"/>
      <c r="S42" s="386"/>
      <c r="T42" s="386"/>
    </row>
    <row r="43" spans="1:20" ht="15" thickBot="1" x14ac:dyDescent="0.35">
      <c r="A43" s="383" t="s">
        <v>1416</v>
      </c>
      <c r="B43" s="156">
        <v>50525</v>
      </c>
      <c r="C43" s="380">
        <v>50</v>
      </c>
      <c r="D43" s="49"/>
      <c r="E43" s="50"/>
      <c r="O43" s="386"/>
      <c r="P43" s="386"/>
      <c r="S43" s="386"/>
      <c r="T43" s="386"/>
    </row>
    <row r="44" spans="1:20" ht="15" thickBot="1" x14ac:dyDescent="0.35">
      <c r="A44" s="383" t="s">
        <v>533</v>
      </c>
      <c r="B44" s="156">
        <v>50283</v>
      </c>
      <c r="C44" s="380">
        <v>50</v>
      </c>
      <c r="D44" s="49"/>
      <c r="E44" s="50"/>
      <c r="O44" s="386"/>
      <c r="P44" s="386"/>
      <c r="S44" s="386"/>
      <c r="T44" s="386"/>
    </row>
    <row r="45" spans="1:20" ht="15" thickBot="1" x14ac:dyDescent="0.35">
      <c r="A45" s="383" t="s">
        <v>534</v>
      </c>
      <c r="B45" s="156">
        <v>50285</v>
      </c>
      <c r="C45" s="380">
        <v>50</v>
      </c>
      <c r="D45" s="49"/>
      <c r="E45" s="50"/>
      <c r="O45" s="386"/>
      <c r="P45" s="386"/>
      <c r="S45" s="386"/>
      <c r="T45" s="386"/>
    </row>
    <row r="46" spans="1:20" ht="15" thickBot="1" x14ac:dyDescent="0.35">
      <c r="A46" s="383" t="s">
        <v>1417</v>
      </c>
      <c r="B46" s="156">
        <v>50553</v>
      </c>
      <c r="C46" s="380">
        <v>50</v>
      </c>
      <c r="D46" s="49"/>
      <c r="E46" s="50"/>
      <c r="O46" s="386"/>
      <c r="P46" s="386"/>
      <c r="S46" s="386"/>
      <c r="T46" s="386"/>
    </row>
    <row r="47" spans="1:20" ht="15" thickBot="1" x14ac:dyDescent="0.35">
      <c r="A47" s="383" t="s">
        <v>1418</v>
      </c>
      <c r="B47" s="156">
        <v>50548</v>
      </c>
      <c r="C47" s="380">
        <v>50</v>
      </c>
      <c r="D47" s="49"/>
      <c r="E47" s="50"/>
      <c r="O47" s="386"/>
      <c r="P47" s="386"/>
      <c r="S47" s="386"/>
      <c r="T47" s="386"/>
    </row>
    <row r="48" spans="1:20" ht="15" thickBot="1" x14ac:dyDescent="0.35">
      <c r="A48" s="383" t="s">
        <v>1419</v>
      </c>
      <c r="B48" s="156">
        <v>50284</v>
      </c>
      <c r="C48" s="380">
        <v>50</v>
      </c>
      <c r="D48" s="49"/>
      <c r="E48" s="50"/>
      <c r="O48" s="386"/>
      <c r="P48" s="386"/>
      <c r="S48" s="386"/>
      <c r="T48" s="386"/>
    </row>
    <row r="49" spans="1:20" ht="15" thickBot="1" x14ac:dyDescent="0.35">
      <c r="A49" s="383" t="s">
        <v>1420</v>
      </c>
      <c r="B49" s="156">
        <v>50286</v>
      </c>
      <c r="C49" s="380">
        <v>50</v>
      </c>
      <c r="D49" s="49"/>
      <c r="E49" s="50"/>
      <c r="O49" s="386"/>
      <c r="P49" s="386"/>
      <c r="S49" s="386"/>
      <c r="T49" s="386"/>
    </row>
    <row r="50" spans="1:20" ht="15" thickBot="1" x14ac:dyDescent="0.35">
      <c r="A50" s="383" t="s">
        <v>1421</v>
      </c>
      <c r="B50" s="156">
        <v>50287</v>
      </c>
      <c r="C50" s="380">
        <v>50</v>
      </c>
      <c r="D50" s="49"/>
      <c r="E50" s="50"/>
      <c r="O50" s="386"/>
      <c r="P50" s="386"/>
      <c r="S50" s="386"/>
      <c r="T50" s="386"/>
    </row>
    <row r="51" spans="1:20" ht="15" thickBot="1" x14ac:dyDescent="0.35">
      <c r="A51" s="383" t="s">
        <v>1422</v>
      </c>
      <c r="B51" s="156">
        <v>50288</v>
      </c>
      <c r="C51" s="380">
        <v>50</v>
      </c>
      <c r="D51" s="49"/>
      <c r="E51" s="50"/>
      <c r="O51" s="386"/>
      <c r="P51" s="386"/>
      <c r="S51" s="386"/>
      <c r="T51" s="386"/>
    </row>
    <row r="52" spans="1:20" ht="15" thickBot="1" x14ac:dyDescent="0.35">
      <c r="A52" s="383" t="s">
        <v>1423</v>
      </c>
      <c r="B52" s="156">
        <v>50290</v>
      </c>
      <c r="C52" s="380">
        <v>50</v>
      </c>
      <c r="D52" s="49"/>
      <c r="E52" s="50"/>
      <c r="O52" s="386"/>
      <c r="P52" s="386"/>
      <c r="S52" s="386"/>
      <c r="T52" s="386"/>
    </row>
    <row r="53" spans="1:20" ht="15" thickBot="1" x14ac:dyDescent="0.35">
      <c r="A53" s="383" t="s">
        <v>1424</v>
      </c>
      <c r="B53" s="156">
        <v>50564</v>
      </c>
      <c r="C53" s="380">
        <v>50</v>
      </c>
      <c r="D53" s="49"/>
      <c r="E53" s="50"/>
      <c r="O53" s="386"/>
      <c r="P53" s="386"/>
      <c r="S53" s="386"/>
      <c r="T53" s="386"/>
    </row>
    <row r="54" spans="1:20" ht="15" thickBot="1" x14ac:dyDescent="0.35">
      <c r="A54" s="383" t="s">
        <v>1425</v>
      </c>
      <c r="B54" s="156">
        <v>50289</v>
      </c>
      <c r="C54" s="380">
        <v>50</v>
      </c>
      <c r="D54" s="49"/>
      <c r="E54" s="50"/>
      <c r="O54" s="386"/>
      <c r="P54" s="386"/>
      <c r="S54" s="386"/>
      <c r="T54" s="386"/>
    </row>
    <row r="55" spans="1:20" ht="15" thickBot="1" x14ac:dyDescent="0.35">
      <c r="A55" s="383" t="s">
        <v>1426</v>
      </c>
      <c r="B55" s="156">
        <v>50291</v>
      </c>
      <c r="C55" s="380">
        <v>50</v>
      </c>
      <c r="D55" s="49"/>
      <c r="E55" s="50"/>
      <c r="O55" s="386"/>
      <c r="P55" s="386"/>
      <c r="S55" s="386"/>
      <c r="T55" s="386"/>
    </row>
    <row r="56" spans="1:20" ht="15" thickBot="1" x14ac:dyDescent="0.35">
      <c r="A56" s="383" t="s">
        <v>1427</v>
      </c>
      <c r="B56" s="156">
        <v>50292</v>
      </c>
      <c r="C56" s="380">
        <v>50</v>
      </c>
      <c r="D56" s="49"/>
      <c r="E56" s="50"/>
      <c r="O56" s="386"/>
      <c r="P56" s="386"/>
      <c r="S56" s="386"/>
      <c r="T56" s="386"/>
    </row>
    <row r="57" spans="1:20" ht="15" thickBot="1" x14ac:dyDescent="0.35">
      <c r="A57" s="383" t="s">
        <v>1428</v>
      </c>
      <c r="B57" s="156">
        <v>50293</v>
      </c>
      <c r="C57" s="380">
        <v>50</v>
      </c>
      <c r="D57" s="49"/>
      <c r="E57" s="50"/>
      <c r="O57" s="386"/>
      <c r="P57" s="386"/>
      <c r="S57" s="386"/>
      <c r="T57" s="386"/>
    </row>
    <row r="58" spans="1:20" ht="15" thickBot="1" x14ac:dyDescent="0.35">
      <c r="A58" s="383" t="s">
        <v>1429</v>
      </c>
      <c r="B58" s="156">
        <v>50463</v>
      </c>
      <c r="C58" s="380">
        <v>50</v>
      </c>
      <c r="D58" s="49"/>
      <c r="E58" s="50"/>
      <c r="O58" s="386"/>
      <c r="P58" s="386"/>
      <c r="S58" s="386"/>
      <c r="T58" s="386"/>
    </row>
    <row r="59" spans="1:20" ht="15" thickBot="1" x14ac:dyDescent="0.35">
      <c r="A59" s="383" t="s">
        <v>1430</v>
      </c>
      <c r="B59" s="156">
        <v>50294</v>
      </c>
      <c r="C59" s="380">
        <v>50</v>
      </c>
      <c r="D59" s="49"/>
      <c r="E59" s="50"/>
      <c r="O59" s="386"/>
      <c r="P59" s="386"/>
      <c r="S59" s="386"/>
      <c r="T59" s="386"/>
    </row>
    <row r="60" spans="1:20" ht="15" thickBot="1" x14ac:dyDescent="0.35">
      <c r="A60" s="383" t="s">
        <v>1431</v>
      </c>
      <c r="B60" s="156">
        <v>50538</v>
      </c>
      <c r="C60" s="380">
        <v>50</v>
      </c>
      <c r="D60" s="49"/>
      <c r="E60" s="50"/>
      <c r="O60" s="386"/>
      <c r="P60" s="386"/>
      <c r="S60" s="386"/>
      <c r="T60" s="386"/>
    </row>
    <row r="61" spans="1:20" ht="15" thickBot="1" x14ac:dyDescent="0.35">
      <c r="A61" s="383" t="s">
        <v>1432</v>
      </c>
      <c r="B61" s="156">
        <v>50295</v>
      </c>
      <c r="C61" s="380">
        <v>50</v>
      </c>
      <c r="D61" s="49"/>
      <c r="E61" s="50"/>
      <c r="O61" s="386"/>
      <c r="P61" s="386"/>
      <c r="S61" s="386"/>
      <c r="T61" s="386"/>
    </row>
    <row r="62" spans="1:20" ht="15" thickBot="1" x14ac:dyDescent="0.35">
      <c r="A62" s="383" t="s">
        <v>536</v>
      </c>
      <c r="B62" s="156">
        <v>50296</v>
      </c>
      <c r="C62" s="380">
        <v>50</v>
      </c>
      <c r="D62" s="49"/>
      <c r="E62" s="50"/>
      <c r="O62" s="386"/>
      <c r="P62" s="386"/>
      <c r="S62" s="386"/>
      <c r="T62" s="386"/>
    </row>
    <row r="63" spans="1:20" ht="15" thickBot="1" x14ac:dyDescent="0.35">
      <c r="A63" s="383" t="s">
        <v>537</v>
      </c>
      <c r="B63" s="156">
        <v>50297</v>
      </c>
      <c r="C63" s="380">
        <v>50</v>
      </c>
      <c r="D63" s="49"/>
      <c r="E63" s="50"/>
      <c r="O63" s="386"/>
      <c r="P63" s="386"/>
      <c r="S63" s="386"/>
      <c r="T63" s="386"/>
    </row>
    <row r="64" spans="1:20" ht="15" thickBot="1" x14ac:dyDescent="0.35">
      <c r="A64" s="383" t="s">
        <v>1433</v>
      </c>
      <c r="B64" s="156">
        <v>50449</v>
      </c>
      <c r="C64" s="380">
        <v>50</v>
      </c>
      <c r="D64" s="49"/>
      <c r="E64" s="50"/>
      <c r="O64" s="386"/>
      <c r="P64" s="386"/>
      <c r="S64" s="386"/>
      <c r="T64" s="386"/>
    </row>
    <row r="65" spans="1:20" ht="15" thickBot="1" x14ac:dyDescent="0.35">
      <c r="A65" s="383" t="s">
        <v>1434</v>
      </c>
      <c r="B65" s="156">
        <v>50300</v>
      </c>
      <c r="C65" s="380">
        <v>50</v>
      </c>
      <c r="D65" s="49"/>
      <c r="E65" s="50"/>
      <c r="O65" s="386"/>
      <c r="P65" s="386"/>
      <c r="S65" s="386"/>
      <c r="T65" s="386"/>
    </row>
    <row r="66" spans="1:20" ht="15" thickBot="1" x14ac:dyDescent="0.35">
      <c r="A66" s="383" t="s">
        <v>1435</v>
      </c>
      <c r="B66" s="156">
        <v>50298</v>
      </c>
      <c r="C66" s="380">
        <v>50</v>
      </c>
      <c r="D66" s="49"/>
      <c r="E66" s="50"/>
      <c r="O66" s="386"/>
      <c r="P66" s="386"/>
      <c r="S66" s="386"/>
      <c r="T66" s="386"/>
    </row>
    <row r="67" spans="1:20" ht="15" thickBot="1" x14ac:dyDescent="0.35">
      <c r="A67" s="383" t="s">
        <v>1436</v>
      </c>
      <c r="B67" s="156">
        <v>50299</v>
      </c>
      <c r="C67" s="380">
        <v>50</v>
      </c>
      <c r="D67" s="49"/>
      <c r="E67" s="50"/>
      <c r="O67" s="386"/>
      <c r="P67" s="386"/>
      <c r="S67" s="386"/>
      <c r="T67" s="386"/>
    </row>
    <row r="68" spans="1:20" ht="15" thickBot="1" x14ac:dyDescent="0.35">
      <c r="A68" s="383" t="s">
        <v>1437</v>
      </c>
      <c r="B68" s="156">
        <v>50301</v>
      </c>
      <c r="C68" s="380">
        <v>50</v>
      </c>
      <c r="D68" s="49"/>
      <c r="E68" s="50"/>
      <c r="O68" s="386"/>
      <c r="P68" s="386"/>
      <c r="S68" s="386"/>
      <c r="T68" s="386"/>
    </row>
    <row r="69" spans="1:20" ht="15" thickBot="1" x14ac:dyDescent="0.35">
      <c r="A69" s="383" t="s">
        <v>1438</v>
      </c>
      <c r="B69" s="156">
        <v>50302</v>
      </c>
      <c r="C69" s="380">
        <v>50</v>
      </c>
    </row>
    <row r="70" spans="1:20" ht="15" thickBot="1" x14ac:dyDescent="0.35">
      <c r="A70" s="383" t="s">
        <v>1439</v>
      </c>
      <c r="B70" s="156">
        <v>50303</v>
      </c>
      <c r="C70" s="380">
        <v>50</v>
      </c>
    </row>
    <row r="71" spans="1:20" ht="15" thickBot="1" x14ac:dyDescent="0.35">
      <c r="A71" s="383" t="s">
        <v>1440</v>
      </c>
      <c r="B71" s="156">
        <v>50304</v>
      </c>
      <c r="C71" s="380">
        <v>50</v>
      </c>
    </row>
    <row r="72" spans="1:20" ht="15" thickBot="1" x14ac:dyDescent="0.35">
      <c r="A72" s="383" t="s">
        <v>1441</v>
      </c>
      <c r="B72" s="156">
        <v>50540</v>
      </c>
      <c r="C72" s="380">
        <v>50</v>
      </c>
    </row>
    <row r="73" spans="1:20" ht="15" thickBot="1" x14ac:dyDescent="0.35">
      <c r="A73" s="383" t="s">
        <v>840</v>
      </c>
      <c r="B73" s="156">
        <v>50305</v>
      </c>
      <c r="C73" s="380">
        <v>50</v>
      </c>
    </row>
    <row r="74" spans="1:20" ht="15" thickBot="1" x14ac:dyDescent="0.35">
      <c r="A74" s="383" t="s">
        <v>1442</v>
      </c>
      <c r="B74" s="156">
        <v>50306</v>
      </c>
      <c r="C74" s="380">
        <v>50</v>
      </c>
    </row>
    <row r="75" spans="1:20" ht="15" thickBot="1" x14ac:dyDescent="0.35">
      <c r="A75" s="383" t="s">
        <v>538</v>
      </c>
      <c r="B75" s="156">
        <v>50479</v>
      </c>
      <c r="C75" s="380">
        <v>50</v>
      </c>
    </row>
    <row r="76" spans="1:20" ht="15" thickBot="1" x14ac:dyDescent="0.35">
      <c r="A76" s="383" t="s">
        <v>539</v>
      </c>
      <c r="B76" s="156">
        <v>50307</v>
      </c>
      <c r="C76" s="380">
        <v>50</v>
      </c>
    </row>
    <row r="77" spans="1:20" ht="15" thickBot="1" x14ac:dyDescent="0.35">
      <c r="A77" s="383" t="s">
        <v>1443</v>
      </c>
      <c r="B77" s="156">
        <v>50308</v>
      </c>
      <c r="C77" s="380">
        <v>50</v>
      </c>
    </row>
    <row r="78" spans="1:20" ht="15" thickBot="1" x14ac:dyDescent="0.35">
      <c r="A78" s="383" t="s">
        <v>1444</v>
      </c>
      <c r="B78" s="156">
        <v>50309</v>
      </c>
      <c r="C78" s="380">
        <v>50</v>
      </c>
    </row>
    <row r="79" spans="1:20" ht="15" thickBot="1" x14ac:dyDescent="0.35">
      <c r="A79" s="383" t="s">
        <v>540</v>
      </c>
      <c r="B79" s="156">
        <v>50310</v>
      </c>
      <c r="C79" s="380">
        <v>50</v>
      </c>
    </row>
    <row r="80" spans="1:20" ht="15" thickBot="1" x14ac:dyDescent="0.35">
      <c r="A80" s="383" t="s">
        <v>541</v>
      </c>
      <c r="B80" s="156">
        <v>50311</v>
      </c>
      <c r="C80" s="380">
        <v>50</v>
      </c>
    </row>
    <row r="81" spans="1:3" ht="15" thickBot="1" x14ac:dyDescent="0.35">
      <c r="A81" s="383"/>
      <c r="B81" s="156"/>
      <c r="C81" s="380"/>
    </row>
    <row r="82" spans="1:3" ht="15" thickBot="1" x14ac:dyDescent="0.35">
      <c r="A82" s="383"/>
      <c r="B82" s="156"/>
      <c r="C82" s="380"/>
    </row>
    <row r="83" spans="1:3" ht="15" thickBot="1" x14ac:dyDescent="0.35">
      <c r="A83" s="383"/>
      <c r="B83" s="156"/>
      <c r="C83" s="380"/>
    </row>
    <row r="84" spans="1:3" ht="15" thickBot="1" x14ac:dyDescent="0.35">
      <c r="A84" s="383"/>
      <c r="B84" s="156"/>
      <c r="C84" s="380"/>
    </row>
    <row r="85" spans="1:3" ht="15" thickBot="1" x14ac:dyDescent="0.35">
      <c r="A85" s="383"/>
      <c r="B85" s="156"/>
      <c r="C85" s="380"/>
    </row>
    <row r="86" spans="1:3" ht="15" thickBot="1" x14ac:dyDescent="0.35">
      <c r="A86" s="383"/>
      <c r="B86" s="156"/>
      <c r="C86" s="380"/>
    </row>
    <row r="87" spans="1:3" ht="15" thickBot="1" x14ac:dyDescent="0.35">
      <c r="A87" s="383"/>
      <c r="B87" s="156"/>
      <c r="C87" s="380"/>
    </row>
    <row r="88" spans="1:3" x14ac:dyDescent="0.3">
      <c r="C88" s="380"/>
    </row>
    <row r="89" spans="1:3" x14ac:dyDescent="0.3">
      <c r="C89" s="380"/>
    </row>
    <row r="90" spans="1:3" x14ac:dyDescent="0.3">
      <c r="C90" s="380"/>
    </row>
    <row r="91" spans="1:3" x14ac:dyDescent="0.3">
      <c r="C91" s="380"/>
    </row>
    <row r="92" spans="1:3" x14ac:dyDescent="0.3">
      <c r="C92" s="380"/>
    </row>
    <row r="93" spans="1:3" x14ac:dyDescent="0.3">
      <c r="C93" s="380"/>
    </row>
    <row r="94" spans="1:3" x14ac:dyDescent="0.3">
      <c r="C94" s="380"/>
    </row>
    <row r="95" spans="1:3" x14ac:dyDescent="0.3">
      <c r="C95" s="380"/>
    </row>
  </sheetData>
  <sheetProtection algorithmName="SHA-512" hashValue="n0ikFMUzURxfypf32ze/gFKgp/V3zCmBlDKRok/vWZEoCV+LpOB1sdFgb79z1efFdClo+59BJroW8/pKtnij2A==" saltValue="yEAbsw/Zpni6CuL2rnGlp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3.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Instructions</vt:lpstr>
      <vt:lpstr>Unit Data from Audit Worksheet</vt:lpstr>
      <vt:lpstr>TD Info Completed by Auditor</vt:lpstr>
      <vt:lpstr>Performance  Indicators Print</vt:lpstr>
      <vt:lpstr>UAL</vt:lpstr>
      <vt:lpstr>Tax Reval Rate</vt:lpstr>
      <vt:lpstr>Import</vt:lpstr>
      <vt:lpstr>Performance Indicator FBA%</vt:lpstr>
      <vt:lpstr>RSS</vt:lpstr>
      <vt:lpstr>Electric trans</vt:lpstr>
      <vt:lpstr>PY1 Data(H)</vt:lpstr>
      <vt:lpstr>PY2 Data(H)</vt:lpstr>
      <vt:lpstr>Unit Names(H)</vt:lpstr>
      <vt:lpstr>Instructions!Print_Area</vt:lpstr>
      <vt:lpstr>'Performance  Indicators Print'!Print_Area</vt:lpstr>
      <vt:lpstr>'TD Info Completed by Auditor'!Print_Area</vt:lpstr>
      <vt:lpstr>'Unit Data from Audit Worksheet'!Print_Area</vt:lpstr>
      <vt:lpstr>'Performance  Indicators Print'!Print_Titles</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2023-09-13T22:28:22Z</cp:lastPrinted>
  <dcterms:created xsi:type="dcterms:W3CDTF">2011-03-11T21:05:05Z</dcterms:created>
  <dcterms:modified xsi:type="dcterms:W3CDTF">2023-10-15T18:43:47Z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