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91DB7C4C-95A1-4F36-9A6E-5DA96413F55D}" xr6:coauthVersionLast="47" xr6:coauthVersionMax="47" xr10:uidLastSave="{00000000-0000-0000-0000-000000000000}"/>
  <bookViews>
    <workbookView xWindow="57480" yWindow="-8370" windowWidth="29040" windowHeight="15840" tabRatio="878"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erformance Indicator FBA%" sheetId="93" r:id="rId6"/>
    <sheet name="RSS" sheetId="99" r:id="rId7"/>
    <sheet name="Electric trans" sheetId="89" r:id="rId8"/>
    <sheet name="Electric Policy Info" sheetId="100" state="hidden" r:id="rId9"/>
    <sheet name="Tax Reval Rate" sheetId="72" state="hidden"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9"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7">#REF!</definedName>
    <definedName name="Print_Selection_Internal" localSheetId="3">#REF!</definedName>
    <definedName name="Print_Selection_Internal" localSheetId="5">#REF!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7">#REF!</definedName>
    <definedName name="TD_IMPORT_RANGE" localSheetId="0">#REF!</definedName>
    <definedName name="TD_IMPORT_RANGE" localSheetId="3">#REF!</definedName>
    <definedName name="TD_IMPORT_RANGE" localSheetId="5">#REF!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S278" i="82" l="1"/>
  <c r="BT278" i="82"/>
  <c r="BU278" i="82"/>
  <c r="BV278" i="82"/>
  <c r="BW278" i="82"/>
  <c r="BX278" i="82"/>
  <c r="BY278" i="82"/>
  <c r="BZ278" i="82"/>
  <c r="CA278" i="82"/>
  <c r="BS279" i="82"/>
  <c r="BT279" i="82"/>
  <c r="BU279" i="82"/>
  <c r="BV279" i="82"/>
  <c r="BW279" i="82"/>
  <c r="BX279" i="82"/>
  <c r="BY279" i="82"/>
  <c r="BZ279" i="82"/>
  <c r="CA279" i="82"/>
  <c r="BS276" i="84"/>
  <c r="BT276" i="84"/>
  <c r="BU276" i="84"/>
  <c r="BV276" i="84"/>
  <c r="BW276" i="84"/>
  <c r="BX276" i="84"/>
  <c r="BY276" i="84"/>
  <c r="BZ276" i="84"/>
  <c r="CA276" i="84"/>
  <c r="BS277" i="84"/>
  <c r="BT277" i="84"/>
  <c r="BU277" i="84"/>
  <c r="BV277" i="84"/>
  <c r="BW277" i="84"/>
  <c r="BX277" i="84"/>
  <c r="BY277" i="84"/>
  <c r="BZ277" i="84"/>
  <c r="CA277" i="84"/>
  <c r="AU259" i="82"/>
  <c r="E259" i="82"/>
  <c r="E310" i="82"/>
  <c r="E311" i="82"/>
  <c r="E312" i="82"/>
  <c r="E313" i="82"/>
  <c r="E343" i="82"/>
  <c r="F343" i="82"/>
  <c r="G343" i="82"/>
  <c r="H343" i="82"/>
  <c r="I343" i="82"/>
  <c r="J343" i="82"/>
  <c r="K343" i="82"/>
  <c r="L343" i="82"/>
  <c r="M343" i="82"/>
  <c r="N343" i="82"/>
  <c r="O343" i="82"/>
  <c r="P343" i="82"/>
  <c r="Q343" i="82"/>
  <c r="R343" i="82"/>
  <c r="S343" i="82"/>
  <c r="T343" i="82"/>
  <c r="U343" i="82"/>
  <c r="V343" i="82"/>
  <c r="W343" i="82"/>
  <c r="X343" i="82"/>
  <c r="Y343" i="82"/>
  <c r="Z343" i="82"/>
  <c r="AA343" i="82"/>
  <c r="AB343" i="82"/>
  <c r="AC343" i="82"/>
  <c r="AD343" i="82"/>
  <c r="AE343" i="82"/>
  <c r="AF343" i="82"/>
  <c r="AG343" i="82"/>
  <c r="AH343" i="82"/>
  <c r="AI343" i="82"/>
  <c r="AJ343" i="82"/>
  <c r="AK343" i="82"/>
  <c r="AL343" i="82"/>
  <c r="AM343" i="82"/>
  <c r="AN343" i="82"/>
  <c r="AO343" i="82"/>
  <c r="AP343" i="82"/>
  <c r="AQ343" i="82"/>
  <c r="AR343" i="82"/>
  <c r="AS343" i="82"/>
  <c r="AT343" i="82"/>
  <c r="AU343" i="82"/>
  <c r="AV343" i="82"/>
  <c r="AW343" i="82"/>
  <c r="AX343" i="82"/>
  <c r="AY343" i="82"/>
  <c r="AZ343" i="82"/>
  <c r="BA343" i="82"/>
  <c r="BB343" i="82"/>
  <c r="BC343" i="82"/>
  <c r="BD343" i="82"/>
  <c r="BE343" i="82"/>
  <c r="BF343" i="82"/>
  <c r="BG343" i="82"/>
  <c r="BH343" i="82"/>
  <c r="BI343" i="82"/>
  <c r="BJ343" i="82"/>
  <c r="BK343" i="82"/>
  <c r="BL343" i="82"/>
  <c r="BM343" i="82"/>
  <c r="BN343" i="82"/>
  <c r="BO343" i="82"/>
  <c r="BP343" i="82"/>
  <c r="BQ343" i="82"/>
  <c r="BR343" i="82"/>
  <c r="BS343" i="82"/>
  <c r="BT343" i="82"/>
  <c r="BU343" i="82"/>
  <c r="BV343" i="82"/>
  <c r="BW343" i="82"/>
  <c r="BX343" i="82"/>
  <c r="BY343" i="82"/>
  <c r="BZ343" i="82"/>
  <c r="CA343" i="82"/>
  <c r="D343" i="82"/>
  <c r="BS285" i="82"/>
  <c r="BT285" i="82"/>
  <c r="BU285" i="82"/>
  <c r="BV285" i="82"/>
  <c r="BW285" i="82"/>
  <c r="BX285" i="82"/>
  <c r="BY285" i="82"/>
  <c r="BZ285" i="82"/>
  <c r="CA285" i="82"/>
  <c r="BS286" i="82"/>
  <c r="BT286" i="82"/>
  <c r="BU286" i="82"/>
  <c r="BV286" i="82"/>
  <c r="BW286" i="82"/>
  <c r="BX286" i="82"/>
  <c r="BY286" i="82"/>
  <c r="BZ286" i="82"/>
  <c r="CA286" i="82"/>
  <c r="BS287" i="82"/>
  <c r="BS328" i="82" s="1"/>
  <c r="BS329" i="82" s="1"/>
  <c r="BS336" i="82" s="1"/>
  <c r="BT287" i="82"/>
  <c r="BU287" i="82"/>
  <c r="BV287" i="82"/>
  <c r="BW287" i="82"/>
  <c r="BX287" i="82"/>
  <c r="BY287" i="82"/>
  <c r="BZ287" i="82"/>
  <c r="CA287" i="82"/>
  <c r="BS288" i="82"/>
  <c r="BT288" i="82"/>
  <c r="BU288" i="82"/>
  <c r="BV288" i="82"/>
  <c r="BW288" i="82"/>
  <c r="BX288" i="82"/>
  <c r="BY288" i="82"/>
  <c r="BZ288" i="82"/>
  <c r="CA288" i="82"/>
  <c r="BS289" i="82"/>
  <c r="BT289" i="82"/>
  <c r="BU289" i="82"/>
  <c r="BV289" i="82"/>
  <c r="BW289" i="82"/>
  <c r="BX289" i="82"/>
  <c r="BY289" i="82"/>
  <c r="BZ289" i="82"/>
  <c r="CA289" i="82"/>
  <c r="BS290" i="82"/>
  <c r="BT290" i="82"/>
  <c r="BU290" i="82"/>
  <c r="BV290" i="82"/>
  <c r="BW290" i="82"/>
  <c r="BX290" i="82"/>
  <c r="BY290" i="82"/>
  <c r="BZ290" i="82"/>
  <c r="CA290" i="82"/>
  <c r="BS291" i="82"/>
  <c r="BT291" i="82"/>
  <c r="BU291" i="82"/>
  <c r="BV291" i="82"/>
  <c r="BW291" i="82"/>
  <c r="BX291" i="82"/>
  <c r="BY291" i="82"/>
  <c r="BZ291" i="82"/>
  <c r="CA291" i="82"/>
  <c r="BS292" i="82"/>
  <c r="BT292" i="82"/>
  <c r="BU292" i="82"/>
  <c r="BV292" i="82"/>
  <c r="BW292" i="82"/>
  <c r="BX292" i="82"/>
  <c r="BY292" i="82"/>
  <c r="BZ292" i="82"/>
  <c r="CA292" i="82"/>
  <c r="BS293" i="82"/>
  <c r="BT293" i="82"/>
  <c r="BU293" i="82"/>
  <c r="BV293" i="82"/>
  <c r="BW293" i="82"/>
  <c r="BX293" i="82"/>
  <c r="BY293" i="82"/>
  <c r="BZ293" i="82"/>
  <c r="CA293" i="82"/>
  <c r="BS294" i="82"/>
  <c r="BT294" i="82"/>
  <c r="BU294" i="82"/>
  <c r="BV294" i="82"/>
  <c r="BW294" i="82"/>
  <c r="BX294" i="82"/>
  <c r="BY294" i="82"/>
  <c r="BZ294" i="82"/>
  <c r="CA294" i="82"/>
  <c r="BS295" i="82"/>
  <c r="BT295" i="82"/>
  <c r="BU295" i="82"/>
  <c r="BV295" i="82"/>
  <c r="BW295" i="82"/>
  <c r="BX295" i="82"/>
  <c r="BY295" i="82"/>
  <c r="BZ295" i="82"/>
  <c r="CA295" i="82"/>
  <c r="BS296" i="82"/>
  <c r="BT296" i="82"/>
  <c r="BU296" i="82"/>
  <c r="BV296" i="82"/>
  <c r="BW296" i="82"/>
  <c r="BX296" i="82"/>
  <c r="BY296" i="82"/>
  <c r="BZ296" i="82"/>
  <c r="CA296" i="82"/>
  <c r="BS297" i="82"/>
  <c r="BT297" i="82"/>
  <c r="BU297" i="82"/>
  <c r="BV297" i="82"/>
  <c r="BW297" i="82"/>
  <c r="BX297" i="82"/>
  <c r="BY297" i="82"/>
  <c r="BZ297" i="82"/>
  <c r="CA297" i="82"/>
  <c r="BS298" i="82"/>
  <c r="BT298" i="82"/>
  <c r="BU298" i="82"/>
  <c r="BV298" i="82"/>
  <c r="BW298" i="82"/>
  <c r="BX298" i="82"/>
  <c r="BY298" i="82"/>
  <c r="BZ298" i="82"/>
  <c r="CA298" i="82"/>
  <c r="BS299" i="82"/>
  <c r="BT299" i="82"/>
  <c r="BU299" i="82"/>
  <c r="BV299" i="82"/>
  <c r="BW299" i="82"/>
  <c r="BX299" i="82"/>
  <c r="BY299" i="82"/>
  <c r="BZ299" i="82"/>
  <c r="CA299" i="82"/>
  <c r="BS300" i="82"/>
  <c r="BT300" i="82"/>
  <c r="BU300" i="82"/>
  <c r="BV300" i="82"/>
  <c r="BW300" i="82"/>
  <c r="BX300" i="82"/>
  <c r="BY300" i="82"/>
  <c r="BZ300" i="82"/>
  <c r="CA300" i="82"/>
  <c r="BS301" i="82"/>
  <c r="BT301" i="82"/>
  <c r="BU301" i="82"/>
  <c r="BV301" i="82"/>
  <c r="BW301" i="82"/>
  <c r="BX301" i="82"/>
  <c r="BY301" i="82"/>
  <c r="BZ301" i="82"/>
  <c r="CA301" i="82"/>
  <c r="BS302" i="82"/>
  <c r="BT302" i="82"/>
  <c r="BU302" i="82"/>
  <c r="BV302" i="82"/>
  <c r="BW302" i="82"/>
  <c r="BX302" i="82"/>
  <c r="BY302" i="82"/>
  <c r="BZ302" i="82"/>
  <c r="CA302" i="82"/>
  <c r="BS303" i="82"/>
  <c r="BT303" i="82"/>
  <c r="BU303" i="82"/>
  <c r="BV303" i="82"/>
  <c r="BW303" i="82"/>
  <c r="BX303" i="82"/>
  <c r="BY303" i="82"/>
  <c r="BZ303" i="82"/>
  <c r="CA303" i="82"/>
  <c r="BS304" i="82"/>
  <c r="BT304" i="82"/>
  <c r="BU304" i="82"/>
  <c r="BV304" i="82"/>
  <c r="BW304" i="82"/>
  <c r="BX304" i="82"/>
  <c r="BY304" i="82"/>
  <c r="BZ304" i="82"/>
  <c r="CA304" i="82"/>
  <c r="BS305" i="82"/>
  <c r="BT305" i="82"/>
  <c r="BU305" i="82"/>
  <c r="BV305" i="82"/>
  <c r="BW305" i="82"/>
  <c r="BX305" i="82"/>
  <c r="BY305" i="82"/>
  <c r="BZ305" i="82"/>
  <c r="CA305" i="82"/>
  <c r="BS306" i="82"/>
  <c r="BT306" i="82"/>
  <c r="BU306" i="82"/>
  <c r="BV306" i="82"/>
  <c r="BW306" i="82"/>
  <c r="BX306" i="82"/>
  <c r="BY306" i="82"/>
  <c r="BZ306" i="82"/>
  <c r="CA306" i="82"/>
  <c r="BS307" i="82"/>
  <c r="BT307" i="82"/>
  <c r="BU307" i="82"/>
  <c r="BV307" i="82"/>
  <c r="BW307" i="82"/>
  <c r="BX307" i="82"/>
  <c r="BY307" i="82"/>
  <c r="BZ307" i="82"/>
  <c r="CA307" i="82"/>
  <c r="BS308" i="82"/>
  <c r="BT308" i="82"/>
  <c r="BU308" i="82"/>
  <c r="BV308" i="82"/>
  <c r="BW308" i="82"/>
  <c r="BX308" i="82"/>
  <c r="BY308" i="82"/>
  <c r="BZ308" i="82"/>
  <c r="CA308" i="82"/>
  <c r="BS309" i="82"/>
  <c r="BT309" i="82"/>
  <c r="BU309" i="82"/>
  <c r="BV309" i="82"/>
  <c r="BW309" i="82"/>
  <c r="BX309" i="82"/>
  <c r="BY309" i="82"/>
  <c r="BZ309" i="82"/>
  <c r="CA309" i="82"/>
  <c r="BS310" i="82"/>
  <c r="BT310" i="82"/>
  <c r="BU310" i="82"/>
  <c r="BV310" i="82"/>
  <c r="BW310" i="82"/>
  <c r="BX310" i="82"/>
  <c r="BY310" i="82"/>
  <c r="BZ310" i="82"/>
  <c r="CA310" i="82"/>
  <c r="BS311" i="82"/>
  <c r="BT311" i="82"/>
  <c r="BU311" i="82"/>
  <c r="BV311" i="82"/>
  <c r="BW311" i="82"/>
  <c r="BX311" i="82"/>
  <c r="BY311" i="82"/>
  <c r="BZ311" i="82"/>
  <c r="CA311" i="82"/>
  <c r="BS312" i="82"/>
  <c r="BT312" i="82"/>
  <c r="BU312" i="82"/>
  <c r="BV312" i="82"/>
  <c r="BW312" i="82"/>
  <c r="BX312" i="82"/>
  <c r="BY312" i="82"/>
  <c r="BZ312" i="82"/>
  <c r="CA312" i="82"/>
  <c r="BS313" i="82"/>
  <c r="BT313" i="82"/>
  <c r="BU313" i="82"/>
  <c r="BV313" i="82"/>
  <c r="BW313" i="82"/>
  <c r="BX313" i="82"/>
  <c r="BY313" i="82"/>
  <c r="BZ313" i="82"/>
  <c r="CA313" i="82"/>
  <c r="BS314" i="82"/>
  <c r="BT314" i="82"/>
  <c r="BU314" i="82"/>
  <c r="BV314" i="82"/>
  <c r="BW314" i="82"/>
  <c r="BX314" i="82"/>
  <c r="BY314" i="82"/>
  <c r="BZ314" i="82"/>
  <c r="CA314" i="82"/>
  <c r="BS315" i="82"/>
  <c r="BT315" i="82"/>
  <c r="BU315" i="82"/>
  <c r="BV315" i="82"/>
  <c r="BW315" i="82"/>
  <c r="BX315" i="82"/>
  <c r="BY315" i="82"/>
  <c r="BZ315" i="82"/>
  <c r="CA315" i="82"/>
  <c r="BS316" i="82"/>
  <c r="BT316" i="82"/>
  <c r="BU316" i="82"/>
  <c r="BV316" i="82"/>
  <c r="BW316" i="82"/>
  <c r="BX316" i="82"/>
  <c r="BY316" i="82"/>
  <c r="BZ316" i="82"/>
  <c r="CA316" i="82"/>
  <c r="BS317" i="82"/>
  <c r="BT317" i="82"/>
  <c r="BU317" i="82"/>
  <c r="BV317" i="82"/>
  <c r="BW317" i="82"/>
  <c r="BX317" i="82"/>
  <c r="BY317" i="82"/>
  <c r="BZ317" i="82"/>
  <c r="CA317" i="82"/>
  <c r="BS318" i="82"/>
  <c r="BT318" i="82"/>
  <c r="BU318" i="82"/>
  <c r="BV318" i="82"/>
  <c r="BW318" i="82"/>
  <c r="BX318" i="82"/>
  <c r="BY318" i="82"/>
  <c r="BZ318" i="82"/>
  <c r="CA318" i="82"/>
  <c r="BS319" i="82"/>
  <c r="BT319" i="82"/>
  <c r="BU319" i="82"/>
  <c r="BV319" i="82"/>
  <c r="BW319" i="82"/>
  <c r="BX319" i="82"/>
  <c r="BY319" i="82"/>
  <c r="BZ319" i="82"/>
  <c r="CA319" i="82"/>
  <c r="BS320" i="82"/>
  <c r="BT320" i="82"/>
  <c r="BU320" i="82"/>
  <c r="BV320" i="82"/>
  <c r="BW320" i="82"/>
  <c r="BX320" i="82"/>
  <c r="BY320" i="82"/>
  <c r="BZ320" i="82"/>
  <c r="CA320" i="82"/>
  <c r="BS321" i="82"/>
  <c r="BT321" i="82"/>
  <c r="BU321" i="82"/>
  <c r="BV321" i="82"/>
  <c r="BW321" i="82"/>
  <c r="BX321" i="82"/>
  <c r="BY321" i="82"/>
  <c r="BZ321" i="82"/>
  <c r="CA321" i="82"/>
  <c r="BS322" i="82"/>
  <c r="BT322" i="82"/>
  <c r="BU322" i="82"/>
  <c r="BV322" i="82"/>
  <c r="BW322" i="82"/>
  <c r="BX322" i="82"/>
  <c r="BY322" i="82"/>
  <c r="BZ322" i="82"/>
  <c r="CA322" i="82"/>
  <c r="BS323" i="82"/>
  <c r="BT323" i="82"/>
  <c r="BU323" i="82"/>
  <c r="BV323" i="82"/>
  <c r="BW323" i="82"/>
  <c r="BX323" i="82"/>
  <c r="BY323" i="82"/>
  <c r="BZ323" i="82"/>
  <c r="CA323" i="82"/>
  <c r="BS324" i="82"/>
  <c r="BT324" i="82"/>
  <c r="BU324" i="82"/>
  <c r="BV324" i="82"/>
  <c r="BW324" i="82"/>
  <c r="BX324" i="82"/>
  <c r="BY324" i="82"/>
  <c r="BZ324" i="82"/>
  <c r="CA324" i="82"/>
  <c r="BS325" i="82"/>
  <c r="BT325" i="82"/>
  <c r="BU325" i="82"/>
  <c r="BV325" i="82"/>
  <c r="BW325" i="82"/>
  <c r="BX325" i="82"/>
  <c r="BY325" i="82"/>
  <c r="BZ325" i="82"/>
  <c r="CA325" i="82"/>
  <c r="BS326" i="82"/>
  <c r="BT326" i="82"/>
  <c r="BU326" i="82"/>
  <c r="BV326" i="82"/>
  <c r="BW326" i="82"/>
  <c r="BX326" i="82"/>
  <c r="BY326" i="82"/>
  <c r="BZ326" i="82"/>
  <c r="CA326" i="82"/>
  <c r="BS327" i="82"/>
  <c r="BT327" i="82"/>
  <c r="BU327" i="82"/>
  <c r="BV327" i="82"/>
  <c r="BW327" i="82"/>
  <c r="BX327" i="82"/>
  <c r="BY327" i="82"/>
  <c r="BZ327" i="82"/>
  <c r="CA327" i="82"/>
  <c r="BS332" i="82"/>
  <c r="BT332" i="82"/>
  <c r="BU332" i="82"/>
  <c r="BV332" i="82"/>
  <c r="BW332" i="82"/>
  <c r="BX332" i="82"/>
  <c r="BY332" i="82"/>
  <c r="BZ332" i="82"/>
  <c r="CA332" i="82"/>
  <c r="BS333" i="82"/>
  <c r="BT333" i="82"/>
  <c r="BU333" i="82"/>
  <c r="BV333" i="82"/>
  <c r="BW333" i="82"/>
  <c r="BX333" i="82"/>
  <c r="BY333" i="82"/>
  <c r="BZ333" i="82"/>
  <c r="CA333" i="82"/>
  <c r="BS334" i="82"/>
  <c r="BT334" i="82"/>
  <c r="BU334" i="82"/>
  <c r="BV334" i="82"/>
  <c r="BW334" i="82"/>
  <c r="BX334" i="82"/>
  <c r="BY334" i="82"/>
  <c r="BZ334" i="82"/>
  <c r="CA334" i="82"/>
  <c r="E284" i="84"/>
  <c r="F284" i="84"/>
  <c r="G284" i="84"/>
  <c r="H284" i="84"/>
  <c r="I284" i="84"/>
  <c r="J284" i="84"/>
  <c r="K284" i="84"/>
  <c r="L284" i="84"/>
  <c r="M284" i="84"/>
  <c r="N284" i="84"/>
  <c r="O284" i="84"/>
  <c r="P284" i="84"/>
  <c r="Q284" i="84"/>
  <c r="R284" i="84"/>
  <c r="S284" i="84"/>
  <c r="T284" i="84"/>
  <c r="U284" i="84"/>
  <c r="V284" i="84"/>
  <c r="W284" i="84"/>
  <c r="X284" i="84"/>
  <c r="Y284" i="84"/>
  <c r="Z284" i="84"/>
  <c r="AA284" i="84"/>
  <c r="AB284" i="84"/>
  <c r="AC284" i="84"/>
  <c r="AD284" i="84"/>
  <c r="AE284" i="84"/>
  <c r="AF284" i="84"/>
  <c r="AG284" i="84"/>
  <c r="AH284" i="84"/>
  <c r="AI284" i="84"/>
  <c r="AJ284" i="84"/>
  <c r="AK284" i="84"/>
  <c r="AL284" i="84"/>
  <c r="AM284" i="84"/>
  <c r="AN284" i="84"/>
  <c r="AO284" i="84"/>
  <c r="AP284" i="84"/>
  <c r="AQ284" i="84"/>
  <c r="AR284" i="84"/>
  <c r="AS284" i="84"/>
  <c r="AT284" i="84"/>
  <c r="AU284" i="84"/>
  <c r="AV284" i="84"/>
  <c r="AW284" i="84"/>
  <c r="AX284" i="84"/>
  <c r="AY284" i="84"/>
  <c r="AZ284" i="84"/>
  <c r="BA284" i="84"/>
  <c r="BB284" i="84"/>
  <c r="BC284" i="84"/>
  <c r="BD284" i="84"/>
  <c r="BE284" i="84"/>
  <c r="BF284" i="84"/>
  <c r="BG284" i="84"/>
  <c r="BH284" i="84"/>
  <c r="BI284" i="84"/>
  <c r="BJ284" i="84"/>
  <c r="BK284" i="84"/>
  <c r="BL284" i="84"/>
  <c r="BM284" i="84"/>
  <c r="BN284" i="84"/>
  <c r="BO284" i="84"/>
  <c r="BP284" i="84"/>
  <c r="BQ284" i="84"/>
  <c r="BR284" i="84"/>
  <c r="BS284" i="84"/>
  <c r="BT284" i="84"/>
  <c r="BU284" i="84"/>
  <c r="BV284" i="84"/>
  <c r="BW284" i="84"/>
  <c r="BX284" i="84"/>
  <c r="BY284" i="84"/>
  <c r="BZ284" i="84"/>
  <c r="CA284" i="84"/>
  <c r="D284" i="84"/>
  <c r="BU328" i="82" l="1"/>
  <c r="BU329" i="82" s="1"/>
  <c r="BU336" i="82" s="1"/>
  <c r="BX328" i="82"/>
  <c r="BX329" i="82" s="1"/>
  <c r="BX336" i="82" s="1"/>
  <c r="BT328" i="82"/>
  <c r="BT329" i="82" s="1"/>
  <c r="BT336" i="82" s="1"/>
  <c r="BW328" i="82"/>
  <c r="BW329" i="82" s="1"/>
  <c r="BW336" i="82" s="1"/>
  <c r="BY328" i="82"/>
  <c r="BY329" i="82" s="1"/>
  <c r="BY336" i="82" s="1"/>
  <c r="BV328" i="82"/>
  <c r="BV329" i="82" s="1"/>
  <c r="BV336" i="82" s="1"/>
  <c r="CA328" i="82"/>
  <c r="CA329" i="82" s="1"/>
  <c r="CA336" i="82" s="1"/>
  <c r="CA339" i="82" s="1"/>
  <c r="BZ328" i="82"/>
  <c r="BZ329" i="82" s="1"/>
  <c r="BZ336" i="82" s="1"/>
  <c r="L239" i="28" l="1"/>
  <c r="L240" i="28"/>
  <c r="G86" i="1"/>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AZ278" i="82"/>
  <c r="BA278" i="82"/>
  <c r="BB278" i="82"/>
  <c r="BC278" i="82"/>
  <c r="BD278" i="82"/>
  <c r="BE278" i="82"/>
  <c r="BF278" i="82"/>
  <c r="BG278" i="82"/>
  <c r="BH278" i="82"/>
  <c r="BI278" i="82"/>
  <c r="BJ278" i="82"/>
  <c r="BK278" i="82"/>
  <c r="BL278" i="82"/>
  <c r="BM278" i="82"/>
  <c r="BN278" i="82"/>
  <c r="BO278" i="82"/>
  <c r="BP278" i="82"/>
  <c r="BQ278" i="82"/>
  <c r="BR278" i="82"/>
  <c r="D278" i="82"/>
  <c r="N30" i="88"/>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D333" i="82"/>
  <c r="D334" i="82"/>
  <c r="D332" i="82"/>
  <c r="B324" i="82"/>
  <c r="C324" i="82"/>
  <c r="D324"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A324" i="82"/>
  <c r="E239" i="1"/>
  <c r="E240" i="1"/>
  <c r="E241" i="1"/>
  <c r="E228" i="1"/>
  <c r="E229" i="1"/>
  <c r="E231" i="1"/>
  <c r="E232" i="1"/>
  <c r="E233" i="1"/>
  <c r="E234" i="1"/>
  <c r="E235" i="1"/>
  <c r="B285" i="82"/>
  <c r="C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286" i="82"/>
  <c r="C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287" i="82"/>
  <c r="C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288" i="82"/>
  <c r="C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289" i="82"/>
  <c r="C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290" i="82"/>
  <c r="C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291" i="82"/>
  <c r="C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292" i="82"/>
  <c r="C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293" i="82"/>
  <c r="C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294" i="82"/>
  <c r="C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295" i="82"/>
  <c r="C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296" i="82"/>
  <c r="C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297" i="82"/>
  <c r="C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298" i="82"/>
  <c r="C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299" i="82"/>
  <c r="C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300" i="82"/>
  <c r="C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301" i="82"/>
  <c r="C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302" i="82"/>
  <c r="C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303" i="82"/>
  <c r="C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304" i="82"/>
  <c r="C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305" i="82"/>
  <c r="C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306" i="82"/>
  <c r="C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307" i="82"/>
  <c r="C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308" i="82"/>
  <c r="C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309" i="82"/>
  <c r="C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310" i="82"/>
  <c r="C310" i="82"/>
  <c r="D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311" i="82"/>
  <c r="C311" i="82"/>
  <c r="D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312" i="82"/>
  <c r="C312" i="82"/>
  <c r="D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313" i="82"/>
  <c r="C313" i="82"/>
  <c r="D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317" i="82"/>
  <c r="C317" i="82"/>
  <c r="D317"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318" i="82"/>
  <c r="C318" i="82"/>
  <c r="D318"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319" i="82"/>
  <c r="C319" i="82"/>
  <c r="D319"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320" i="82"/>
  <c r="C320" i="82"/>
  <c r="D320"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321" i="82"/>
  <c r="C321" i="82"/>
  <c r="D321"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322" i="82"/>
  <c r="C322" i="82"/>
  <c r="D322"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323" i="82"/>
  <c r="C323" i="82"/>
  <c r="D323"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325" i="82"/>
  <c r="C325" i="82"/>
  <c r="D325"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326" i="82"/>
  <c r="C326" i="82"/>
  <c r="D326"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327" i="82"/>
  <c r="C327" i="82"/>
  <c r="D327"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A334" i="82"/>
  <c r="A333" i="82"/>
  <c r="A332" i="82"/>
  <c r="A327" i="82"/>
  <c r="A326" i="82"/>
  <c r="A325" i="82"/>
  <c r="A323" i="82"/>
  <c r="A322" i="82"/>
  <c r="A321" i="82"/>
  <c r="A320" i="82"/>
  <c r="A317" i="82"/>
  <c r="A318" i="82"/>
  <c r="A319" i="82"/>
  <c r="A316" i="82"/>
  <c r="A315" i="82"/>
  <c r="A314" i="82"/>
  <c r="A311" i="82"/>
  <c r="A312" i="82"/>
  <c r="A313" i="82"/>
  <c r="A310" i="82"/>
  <c r="A308" i="82"/>
  <c r="A309" i="82"/>
  <c r="A307" i="82"/>
  <c r="A306" i="82"/>
  <c r="A305" i="82"/>
  <c r="A304" i="82"/>
  <c r="A303" i="82"/>
  <c r="A302" i="82"/>
  <c r="A301" i="82"/>
  <c r="A300" i="82"/>
  <c r="A299" i="82"/>
  <c r="A298" i="82"/>
  <c r="A297" i="82"/>
  <c r="A296" i="82"/>
  <c r="A295" i="82"/>
  <c r="A294" i="82"/>
  <c r="A293" i="82"/>
  <c r="A292" i="82"/>
  <c r="A291" i="82"/>
  <c r="A290" i="82"/>
  <c r="A289" i="82"/>
  <c r="A288" i="82"/>
  <c r="A287" i="82"/>
  <c r="A286" i="82"/>
  <c r="A285" i="82"/>
  <c r="BR276" i="84"/>
  <c r="BQ276" i="84"/>
  <c r="BP276" i="84"/>
  <c r="BO276" i="84"/>
  <c r="BN276" i="84"/>
  <c r="BM276" i="84"/>
  <c r="BL276" i="84"/>
  <c r="BK276" i="84"/>
  <c r="BJ276" i="84"/>
  <c r="BI276" i="84"/>
  <c r="BH276" i="84"/>
  <c r="BG276" i="84"/>
  <c r="BF276" i="84"/>
  <c r="BE276" i="84"/>
  <c r="BD276" i="84"/>
  <c r="BC276" i="84"/>
  <c r="BB276" i="84"/>
  <c r="BA276" i="84"/>
  <c r="AZ276" i="84"/>
  <c r="AY276" i="84"/>
  <c r="AX276" i="84"/>
  <c r="AW276" i="84"/>
  <c r="AV276" i="84"/>
  <c r="AU276" i="84"/>
  <c r="AT276" i="84"/>
  <c r="AS276" i="84"/>
  <c r="AR276" i="84"/>
  <c r="AQ276" i="84"/>
  <c r="AP276" i="84"/>
  <c r="AO276" i="84"/>
  <c r="AN276" i="84"/>
  <c r="AM276" i="84"/>
  <c r="AL276" i="84"/>
  <c r="AK276" i="84"/>
  <c r="AJ276" i="84"/>
  <c r="AI276" i="84"/>
  <c r="AH276" i="84"/>
  <c r="AG276" i="84"/>
  <c r="AF276" i="84"/>
  <c r="AE276" i="84"/>
  <c r="AD276" i="84"/>
  <c r="AC276" i="84"/>
  <c r="AB276" i="84"/>
  <c r="AA276" i="84"/>
  <c r="Z276" i="84"/>
  <c r="Y276" i="84"/>
  <c r="X276" i="84"/>
  <c r="W276" i="84"/>
  <c r="V276" i="84"/>
  <c r="T276" i="84"/>
  <c r="S276" i="84"/>
  <c r="R276" i="84"/>
  <c r="Q276" i="84"/>
  <c r="P276" i="84"/>
  <c r="O276" i="84"/>
  <c r="N276" i="84"/>
  <c r="M276" i="84"/>
  <c r="L276" i="84"/>
  <c r="K276" i="84"/>
  <c r="J276" i="84"/>
  <c r="I276" i="84"/>
  <c r="H276" i="84"/>
  <c r="G276" i="84"/>
  <c r="F276" i="84"/>
  <c r="E276" i="84"/>
  <c r="D276" i="84"/>
  <c r="D277" i="84"/>
  <c r="E277" i="84"/>
  <c r="F277" i="84"/>
  <c r="G277" i="84"/>
  <c r="H277" i="84"/>
  <c r="I277" i="84"/>
  <c r="J277" i="84"/>
  <c r="K277" i="84"/>
  <c r="L277" i="84"/>
  <c r="M277" i="84"/>
  <c r="N277" i="84"/>
  <c r="O277" i="84"/>
  <c r="P277" i="84"/>
  <c r="Q277" i="84"/>
  <c r="R277" i="84"/>
  <c r="S277" i="84"/>
  <c r="T277" i="84"/>
  <c r="U277" i="84"/>
  <c r="V277" i="84"/>
  <c r="W277" i="84"/>
  <c r="X277" i="84"/>
  <c r="Y277" i="84"/>
  <c r="Z277" i="84"/>
  <c r="AA277" i="84"/>
  <c r="AB277" i="84"/>
  <c r="AC277" i="84"/>
  <c r="AD277" i="84"/>
  <c r="AE277" i="84"/>
  <c r="AF277" i="84"/>
  <c r="AG277" i="84"/>
  <c r="AH277" i="84"/>
  <c r="AI277" i="84"/>
  <c r="AJ277" i="84"/>
  <c r="AK277" i="84"/>
  <c r="AL277" i="84"/>
  <c r="AM277" i="84"/>
  <c r="AN277" i="84"/>
  <c r="AO277" i="84"/>
  <c r="AP277" i="84"/>
  <c r="AQ277" i="84"/>
  <c r="AR277" i="84"/>
  <c r="AS277" i="84"/>
  <c r="AT277" i="84"/>
  <c r="AU277" i="84"/>
  <c r="AV277" i="84"/>
  <c r="AW277" i="84"/>
  <c r="AX277" i="84"/>
  <c r="AY277" i="84"/>
  <c r="AZ277" i="84"/>
  <c r="BA277" i="84"/>
  <c r="BB277" i="84"/>
  <c r="BC277" i="84"/>
  <c r="BD277" i="84"/>
  <c r="BE277" i="84"/>
  <c r="BF277" i="84"/>
  <c r="BG277" i="84"/>
  <c r="BH277" i="84"/>
  <c r="BI277" i="84"/>
  <c r="BJ277" i="84"/>
  <c r="BK277" i="84"/>
  <c r="BL277" i="84"/>
  <c r="BM277" i="84"/>
  <c r="BN277" i="84"/>
  <c r="BO277" i="84"/>
  <c r="BP277" i="84"/>
  <c r="BQ277" i="84"/>
  <c r="BR277" i="84"/>
  <c r="H77" i="1"/>
  <c r="D27" i="91"/>
  <c r="G13" i="88"/>
  <c r="BQ328" i="82" l="1"/>
  <c r="BQ329" i="82" s="1"/>
  <c r="BQ336" i="82" s="1"/>
  <c r="Z328" i="82"/>
  <c r="Z329" i="82" s="1"/>
  <c r="Z336" i="82" s="1"/>
  <c r="AO328" i="82"/>
  <c r="AO329" i="82" s="1"/>
  <c r="AO336" i="82" s="1"/>
  <c r="AZ328" i="82"/>
  <c r="AZ329" i="82" s="1"/>
  <c r="AZ336" i="82" s="1"/>
  <c r="N328" i="82"/>
  <c r="N329" i="82" s="1"/>
  <c r="N336" i="82" s="1"/>
  <c r="BA328" i="82"/>
  <c r="BA329" i="82" s="1"/>
  <c r="BA336" i="82" s="1"/>
  <c r="BD328" i="82"/>
  <c r="BD329" i="82" s="1"/>
  <c r="BD336" i="82" s="1"/>
  <c r="AC328" i="82"/>
  <c r="AC329" i="82" s="1"/>
  <c r="AC336" i="82" s="1"/>
  <c r="AN328" i="82"/>
  <c r="AN329" i="82" s="1"/>
  <c r="AN336" i="82" s="1"/>
  <c r="BM328" i="82"/>
  <c r="BM329" i="82" s="1"/>
  <c r="BM336" i="82" s="1"/>
  <c r="P328" i="82"/>
  <c r="P329" i="82" s="1"/>
  <c r="P336" i="82" s="1"/>
  <c r="M328" i="82"/>
  <c r="M329" i="82" s="1"/>
  <c r="M336" i="82" s="1"/>
  <c r="BO328" i="82"/>
  <c r="BO329" i="82" s="1"/>
  <c r="BO336" i="82" s="1"/>
  <c r="BC328" i="82"/>
  <c r="BC329" i="82" s="1"/>
  <c r="BC336" i="82" s="1"/>
  <c r="AM328" i="82"/>
  <c r="AM329" i="82" s="1"/>
  <c r="AM336" i="82" s="1"/>
  <c r="AA328" i="82"/>
  <c r="AA329" i="82" s="1"/>
  <c r="AA336" i="82" s="1"/>
  <c r="O328" i="82"/>
  <c r="O329" i="82" s="1"/>
  <c r="O336" i="82" s="1"/>
  <c r="BJ328" i="82"/>
  <c r="BJ329" i="82" s="1"/>
  <c r="BJ336" i="82" s="1"/>
  <c r="AX328" i="82"/>
  <c r="AX329" i="82" s="1"/>
  <c r="AX336" i="82" s="1"/>
  <c r="AK328" i="82"/>
  <c r="AK329" i="82" s="1"/>
  <c r="AK336" i="82" s="1"/>
  <c r="Y328" i="82"/>
  <c r="Y329" i="82" s="1"/>
  <c r="Y336" i="82" s="1"/>
  <c r="AH328" i="82"/>
  <c r="AH329" i="82" s="1"/>
  <c r="AH336" i="82" s="1"/>
  <c r="V328" i="82"/>
  <c r="V329" i="82" s="1"/>
  <c r="V336" i="82" s="1"/>
  <c r="J328" i="82"/>
  <c r="J329" i="82" s="1"/>
  <c r="J336" i="82" s="1"/>
  <c r="AQ328" i="82"/>
  <c r="AQ329" i="82" s="1"/>
  <c r="AQ336" i="82" s="1"/>
  <c r="AE328" i="82"/>
  <c r="AE329" i="82" s="1"/>
  <c r="AE336" i="82" s="1"/>
  <c r="S328" i="82"/>
  <c r="S329" i="82" s="1"/>
  <c r="S336" i="82" s="1"/>
  <c r="G328" i="82"/>
  <c r="G329" i="82" s="1"/>
  <c r="G336" i="82" s="1"/>
  <c r="AJ328" i="82"/>
  <c r="AJ329" i="82" s="1"/>
  <c r="AJ336" i="82" s="1"/>
  <c r="X328" i="82"/>
  <c r="X329" i="82" s="1"/>
  <c r="X336" i="82" s="1"/>
  <c r="L328" i="82"/>
  <c r="L329" i="82" s="1"/>
  <c r="L336" i="82" s="1"/>
  <c r="AG328" i="82"/>
  <c r="AG329" i="82" s="1"/>
  <c r="AG336" i="82" s="1"/>
  <c r="U328" i="82"/>
  <c r="U329" i="82" s="1"/>
  <c r="U336" i="82" s="1"/>
  <c r="I328" i="82"/>
  <c r="I329" i="82" s="1"/>
  <c r="I336" i="82" s="1"/>
  <c r="BN328" i="82"/>
  <c r="BN329" i="82" s="1"/>
  <c r="BN336" i="82" s="1"/>
  <c r="BB328" i="82"/>
  <c r="BB329" i="82" s="1"/>
  <c r="BB336" i="82" s="1"/>
  <c r="AP328" i="82"/>
  <c r="AP329" i="82" s="1"/>
  <c r="AP336" i="82" s="1"/>
  <c r="AD328" i="82"/>
  <c r="AD329" i="82" s="1"/>
  <c r="AD336" i="82" s="1"/>
  <c r="R328" i="82"/>
  <c r="R329" i="82" s="1"/>
  <c r="R336" i="82" s="1"/>
  <c r="F328" i="82"/>
  <c r="F329" i="82" s="1"/>
  <c r="F336" i="82" s="1"/>
  <c r="BL328" i="82"/>
  <c r="BL329" i="82" s="1"/>
  <c r="BL336" i="82" s="1"/>
  <c r="BK328" i="82"/>
  <c r="BK329" i="82" s="1"/>
  <c r="BK336" i="82" s="1"/>
  <c r="AY328" i="82"/>
  <c r="AY329" i="82" s="1"/>
  <c r="AY336" i="82" s="1"/>
  <c r="BH328" i="82"/>
  <c r="BH329" i="82" s="1"/>
  <c r="BH336" i="82" s="1"/>
  <c r="AV328" i="82"/>
  <c r="AV329" i="82" s="1"/>
  <c r="AV336" i="82" s="1"/>
  <c r="BR328" i="82"/>
  <c r="BR329" i="82" s="1"/>
  <c r="BR336" i="82" s="1"/>
  <c r="AT328" i="82"/>
  <c r="AT329" i="82" s="1"/>
  <c r="AT336" i="82" s="1"/>
  <c r="AL328" i="82"/>
  <c r="AL329" i="82" s="1"/>
  <c r="AL336" i="82" s="1"/>
  <c r="AI328" i="82"/>
  <c r="AI329" i="82" s="1"/>
  <c r="AI336" i="82" s="1"/>
  <c r="W328" i="82"/>
  <c r="W329" i="82" s="1"/>
  <c r="W336" i="82" s="1"/>
  <c r="K328" i="82"/>
  <c r="K329" i="82" s="1"/>
  <c r="K336" i="82" s="1"/>
  <c r="BP328" i="82"/>
  <c r="BP329" i="82" s="1"/>
  <c r="BP336" i="82" s="1"/>
  <c r="AR328" i="82"/>
  <c r="AR329" i="82" s="1"/>
  <c r="AR336" i="82" s="1"/>
  <c r="AF328" i="82"/>
  <c r="AF329" i="82" s="1"/>
  <c r="AF336" i="82" s="1"/>
  <c r="T328" i="82"/>
  <c r="T329" i="82" s="1"/>
  <c r="T336" i="82" s="1"/>
  <c r="H328" i="82"/>
  <c r="H329" i="82" s="1"/>
  <c r="H336" i="82" s="1"/>
  <c r="Q328" i="82"/>
  <c r="Q329" i="82" s="1"/>
  <c r="Q336" i="82" s="1"/>
  <c r="E328" i="82"/>
  <c r="E329" i="82" s="1"/>
  <c r="AB328" i="82"/>
  <c r="AB329" i="82" s="1"/>
  <c r="AB336" i="82" s="1"/>
  <c r="D328" i="82"/>
  <c r="D329" i="82" s="1"/>
  <c r="D336" i="82" s="1"/>
  <c r="D339" i="82" s="1"/>
  <c r="BG328" i="82"/>
  <c r="BG329" i="82" s="1"/>
  <c r="BG336" i="82" s="1"/>
  <c r="AU328" i="82"/>
  <c r="AU329" i="82" s="1"/>
  <c r="AU336" i="82" s="1"/>
  <c r="BF328" i="82"/>
  <c r="BF329" i="82" s="1"/>
  <c r="BF336" i="82" s="1"/>
  <c r="BE328" i="82"/>
  <c r="BE329" i="82" s="1"/>
  <c r="BE336" i="82" s="1"/>
  <c r="AS328" i="82"/>
  <c r="AS329" i="82" s="1"/>
  <c r="AS336" i="82" s="1"/>
  <c r="BI328" i="82"/>
  <c r="BI329" i="82" s="1"/>
  <c r="BI336" i="82" s="1"/>
  <c r="AW328" i="82"/>
  <c r="AW329" i="82" s="1"/>
  <c r="AW336" i="82" s="1"/>
  <c r="D28" i="91"/>
  <c r="D29" i="91"/>
  <c r="E336" i="82" l="1"/>
  <c r="E339" i="82" s="1"/>
  <c r="D24" i="91"/>
  <c r="D23" i="91"/>
  <c r="D22" i="91"/>
  <c r="D19" i="91"/>
  <c r="D18" i="91"/>
  <c r="D17" i="91"/>
  <c r="D16" i="91"/>
  <c r="L30" i="88"/>
  <c r="M30" i="88"/>
  <c r="G30" i="88" s="1"/>
  <c r="C259" i="28"/>
  <c r="E259" i="28"/>
  <c r="L259" i="28" s="1"/>
  <c r="E30" i="88" s="1"/>
  <c r="A259" i="28"/>
  <c r="D31" i="91" l="1"/>
  <c r="D26" i="91"/>
  <c r="D13" i="91" l="1"/>
  <c r="D33" i="91"/>
  <c r="D15" i="91"/>
  <c r="D14" i="91"/>
  <c r="E219" i="28"/>
  <c r="C228" i="28" l="1"/>
  <c r="E218" i="28" l="1"/>
  <c r="E231" i="28" l="1"/>
  <c r="L219" i="28" l="1"/>
  <c r="C219" i="28"/>
  <c r="E279" i="82" l="1"/>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AZ279" i="82"/>
  <c r="BA279" i="82"/>
  <c r="BB279" i="82"/>
  <c r="BC279" i="82"/>
  <c r="BD279" i="82"/>
  <c r="BE279" i="82"/>
  <c r="BF279" i="82"/>
  <c r="BG279" i="82"/>
  <c r="BH279" i="82"/>
  <c r="BI279" i="82"/>
  <c r="BJ279" i="82"/>
  <c r="BK279" i="82"/>
  <c r="BL279" i="82"/>
  <c r="BM279" i="82"/>
  <c r="BN279" i="82"/>
  <c r="BO279" i="82"/>
  <c r="BP279" i="82"/>
  <c r="BQ279" i="82"/>
  <c r="BR279" i="82"/>
  <c r="D279" i="82"/>
  <c r="D25" i="91" l="1"/>
  <c r="E146" i="28" l="1"/>
  <c r="E147" i="28"/>
  <c r="M13" i="88"/>
  <c r="D35" i="91" l="1"/>
  <c r="C220" i="28" l="1"/>
  <c r="E230" i="28"/>
  <c r="E229" i="28"/>
  <c r="C109" i="72" l="1"/>
  <c r="E21" i="1" l="1"/>
  <c r="E14" i="1"/>
  <c r="E11" i="1"/>
  <c r="E264" i="1" l="1"/>
  <c r="E261" i="1"/>
  <c r="E260" i="1"/>
  <c r="E255" i="1"/>
  <c r="E256" i="1"/>
  <c r="E257" i="1"/>
  <c r="E258" i="1"/>
  <c r="E259" i="1"/>
  <c r="E254" i="1"/>
  <c r="E251" i="1"/>
  <c r="E249" i="1"/>
  <c r="E247" i="1"/>
  <c r="E245" i="1"/>
  <c r="E243" i="1"/>
  <c r="E244" i="1"/>
  <c r="E242" i="1"/>
  <c r="E238" i="1"/>
  <c r="E227"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11" i="89" l="1"/>
  <c r="B7"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E204" i="1" l="1"/>
  <c r="E295" i="1" s="1"/>
  <c r="E191" i="1"/>
  <c r="E198" i="1"/>
  <c r="E294" i="1" s="1"/>
  <c r="E210" i="1"/>
  <c r="Y269" i="28"/>
  <c r="X267" i="28"/>
  <c r="X266" i="28"/>
  <c r="X269" i="28" s="1"/>
  <c r="Z269" i="28" s="1"/>
  <c r="E293" i="1" l="1"/>
  <c r="E296" i="1"/>
  <c r="E211" i="1"/>
  <c r="E297" i="1" s="1"/>
  <c r="E292" i="1" l="1"/>
  <c r="E299" i="1" s="1"/>
  <c r="A290" i="1"/>
  <c r="G114" i="1" l="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P19" i="88" l="1"/>
  <c r="Q19" i="88"/>
  <c r="Q28" i="88"/>
  <c r="P28" i="88"/>
  <c r="L28" i="88" s="1"/>
  <c r="L19" i="88"/>
  <c r="M28" i="88"/>
  <c r="M19" i="88"/>
  <c r="L27" i="88"/>
  <c r="Q25" i="88"/>
  <c r="M25" i="88" s="1"/>
  <c r="L15" i="88"/>
  <c r="P25" i="88"/>
  <c r="L25" i="88" s="1"/>
  <c r="P16" i="88"/>
  <c r="L16" i="88" s="1"/>
  <c r="M24" i="88"/>
  <c r="Q16" i="88"/>
  <c r="M16" i="88" s="1"/>
  <c r="M15" i="88"/>
  <c r="M21" i="88"/>
  <c r="D21" i="88" s="1"/>
  <c r="L11" i="88"/>
  <c r="L24" i="88"/>
  <c r="L21" i="88"/>
  <c r="C21" i="88" s="1"/>
  <c r="M11" i="88"/>
  <c r="M18" i="88"/>
  <c r="M27" i="88"/>
  <c r="L18"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<sst xmlns="http://schemas.openxmlformats.org/spreadsheetml/2006/main" count="6591" uniqueCount="2663">
  <si>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</si>
  <si>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</si>
  <si>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</si>
  <si>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</si>
  <si>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</si>
  <si>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</si>
  <si>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</si>
  <si>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</si>
  <si>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</si>
  <si>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</si>
  <si>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</si>
  <si>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</si>
  <si>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</si>
  <si>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</si>
  <si>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</si>
  <si>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</si>
  <si>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</si>
  <si>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</si>
  <si>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</si>
  <si>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</si>
  <si>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</si>
  <si>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</si>
  <si>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</si>
  <si>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</si>
  <si>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</si>
  <si>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</si>
  <si>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</si>
  <si>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</si>
  <si>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</si>
  <si>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</si>
  <si>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</si>
  <si>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</si>
  <si>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</si>
  <si>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</si>
  <si>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</si>
  <si>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</si>
  <si>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</si>
  <si>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</si>
  <si>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</si>
  <si>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</si>
  <si>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</si>
  <si>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</si>
  <si>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</si>
  <si>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</si>
  <si>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</si>
  <si>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</si>
  <si>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</si>
  <si>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</si>
  <si>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</si>
  <si>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</si>
  <si>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</si>
  <si>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</si>
  <si>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</si>
  <si>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</si>
  <si>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</si>
  <si>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</si>
  <si>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</si>
  <si>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</si>
  <si>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</si>
  <si>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</si>
  <si>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</si>
  <si>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</si>
  <si>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</si>
  <si>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</si>
  <si>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</si>
  <si>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</si>
  <si>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</si>
  <si>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</si>
  <si>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</si>
  <si>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</si>
  <si>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</si>
  <si>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</si>
  <si>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</si>
  <si>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</si>
  <si>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</si>
  <si>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</si>
  <si>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</si>
  <si>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</si>
  <si>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</si>
  <si>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</si>
  <si>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</si>
  <si>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</si>
  <si>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</si>
  <si>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</si>
  <si>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</si>
  <si>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</si>
  <si>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</si>
  <si>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</si>
  <si>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</si>
  <si>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</si>
  <si>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</si>
  <si>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</si>
  <si>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</si>
  <si>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</si>
  <si>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</si>
  <si>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</si>
  <si>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</si>
  <si>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</si>
  <si>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</si>
  <si>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</si>
  <si>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</si>
  <si>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</si>
  <si>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</si>
  <si>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</si>
  <si>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</si>
  <si>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</si>
  <si>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</si>
  <si>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</si>
  <si>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</si>
  <si>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</si>
  <si>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</si>
  <si>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</si>
  <si>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</si>
  <si>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</si>
  <si>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</si>
  <si>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</si>
  <si>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</si>
  <si>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</si>
  <si>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</si>
  <si>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</si>
  <si>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</si>
  <si>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</si>
  <si>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</si>
  <si>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</si>
  <si>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</si>
  <si>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</si>
  <si>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</si>
  <si>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</si>
  <si>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</si>
  <si>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</si>
  <si>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</si>
  <si>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</si>
  <si>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</si>
  <si>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</si>
  <si>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</si>
  <si>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</si>
  <si>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</si>
  <si>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</si>
  <si>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</si>
  <si>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</si>
  <si>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</si>
  <si>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</si>
  <si>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</si>
  <si>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</si>
  <si>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</si>
  <si>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</si>
  <si>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</si>
  <si>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</si>
  <si>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</si>
  <si>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</si>
  <si>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</si>
  <si>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</si>
  <si>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</si>
  <si>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</si>
  <si>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</si>
  <si>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</si>
  <si>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</si>
  <si>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</si>
  <si>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</si>
  <si>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</si>
  <si>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</si>
  <si>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</si>
  <si>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</si>
  <si>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</si>
  <si>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</si>
  <si>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</si>
  <si>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</si>
  <si>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</si>
  <si>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</si>
  <si>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</si>
  <si>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</si>
  <si>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</si>
  <si>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</si>
  <si>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</si>
  <si>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</si>
  <si>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</si>
  <si>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</si>
  <si>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</si>
  <si>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</si>
  <si>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</si>
  <si>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</si>
  <si>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</si>
  <si>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</si>
  <si>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</si>
  <si>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</si>
  <si>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</si>
  <si>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</si>
  <si>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</si>
  <si>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</si>
  <si>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</si>
  <si>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</si>
  <si>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</si>
  <si>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</si>
  <si>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</si>
  <si>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</si>
  <si>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</si>
  <si>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</si>
  <si>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</si>
  <si>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</si>
  <si>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</si>
  <si>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</si>
  <si>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</si>
  <si>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</si>
  <si>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</si>
  <si>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</si>
  <si>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</si>
  <si>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</si>
  <si>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</si>
  <si>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</si>
  <si>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</si>
  <si>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</si>
  <si>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</si>
  <si>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</si>
  <si>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</si>
  <si>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</si>
  <si>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</si>
  <si>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</si>
  <si>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</si>
  <si>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</si>
  <si>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</si>
  <si>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</si>
  <si>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</si>
  <si>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</si>
  <si>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</si>
  <si>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</si>
  <si>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</si>
  <si>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</si>
  <si>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</si>
  <si>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</si>
  <si>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</si>
  <si>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</si>
  <si>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</si>
  <si>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</si>
  <si>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</si>
  <si>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</si>
  <si>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</si>
  <si>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</si>
  <si>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</si>
  <si>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</si>
  <si>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</si>
  <si>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</si>
  <si>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</si>
  <si>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</si>
  <si>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</si>
  <si>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</si>
  <si>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</si>
  <si>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</si>
  <si>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</si>
  <si>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</si>
  <si>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</si>
  <si>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</si>
  <si>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</si>
  <si>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</si>
  <si>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</si>
  <si>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</si>
  <si>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</si>
  <si>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</si>
  <si>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</si>
  <si>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</si>
  <si>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</si>
  <si>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</si>
  <si>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</si>
  <si>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</si>
  <si>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</si>
  <si>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</si>
  <si>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</si>
  <si>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</si>
  <si>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</si>
  <si>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</si>
  <si>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</si>
  <si>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</si>
  <si>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</si>
  <si>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</si>
  <si>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</si>
  <si>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</si>
  <si>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</si>
  <si>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</si>
  <si>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</si>
  <si>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</si>
  <si>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</si>
  <si>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</si>
  <si>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</si>
  <si>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</si>
  <si>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</si>
  <si>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</si>
  <si>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</si>
  <si>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</si>
  <si>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</si>
  <si>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</si>
  <si>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</si>
  <si>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</si>
  <si>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</si>
  <si>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</si>
  <si>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</si>
  <si>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</si>
  <si>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</si>
  <si>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</si>
  <si>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</si>
  <si>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</si>
  <si>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</si>
  <si>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</si>
  <si>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</si>
  <si>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</si>
  <si>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</si>
  <si>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</si>
  <si>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</si>
  <si>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</si>
  <si>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</si>
  <si>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</si>
  <si>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</si>
  <si>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</si>
  <si>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</si>
  <si>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</si>
  <si>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</si>
  <si>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</si>
  <si>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</si>
  <si>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</si>
  <si>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</si>
  <si>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</si>
  <si>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</si>
  <si>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</si>
  <si>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</si>
  <si>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</si>
  <si>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</si>
  <si>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</si>
  <si>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</si>
  <si>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</si>
  <si>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</si>
  <si>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</si>
  <si>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</si>
  <si>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</si>
  <si>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</si>
  <si>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</si>
  <si>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</si>
  <si>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</si>
  <si>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</si>
  <si>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</si>
  <si>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</si>
  <si>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</si>
  <si>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</si>
  <si>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</si>
  <si>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</si>
  <si>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</si>
  <si>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</si>
  <si>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</si>
  <si>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</si>
  <si>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</si>
  <si>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</si>
  <si>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</si>
  <si>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</si>
  <si>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</si>
  <si>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</si>
  <si>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</si>
  <si>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</si>
  <si>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</si>
  <si>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</si>
  <si>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</si>
  <si>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</si>
  <si>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</si>
  <si>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</si>
  <si>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</si>
  <si>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</si>
  <si>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</si>
  <si>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</si>
  <si>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</si>
  <si>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</si>
  <si>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</si>
  <si>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</si>
  <si>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</si>
  <si>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</si>
  <si>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</si>
  <si>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</si>
  <si>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</si>
  <si>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</si>
  <si>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</si>
  <si>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</si>
  <si>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</si>
  <si>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</si>
  <si>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</si>
  <si>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</si>
  <si>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</si>
  <si>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</si>
  <si>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</si>
  <si>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</si>
  <si>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</si>
  <si>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</si>
  <si>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</si>
  <si>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</si>
  <si>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</si>
  <si>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</si>
  <si>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</si>
  <si>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</si>
  <si>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</si>
  <si>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</si>
  <si>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</si>
  <si>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</si>
  <si>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</si>
  <si>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</si>
  <si>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</si>
  <si>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</si>
  <si>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</si>
  <si>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</si>
  <si>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</si>
  <si>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</si>
  <si>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</si>
  <si>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</si>
  <si>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</si>
  <si>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</si>
  <si>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</si>
  <si>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</si>
  <si>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</si>
  <si>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</si>
  <si>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</si>
  <si>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</si>
  <si>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</si>
  <si>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</si>
  <si>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</si>
  <si>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</si>
  <si>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</si>
  <si>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</si>
  <si>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</si>
  <si>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</si>
  <si>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</si>
  <si>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</si>
  <si>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</si>
  <si>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</si>
  <si>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</si>
  <si>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</si>
  <si>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</si>
  <si>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</si>
  <si>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</si>
  <si>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</si>
  <si>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</si>
  <si>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</si>
  <si>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</si>
  <si>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</si>
  <si>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</si>
  <si>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</si>
  <si>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</si>
  <si>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</si>
  <si>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</si>
  <si>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</si>
  <si>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</si>
  <si>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</si>
  <si>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</si>
  <si>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</si>
  <si>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</si>
  <si>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</si>
  <si>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</si>
  <si>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</si>
  <si>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</si>
  <si>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</si>
  <si>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</si>
  <si>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</si>
  <si>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</si>
  <si>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</si>
  <si>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</si>
  <si>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</si>
  <si>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</si>
  <si>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</si>
  <si>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</si>
  <si>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</si>
  <si>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</si>
  <si>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</si>
  <si>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</si>
  <si>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</si>
  <si>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</si>
  <si>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</si>
  <si>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</si>
  <si>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</si>
  <si>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</si>
  <si>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</si>
  <si>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</si>
  <si>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</si>
  <si>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</si>
  <si>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</si>
  <si>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</si>
  <si>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</si>
  <si>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</si>
  <si>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</si>
  <si>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</si>
  <si>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</si>
  <si>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</si>
  <si>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</si>
  <si>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</si>
  <si>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</si>
  <si>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</si>
  <si>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Colerain</t>
  </si>
  <si>
    <t>Columbia</t>
  </si>
  <si>
    <t>Dobbins Heights</t>
  </si>
  <si>
    <t>Dover</t>
  </si>
  <si>
    <t>Earl</t>
  </si>
  <si>
    <t>East Laurinburg</t>
  </si>
  <si>
    <t>East Spencer</t>
  </si>
  <si>
    <t>Edgecombe County</t>
  </si>
  <si>
    <t>Ellerbe</t>
  </si>
  <si>
    <t>Elm City</t>
  </si>
  <si>
    <t>Enfield</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</si>
  <si>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</si>
  <si>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</si>
  <si>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</si>
  <si>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</si>
  <si>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</si>
  <si>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</si>
  <si>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</si>
  <si>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</si>
  <si>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</si>
  <si>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</si>
  <si>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</si>
  <si>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</si>
  <si>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</si>
  <si>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</si>
  <si>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</si>
  <si>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</si>
  <si>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</si>
  <si>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</si>
  <si>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</si>
  <si>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</si>
  <si>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</si>
  <si>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</si>
  <si>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</si>
  <si>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</si>
  <si>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</si>
  <si>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</si>
  <si>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</si>
  <si>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</si>
  <si>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</si>
  <si>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</si>
  <si>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</si>
  <si>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</si>
  <si>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</si>
  <si>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</si>
  <si>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</si>
  <si>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</si>
  <si>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</si>
  <si>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</si>
  <si>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</si>
  <si>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</si>
  <si>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</si>
  <si>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</si>
  <si>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</si>
  <si>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</si>
  <si>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</si>
  <si>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</si>
  <si>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</si>
  <si>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</si>
  <si>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</si>
  <si>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</si>
  <si>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</si>
  <si>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</si>
  <si>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</si>
  <si>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</si>
  <si>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</si>
  <si>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</si>
  <si>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</si>
  <si>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</si>
  <si>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</si>
  <si>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</si>
  <si>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</si>
  <si>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</si>
  <si>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</si>
  <si>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</si>
  <si>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</si>
  <si>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</si>
  <si>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</si>
  <si>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</si>
  <si>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</si>
  <si>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</si>
  <si>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</si>
  <si>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</si>
  <si>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</si>
  <si>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</si>
  <si>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</si>
  <si>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</si>
  <si>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</si>
  <si>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</si>
  <si>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</si>
  <si>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</si>
  <si>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</si>
  <si>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</si>
  <si>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</si>
  <si>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</si>
  <si>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</si>
  <si>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</si>
  <si>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</si>
  <si>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</si>
  <si>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</si>
  <si>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</si>
  <si>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</si>
  <si>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</si>
  <si>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</si>
  <si>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</si>
  <si>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</si>
  <si>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</si>
  <si>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</si>
  <si>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</si>
  <si>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</si>
  <si>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</si>
  <si>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</si>
  <si>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</si>
  <si>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</si>
  <si>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</si>
  <si>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</si>
  <si>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</si>
  <si>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</si>
  <si>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</si>
  <si>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</si>
  <si>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</si>
  <si>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</si>
  <si>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</si>
  <si>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</si>
  <si>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</si>
  <si>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</si>
  <si>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</si>
  <si>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</si>
  <si>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</si>
  <si>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</si>
  <si>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</si>
  <si>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</si>
  <si>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</si>
  <si>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</si>
  <si>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</si>
  <si>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</si>
  <si>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</si>
  <si>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</si>
  <si>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</si>
  <si>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</si>
  <si>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</si>
  <si>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</si>
  <si>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</si>
  <si>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</si>
  <si>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</si>
  <si>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</si>
  <si>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</si>
  <si>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</si>
  <si>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</si>
  <si>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</si>
  <si>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</si>
  <si>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</si>
  <si>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</si>
  <si>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</si>
  <si>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</si>
  <si>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</si>
  <si>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</si>
  <si>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</si>
  <si>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</si>
  <si>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</si>
  <si>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</si>
  <si>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</si>
  <si>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</si>
  <si>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</si>
  <si>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</si>
  <si>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</si>
  <si>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</si>
  <si>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</si>
  <si>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</si>
  <si>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</si>
  <si>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</si>
  <si>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</si>
  <si>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</si>
  <si>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</si>
  <si>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</si>
  <si>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</si>
  <si>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</si>
  <si>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</si>
  <si>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</si>
  <si>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</si>
  <si>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</si>
  <si>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</si>
  <si>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</si>
  <si>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</si>
  <si>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</si>
  <si>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</si>
  <si>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</si>
  <si>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</si>
  <si>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</si>
  <si>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</si>
  <si>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</si>
  <si>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</si>
  <si>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</si>
  <si>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</si>
  <si>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</si>
  <si>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</si>
  <si>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</si>
  <si>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</si>
  <si>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</si>
  <si>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</si>
  <si>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</si>
  <si>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</si>
  <si>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</si>
  <si>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</si>
  <si>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</si>
  <si>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</si>
  <si>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</si>
  <si>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</si>
  <si>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</si>
  <si>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</si>
  <si>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</si>
  <si>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</si>
  <si>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</si>
  <si>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</si>
  <si>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</si>
  <si>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</si>
  <si>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</si>
  <si>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</si>
  <si>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</si>
  <si>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</si>
  <si>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</si>
  <si>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</si>
  <si>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</si>
  <si>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</si>
  <si>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</si>
  <si>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</si>
  <si>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</si>
  <si>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</si>
  <si>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</si>
  <si>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</si>
  <si>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</si>
  <si>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</si>
  <si>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</si>
  <si>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</si>
  <si>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</si>
  <si>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</si>
  <si>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</si>
  <si>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</si>
  <si>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</si>
  <si>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</si>
  <si>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</si>
  <si>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</si>
  <si>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</si>
  <si>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</si>
  <si>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</si>
  <si>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</si>
  <si>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</si>
  <si>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</si>
  <si>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</si>
  <si>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</si>
  <si>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</si>
  <si>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</si>
  <si>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</si>
  <si>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</si>
  <si>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</si>
  <si>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</si>
  <si>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</si>
  <si>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</si>
  <si>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</si>
  <si>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</si>
  <si>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</si>
  <si>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</si>
  <si>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</si>
  <si>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</si>
  <si>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</si>
  <si>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</si>
  <si>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</si>
  <si>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</si>
  <si>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</si>
  <si>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</si>
  <si>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</si>
  <si>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</si>
  <si>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</si>
  <si>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</si>
  <si>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</si>
  <si>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</si>
  <si>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</si>
  <si>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</si>
  <si>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</si>
  <si>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</si>
  <si>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</si>
  <si>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</si>
  <si>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</si>
  <si>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</si>
  <si>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</si>
  <si>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</si>
  <si>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</si>
  <si>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</si>
  <si>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</si>
  <si>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</si>
  <si>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</si>
  <si>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</si>
  <si>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</si>
  <si>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</si>
  <si>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</si>
  <si>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</si>
  <si>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</si>
  <si>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</si>
  <si>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</si>
  <si>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</si>
  <si>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</si>
  <si>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</si>
  <si>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</si>
  <si>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</si>
  <si>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</si>
  <si>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</si>
  <si>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</si>
  <si>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</si>
  <si>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</si>
  <si>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</si>
  <si>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</si>
  <si>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</si>
  <si>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</si>
  <si>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</si>
  <si>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</si>
  <si>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</si>
  <si>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</si>
  <si>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</si>
  <si>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</si>
  <si>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</si>
  <si>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</si>
  <si>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</si>
  <si>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</si>
  <si>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</si>
  <si>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</si>
  <si>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</si>
  <si>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</si>
  <si>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</si>
  <si>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</si>
  <si>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</si>
  <si>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</si>
  <si>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</si>
  <si>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</si>
  <si>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</si>
  <si>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</si>
  <si>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</si>
  <si>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</si>
  <si>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</si>
  <si>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</si>
  <si>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</si>
  <si>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</si>
  <si>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</si>
  <si>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</si>
  <si>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</si>
  <si>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</si>
  <si>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</si>
  <si>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</si>
  <si>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</si>
  <si>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</si>
  <si>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</si>
  <si>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</si>
  <si>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</si>
  <si>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</si>
  <si>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</si>
  <si>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</si>
  <si>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</si>
  <si>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</si>
  <si>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</si>
  <si>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</si>
  <si>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</si>
  <si>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</si>
  <si>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</si>
  <si>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</si>
  <si>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</si>
  <si>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</si>
  <si>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</si>
  <si>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</si>
  <si>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</si>
  <si>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</si>
  <si>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</si>
  <si>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</si>
  <si>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</si>
  <si>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</si>
  <si>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</si>
  <si>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</si>
  <si>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</si>
  <si>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</si>
  <si>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</si>
  <si>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</si>
  <si>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</si>
  <si>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</si>
  <si>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</si>
  <si>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</si>
  <si>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</si>
  <si>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</si>
  <si>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</si>
  <si>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</si>
  <si>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</si>
  <si>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</si>
  <si>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</si>
  <si>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</si>
  <si>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</si>
  <si>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</si>
  <si>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</si>
  <si>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</si>
  <si>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</si>
  <si>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</si>
  <si>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</si>
  <si>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</si>
  <si>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</si>
  <si>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</si>
  <si>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</si>
  <si>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</si>
  <si>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</si>
  <si>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</si>
  <si>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</si>
  <si>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</si>
  <si>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</si>
  <si>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</si>
  <si>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</si>
  <si>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</si>
  <si>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</si>
  <si>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</si>
  <si>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</si>
  <si>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</si>
  <si>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</si>
  <si>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</si>
  <si>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</si>
  <si>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</si>
  <si>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</si>
  <si>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</si>
  <si>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</si>
  <si>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</si>
  <si>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</si>
  <si>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</si>
  <si>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</si>
  <si>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</si>
  <si>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</si>
  <si>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</si>
  <si>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</si>
  <si>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</si>
  <si>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</si>
  <si>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Cheryl</t>
  </si>
  <si>
    <t>Leslie</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</si>
  <si>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</si>
  <si>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</si>
  <si>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</si>
  <si>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</si>
  <si>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</si>
  <si>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</si>
  <si>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</si>
  <si>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</si>
  <si>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</si>
  <si>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</si>
  <si>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</si>
  <si>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</si>
  <si>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</si>
  <si>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</si>
  <si>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</si>
  <si>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</si>
  <si>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</si>
  <si>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Town Manager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</si>
  <si>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</si>
  <si>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</si>
  <si>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</si>
  <si>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</si>
  <si>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</si>
  <si>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</si>
  <si>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</si>
  <si>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</si>
  <si>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</si>
  <si>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</si>
  <si>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</si>
  <si>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</si>
  <si>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</si>
  <si>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</si>
  <si>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</si>
  <si>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</si>
  <si>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</si>
  <si>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</si>
  <si>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</si>
  <si>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</si>
  <si>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</si>
  <si>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</si>
  <si>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</si>
  <si>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</si>
  <si>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</si>
  <si>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</si>
  <si>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</si>
  <si>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</si>
  <si>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</si>
  <si>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</si>
  <si>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</si>
  <si>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</si>
  <si>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</si>
  <si>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</si>
  <si>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</si>
  <si>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</si>
  <si>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</si>
  <si>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</si>
  <si>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</si>
  <si>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</si>
  <si>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</si>
  <si>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</si>
  <si>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</si>
  <si>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</si>
  <si>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</si>
  <si>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</si>
  <si>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</si>
  <si>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</si>
  <si>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</si>
  <si>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</si>
  <si>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</si>
  <si>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</si>
  <si>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</si>
  <si>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</si>
  <si>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</si>
  <si>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</si>
  <si>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</si>
  <si>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</si>
  <si>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</si>
  <si>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</si>
  <si>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</si>
  <si>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</si>
  <si>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</si>
  <si>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</si>
  <si>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</si>
  <si>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</si>
  <si>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</si>
  <si>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</si>
  <si>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</si>
  <si>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</si>
  <si>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</si>
  <si>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</si>
  <si>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</si>
  <si>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</si>
  <si>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</si>
  <si>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</si>
  <si>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</si>
  <si>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</si>
  <si>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</si>
  <si>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</si>
  <si>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</si>
  <si>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</si>
  <si>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</si>
  <si>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</si>
  <si>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</si>
  <si>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</si>
  <si>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</si>
  <si>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</si>
  <si>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</si>
  <si>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</si>
  <si>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</si>
  <si>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</si>
  <si>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</si>
  <si>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</si>
  <si>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</si>
  <si>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</si>
  <si>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</si>
  <si>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</si>
  <si>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</si>
  <si>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</si>
  <si>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</si>
  <si>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</si>
  <si>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</si>
  <si>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</si>
  <si>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</si>
  <si>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</si>
  <si>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</si>
  <si>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</si>
  <si>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</si>
  <si>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</si>
  <si>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</si>
  <si>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</si>
  <si>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</si>
  <si>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</si>
  <si>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</si>
  <si>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</si>
  <si>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</si>
  <si>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</si>
  <si>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</si>
  <si>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</si>
  <si>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</si>
  <si>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</si>
  <si>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</si>
  <si>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</si>
  <si>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</si>
  <si>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</si>
  <si>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</si>
  <si>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</si>
  <si>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</si>
  <si>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</si>
  <si>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</si>
  <si>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</si>
  <si>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</si>
  <si>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</si>
  <si>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</si>
  <si>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</si>
  <si>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</si>
  <si>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</si>
  <si>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</si>
  <si>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</si>
  <si>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</si>
  <si>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</si>
  <si>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</si>
  <si>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</si>
  <si>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</si>
  <si>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</si>
  <si>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</si>
  <si>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</si>
  <si>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</si>
  <si>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</si>
  <si>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</si>
  <si>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</si>
  <si>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</si>
  <si>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</si>
  <si>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</si>
  <si>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</si>
  <si>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</si>
  <si>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</si>
  <si>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</si>
  <si>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</si>
  <si>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</si>
  <si>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</si>
  <si>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</si>
  <si>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</si>
  <si>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</si>
  <si>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</si>
  <si>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</si>
  <si>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</si>
  <si>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</si>
  <si>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</si>
  <si>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</si>
  <si>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</si>
  <si>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</si>
  <si>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</si>
  <si>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</si>
  <si>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</si>
  <si>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</si>
  <si>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</si>
  <si>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</si>
  <si>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</si>
  <si>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</si>
  <si>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</si>
  <si>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</si>
  <si>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</si>
  <si>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</si>
  <si>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</si>
  <si>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</si>
  <si>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</si>
  <si>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</si>
  <si>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</si>
  <si>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</si>
  <si>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</si>
  <si>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</si>
  <si>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</si>
  <si>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</si>
  <si>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</si>
  <si>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</si>
  <si>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</si>
  <si>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</si>
  <si>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</si>
  <si>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</si>
  <si>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</si>
  <si>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</si>
  <si>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</si>
  <si>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</si>
  <si>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</si>
  <si>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</si>
  <si>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</si>
  <si>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</si>
  <si>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</si>
  <si>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</si>
  <si>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</si>
  <si>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</si>
  <si>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</si>
  <si>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</si>
  <si>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</si>
  <si>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</si>
  <si>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</si>
  <si>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</si>
  <si>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</si>
  <si>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</si>
  <si>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</si>
  <si>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</si>
  <si>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</si>
  <si>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</si>
  <si>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</si>
  <si>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</si>
  <si>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</si>
  <si>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</si>
  <si>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</si>
  <si>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</si>
  <si>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</si>
  <si>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</si>
  <si>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</si>
  <si>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</si>
  <si>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</si>
  <si>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</si>
  <si>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</si>
  <si>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</si>
  <si>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</si>
  <si>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</si>
  <si>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</si>
  <si>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</si>
  <si>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</si>
  <si>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</si>
  <si>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</si>
  <si>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</si>
  <si>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</si>
  <si>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</si>
  <si>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</si>
  <si>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</si>
  <si>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</si>
  <si>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</si>
  <si>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</si>
  <si>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</si>
  <si>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</si>
  <si>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</si>
  <si>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</si>
  <si>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</si>
  <si>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</si>
  <si>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</si>
  <si>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</si>
  <si>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</si>
  <si>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</si>
  <si>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</si>
  <si>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</si>
  <si>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</si>
  <si>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</si>
  <si>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</si>
  <si>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</si>
  <si>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</si>
  <si>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</si>
  <si>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</si>
  <si>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</si>
  <si>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</si>
  <si>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</si>
  <si>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</si>
  <si>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</si>
  <si>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</si>
  <si>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</si>
  <si>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</si>
  <si>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</si>
  <si>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</si>
  <si>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</si>
  <si>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</si>
  <si>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</si>
  <si>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</si>
  <si>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</si>
  <si>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</si>
  <si>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</si>
  <si>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</si>
  <si>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</si>
  <si>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</si>
  <si>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</si>
  <si>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</si>
  <si>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</si>
  <si>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</si>
  <si>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</si>
  <si>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</si>
  <si>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</si>
  <si>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</si>
  <si>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</si>
  <si>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</si>
  <si>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</si>
  <si>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</si>
  <si>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</si>
  <si>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</si>
  <si>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</si>
  <si>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</si>
  <si>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</si>
  <si>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</si>
  <si>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</si>
  <si>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</si>
  <si>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</si>
  <si>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</si>
  <si>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</si>
  <si>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</si>
  <si>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</si>
  <si>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</si>
  <si>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</si>
  <si>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</si>
  <si>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</si>
  <si>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</si>
  <si>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</si>
  <si>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</si>
  <si>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</si>
  <si>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</si>
  <si>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</si>
  <si>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</si>
  <si>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</si>
  <si>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</si>
  <si>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</si>
  <si>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</si>
  <si>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</si>
  <si>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</si>
  <si>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</si>
  <si>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</si>
  <si>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</si>
  <si>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</si>
  <si>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</si>
  <si>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</si>
  <si>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</si>
  <si>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</si>
  <si>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</si>
  <si>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</si>
  <si>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</si>
  <si>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</si>
  <si>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</si>
  <si>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</si>
  <si>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</si>
  <si>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</si>
  <si>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</si>
  <si>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</si>
  <si>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</si>
  <si>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</si>
  <si>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</si>
  <si>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</si>
  <si>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</si>
  <si>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</si>
  <si>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</si>
  <si>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</si>
  <si>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</si>
  <si>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</si>
  <si>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</si>
  <si>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</si>
  <si>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</si>
  <si>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</si>
  <si>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</si>
  <si>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</si>
  <si>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</si>
  <si>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</si>
  <si>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</si>
  <si>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</si>
  <si>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</si>
  <si>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</si>
  <si>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</si>
  <si>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</si>
  <si>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</si>
  <si>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</si>
  <si>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</si>
  <si>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</si>
  <si>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</si>
  <si>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</si>
  <si>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</si>
  <si>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</si>
  <si>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</si>
  <si>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</si>
  <si>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</si>
  <si>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</si>
  <si>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</si>
  <si>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</si>
  <si>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</si>
  <si>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</si>
  <si>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</si>
  <si>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</si>
  <si>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</si>
  <si>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</si>
  <si>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</si>
  <si>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</si>
  <si>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</si>
  <si>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</si>
  <si>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</si>
  <si>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</si>
  <si>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</si>
  <si>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</si>
  <si>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</si>
  <si>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</si>
  <si>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</si>
  <si>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</si>
  <si>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</si>
  <si>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</si>
  <si>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</si>
  <si>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</si>
  <si>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</si>
  <si>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</si>
  <si>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</si>
  <si>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</si>
  <si>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</si>
  <si>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</si>
  <si>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</si>
  <si>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</si>
  <si>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</si>
  <si>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</si>
  <si>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</si>
  <si>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</si>
  <si>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</si>
  <si>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</si>
  <si>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</si>
  <si>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</si>
  <si>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</si>
  <si>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</si>
  <si>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</si>
  <si>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</si>
  <si>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</si>
  <si>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</si>
  <si>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</si>
  <si>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</si>
  <si>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</si>
  <si>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</si>
  <si>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</si>
  <si>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</si>
  <si>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</si>
  <si>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</si>
  <si>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</si>
  <si>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</si>
  <si>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</si>
  <si>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</si>
  <si>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</si>
  <si>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</si>
  <si>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</si>
  <si>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</si>
  <si>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</si>
  <si>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</si>
  <si>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</si>
  <si>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</si>
  <si>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</si>
  <si>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</si>
  <si>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</si>
  <si>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</si>
  <si>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</si>
  <si>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</si>
  <si>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</si>
  <si>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</si>
  <si>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</si>
  <si>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</si>
  <si>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</si>
  <si>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</si>
  <si>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</si>
  <si>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</si>
  <si>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</si>
  <si>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</si>
  <si>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</si>
  <si>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</si>
  <si>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</si>
  <si>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</si>
  <si>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</si>
  <si>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</si>
  <si>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</si>
  <si>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</si>
  <si>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</si>
  <si>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</si>
  <si>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</si>
  <si>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</si>
  <si>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</si>
  <si>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</si>
  <si>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</si>
  <si>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</si>
  <si>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</si>
  <si>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</si>
  <si>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</si>
  <si>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</si>
  <si>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</si>
  <si>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</si>
  <si>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</si>
  <si>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</si>
  <si>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</si>
  <si>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</si>
  <si>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</si>
  <si>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</si>
  <si>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</si>
  <si>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</si>
  <si>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</si>
  <si>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</si>
  <si>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</si>
  <si>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</si>
  <si>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</si>
  <si>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</si>
  <si>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</si>
  <si>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</si>
  <si>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</si>
  <si>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</si>
  <si>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</si>
  <si>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</si>
  <si>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</si>
  <si>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</si>
  <si>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</si>
  <si>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</si>
  <si>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</si>
  <si>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</si>
  <si>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</si>
  <si>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</si>
  <si>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</si>
  <si>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</si>
  <si>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</si>
  <si>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</si>
  <si>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</si>
  <si>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</si>
  <si>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</si>
  <si>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</si>
  <si>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</si>
  <si>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</si>
  <si>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</si>
  <si>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</si>
  <si>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</si>
  <si>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</si>
  <si>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</si>
  <si>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</si>
  <si>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</si>
  <si>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</si>
  <si>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</si>
  <si>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</si>
  <si>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</si>
  <si>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</si>
  <si>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</si>
  <si>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</si>
  <si>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</si>
  <si>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</si>
  <si>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</si>
  <si>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</si>
  <si>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</si>
  <si>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</si>
  <si>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</si>
  <si>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</si>
  <si>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</si>
  <si>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</si>
  <si>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</si>
  <si>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</si>
  <si>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</si>
  <si>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</si>
  <si>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</si>
  <si>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</si>
  <si>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</si>
  <si>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</si>
  <si>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</si>
  <si>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</si>
  <si>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</si>
  <si>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</si>
  <si>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</si>
  <si>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</si>
  <si>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</si>
  <si>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</si>
  <si>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</si>
  <si>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</si>
  <si>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</si>
  <si>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</si>
  <si>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</si>
  <si>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</si>
  <si>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</si>
  <si>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</si>
  <si>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</si>
  <si>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</si>
  <si>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</si>
  <si>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</si>
  <si>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</si>
  <si>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</si>
  <si>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</si>
  <si>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</si>
  <si>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</si>
  <si>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</si>
  <si>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</si>
  <si>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</si>
  <si>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</si>
  <si>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</si>
  <si>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</si>
  <si>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</si>
  <si>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</si>
  <si>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</si>
  <si>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</si>
  <si>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</si>
  <si>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</si>
  <si>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</si>
  <si>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</si>
  <si>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</si>
  <si>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</si>
  <si>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Laura</t>
  </si>
  <si>
    <t>Carolyn</t>
  </si>
  <si>
    <t>Barbara</t>
  </si>
  <si>
    <t>Smith</t>
  </si>
  <si>
    <t>Morton</t>
  </si>
  <si>
    <t>Moore</t>
  </si>
  <si>
    <t>1/1/2005</t>
  </si>
  <si>
    <t>White</t>
  </si>
  <si>
    <t>Interim Finance Officer</t>
  </si>
  <si>
    <t>Deputy Finance Officer</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</si>
  <si>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</si>
  <si>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</si>
  <si>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</si>
  <si>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</si>
  <si>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</si>
  <si>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</si>
  <si>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</si>
  <si>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</si>
  <si>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</si>
  <si>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</si>
  <si>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</si>
  <si>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</si>
  <si>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</si>
  <si>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</si>
  <si>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</si>
  <si>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</si>
  <si>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</si>
  <si>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</si>
  <si>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</si>
  <si>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</si>
  <si>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</si>
  <si>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</si>
  <si>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</si>
  <si>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This is a description question that is retained on the data input tab - This information is not uploaded to CCH or our data base</t>
  </si>
  <si>
    <t>Capital -</t>
  </si>
  <si>
    <t>Operations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</si>
  <si>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</si>
  <si>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</si>
  <si>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</si>
  <si>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</si>
  <si>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</si>
  <si>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</si>
  <si>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</si>
  <si>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</si>
  <si>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</si>
  <si>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David</t>
  </si>
  <si>
    <t>Lisa</t>
  </si>
  <si>
    <t>Jones</t>
  </si>
  <si>
    <t>7/1/2022</t>
  </si>
  <si>
    <t>yes</t>
  </si>
  <si>
    <t>2/14/2023</t>
  </si>
  <si>
    <t>10/27/2022</t>
  </si>
  <si>
    <t>11/22/2022</t>
  </si>
  <si>
    <t>11/14/2022</t>
  </si>
  <si>
    <t>11/30/2022</t>
  </si>
  <si>
    <t>12/19/2022</t>
  </si>
  <si>
    <t>10/20/2022</t>
  </si>
  <si>
    <t>10/31/2022</t>
  </si>
  <si>
    <t>12/20/2022</t>
  </si>
  <si>
    <t>11/10/2022</t>
  </si>
  <si>
    <t>11/28/2022</t>
  </si>
  <si>
    <t>3/8/2023</t>
  </si>
  <si>
    <t>10/18/2022</t>
  </si>
  <si>
    <t>3/1/2023</t>
  </si>
  <si>
    <t>12/1/2022</t>
  </si>
  <si>
    <t>1/27/2023</t>
  </si>
  <si>
    <t>10/28/2022</t>
  </si>
  <si>
    <t>11/29/2022</t>
  </si>
  <si>
    <t>2/27/2023</t>
  </si>
  <si>
    <t>11/17/2022</t>
  </si>
  <si>
    <t>10/11/2022</t>
  </si>
  <si>
    <t>11/9/2022</t>
  </si>
  <si>
    <t>12/8/2022</t>
  </si>
  <si>
    <t>12/21/2022</t>
  </si>
  <si>
    <t>Number of other matters that auditor asked the unit to respond to.</t>
  </si>
  <si>
    <t>3/14/2023</t>
  </si>
  <si>
    <t>12/13/2022</t>
  </si>
  <si>
    <t>1/10/2023</t>
  </si>
  <si>
    <t>2/15/2023</t>
  </si>
  <si>
    <t>11/15/2022</t>
  </si>
  <si>
    <t>12/12/2022</t>
  </si>
  <si>
    <t>4/15/2023</t>
  </si>
  <si>
    <t>12/16/2022</t>
  </si>
  <si>
    <t>5/1/2023</t>
  </si>
  <si>
    <t>12/5/2022</t>
  </si>
  <si>
    <t>12/6/2022</t>
  </si>
  <si>
    <t>10/17/2022</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</si>
  <si>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</si>
  <si>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</si>
  <si>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</si>
  <si>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</si>
  <si>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</si>
  <si>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</si>
  <si>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</si>
  <si>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</si>
  <si>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</si>
  <si>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</si>
  <si>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</si>
  <si>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</si>
  <si>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</si>
  <si>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</si>
  <si>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</si>
  <si>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2022-10-28</t>
  </si>
  <si>
    <t>2022-10-27</t>
  </si>
  <si>
    <t>2023-07-26</t>
  </si>
  <si>
    <t>2022-11-29</t>
  </si>
  <si>
    <t>2022-11-30</t>
  </si>
  <si>
    <t>2022-11-10</t>
  </si>
  <si>
    <t>2022-10-31</t>
  </si>
  <si>
    <t>2022-11-28</t>
  </si>
  <si>
    <t>2022-12-01</t>
  </si>
  <si>
    <t>2022-11-22</t>
  </si>
  <si>
    <t>2022-11-14</t>
  </si>
  <si>
    <t>2022-12-20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</si>
  <si>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</si>
  <si>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</si>
  <si>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</si>
  <si>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</si>
  <si>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sum</t>
  </si>
  <si>
    <t>Net Total row 279 less row 326</t>
  </si>
  <si>
    <t>New Account 647 for FY 2020 added to formula and new account 1050 added FY 2022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</si>
  <si>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</si>
  <si>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</si>
  <si>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</si>
  <si>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</si>
  <si>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</si>
  <si>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</si>
  <si>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</si>
  <si>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</si>
  <si>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</si>
  <si>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</si>
  <si>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</si>
  <si>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</si>
  <si>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</si>
  <si>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</si>
  <si>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</si>
  <si>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</si>
  <si>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</si>
  <si>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</si>
  <si>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</si>
  <si>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</si>
  <si>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</si>
  <si>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</si>
  <si>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</si>
  <si>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</si>
  <si>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</si>
  <si>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</si>
  <si>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</si>
  <si>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</si>
  <si>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</si>
  <si>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</si>
  <si>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</si>
  <si>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</si>
  <si>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</si>
  <si>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</si>
  <si>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</si>
  <si>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</si>
  <si>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</si>
  <si>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</si>
  <si>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</si>
  <si>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</si>
  <si>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</si>
  <si>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</si>
  <si>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</si>
  <si>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</si>
  <si>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</si>
  <si>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</si>
  <si>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</si>
  <si>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</si>
  <si>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</si>
  <si>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</si>
  <si>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</si>
  <si>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</si>
  <si>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</si>
  <si>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</si>
  <si>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</si>
  <si>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</si>
  <si>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</si>
  <si>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</si>
  <si>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</si>
  <si>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</si>
  <si>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</si>
  <si>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</si>
  <si>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</si>
  <si>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</si>
  <si>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</si>
  <si>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</si>
  <si>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</si>
  <si>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</si>
  <si>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</si>
  <si>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</si>
  <si>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</si>
  <si>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</si>
  <si>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</si>
  <si>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</si>
  <si>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</si>
  <si>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</si>
  <si>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</si>
  <si>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</si>
  <si>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</si>
  <si>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</si>
  <si>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</si>
  <si>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</si>
  <si>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</si>
  <si>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</si>
  <si>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</si>
  <si>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</si>
  <si>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</si>
  <si>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</si>
  <si>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</si>
  <si>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</si>
  <si>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</si>
  <si>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</si>
  <si>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</si>
  <si>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</si>
  <si>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</si>
  <si>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</si>
  <si>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</si>
  <si>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</si>
  <si>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</si>
  <si>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</si>
  <si>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</si>
  <si>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</si>
  <si>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</si>
  <si>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</si>
  <si>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</si>
  <si>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</si>
  <si>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</si>
  <si>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</si>
  <si>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</si>
  <si>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</si>
  <si>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</si>
  <si>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</si>
  <si>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</si>
  <si>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</si>
  <si>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</si>
  <si>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</si>
  <si>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</si>
  <si>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</si>
  <si>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</si>
  <si>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</si>
  <si>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</si>
  <si>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</si>
  <si>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</si>
  <si>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</si>
  <si>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</si>
  <si>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</si>
  <si>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</si>
  <si>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</si>
  <si>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</si>
  <si>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</si>
  <si>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</si>
  <si>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</si>
  <si>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</si>
  <si>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</si>
  <si>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</si>
  <si>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</si>
  <si>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</si>
  <si>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</si>
  <si>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</si>
  <si>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</si>
  <si>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</si>
  <si>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</si>
  <si>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</si>
  <si>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</si>
  <si>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</si>
  <si>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</si>
  <si>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</si>
  <si>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</si>
  <si>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</si>
  <si>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</si>
  <si>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</si>
  <si>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</si>
  <si>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</si>
  <si>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</si>
  <si>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</si>
  <si>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</si>
  <si>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</si>
  <si>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</si>
  <si>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</si>
  <si>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</si>
  <si>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</si>
  <si>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</si>
  <si>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</si>
  <si>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</si>
  <si>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</si>
  <si>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</si>
  <si>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</si>
  <si>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</si>
  <si>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</si>
  <si>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</si>
  <si>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</si>
  <si>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</si>
  <si>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</si>
  <si>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</si>
  <si>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</si>
  <si>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</si>
  <si>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</si>
  <si>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</si>
  <si>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</si>
  <si>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</si>
  <si>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</si>
  <si>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</si>
  <si>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</si>
  <si>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</si>
  <si>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</si>
  <si>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</si>
  <si>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</si>
  <si>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</si>
  <si>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</si>
  <si>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</si>
  <si>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</si>
  <si>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</si>
  <si>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</si>
  <si>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</si>
  <si>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</si>
  <si>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</si>
  <si>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</si>
  <si>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</si>
  <si>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</si>
  <si>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</si>
  <si>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</si>
  <si>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</si>
  <si>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</si>
  <si>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</si>
  <si>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</si>
  <si>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</si>
  <si>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</si>
  <si>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</si>
  <si>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</si>
  <si>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</si>
  <si>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</si>
  <si>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</si>
  <si>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</si>
  <si>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</si>
  <si>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</si>
  <si>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</si>
  <si>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</si>
  <si>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</si>
  <si>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</si>
  <si>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</si>
  <si>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</si>
  <si>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</si>
  <si>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</si>
  <si>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</si>
  <si>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</si>
  <si>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</si>
  <si>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</si>
  <si>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</si>
  <si>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</si>
  <si>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</si>
  <si>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</si>
  <si>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</si>
  <si>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</si>
  <si>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</si>
  <si>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</si>
  <si>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</si>
  <si>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</si>
  <si>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</si>
  <si>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</si>
  <si>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</si>
  <si>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</si>
  <si>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</si>
  <si>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</si>
  <si>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</si>
  <si>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</si>
  <si>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</si>
  <si>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</si>
  <si>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</si>
  <si>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</si>
  <si>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</si>
  <si>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Director of Finance</t>
  </si>
  <si>
    <t>8/8/2023</t>
  </si>
  <si>
    <t>12/15/2023</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</si>
  <si>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</si>
  <si>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</si>
  <si>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</si>
  <si>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</si>
  <si>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</si>
  <si>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</si>
  <si>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</si>
  <si>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</si>
  <si>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</si>
  <si>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</si>
  <si>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</si>
  <si>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</si>
  <si>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</si>
  <si>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</si>
  <si>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</si>
  <si>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</si>
  <si>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</si>
  <si>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</si>
  <si>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</si>
  <si>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</si>
  <si>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</si>
  <si>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</si>
  <si>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</si>
  <si>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</si>
  <si>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</si>
  <si>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</si>
  <si>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</si>
  <si>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</si>
  <si>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</si>
  <si>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</si>
  <si>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</si>
  <si>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 xml:space="preserve"> 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</si>
  <si>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</si>
  <si>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</si>
  <si>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</si>
  <si>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</si>
  <si>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</si>
  <si>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</si>
  <si>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</si>
  <si>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</si>
  <si>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</si>
  <si>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</si>
  <si>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</si>
  <si>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</si>
  <si>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Fiscal Year 2024</t>
  </si>
  <si>
    <t>2024-2025</t>
  </si>
  <si>
    <t>reappraisal</t>
  </si>
  <si>
    <t>PROPERTY TAX RATES AND REAPPRAISAL SCHEDULES FOR NORTH CAROLINA COUNTIES</t>
  </si>
  <si>
    <t>did not use this report</t>
  </si>
  <si>
    <t xml:space="preserve">Beaufort, Buncombe, Caldwell, Carteret, Chatham, Cleveland, Cumberland, Dare, Davie, Duplin, Durham, Forsyth, Gates, Haywood, Jackson, Johnston, Lenoir, Martin, New Hanover, Orange, Person, Polk, Stanly, Stokes, Surry, Transylvania, Tyrrell, Union, Warren, Wayne, Wilkes </t>
  </si>
  <si>
    <t>If the fiscal year-end is other than 6/30/2024, 9/30/2024, 12/31/2024 or 3/31/2025, please contact us.</t>
  </si>
  <si>
    <t>Lynn</t>
  </si>
  <si>
    <t>2/2/2023</t>
  </si>
  <si>
    <t>11/17/2023</t>
  </si>
  <si>
    <t>2/13/2024</t>
  </si>
  <si>
    <t>4/2/2024</t>
  </si>
  <si>
    <t>1/15/2024</t>
  </si>
  <si>
    <t>2024-01-15</t>
  </si>
  <si>
    <t>N/A -</t>
  </si>
  <si>
    <t>Owens</t>
  </si>
  <si>
    <t>11/14/2023</t>
  </si>
  <si>
    <t>FINANCE DIRECTOR</t>
  </si>
  <si>
    <t>Finance officer</t>
  </si>
  <si>
    <t>1/16/2024</t>
  </si>
  <si>
    <t>10/31/2023</t>
  </si>
  <si>
    <t>11/22/2023</t>
  </si>
  <si>
    <t>10/27/2023</t>
  </si>
  <si>
    <t>1/8/2024</t>
  </si>
  <si>
    <t>11/30/2023</t>
  </si>
  <si>
    <t>2/6/2024</t>
  </si>
  <si>
    <t>11/1/2023</t>
  </si>
  <si>
    <t>11/20/2023</t>
  </si>
  <si>
    <t>6/28/2024</t>
  </si>
  <si>
    <t>10/10/2023</t>
  </si>
  <si>
    <t>11/27/2023</t>
  </si>
  <si>
    <t>11/28/2023</t>
  </si>
  <si>
    <t>11/13/2023</t>
  </si>
  <si>
    <t>11/29/2023</t>
  </si>
  <si>
    <t>11/21/2023</t>
  </si>
  <si>
    <t>12/1/2023</t>
  </si>
  <si>
    <t>1/4/2024</t>
  </si>
  <si>
    <t>Were there any issues or other matters presented to the Governing Board regarding internal controls (not already listed as a material weakness or significant deficiency?</t>
  </si>
  <si>
    <t>2/8/2024</t>
  </si>
  <si>
    <t>12/18/2023</t>
  </si>
  <si>
    <t>12/12/2023</t>
  </si>
  <si>
    <t>7/1/2023</t>
  </si>
  <si>
    <t>1/9/2024</t>
  </si>
  <si>
    <t>1/10/2024</t>
  </si>
  <si>
    <t>2023-10-31</t>
  </si>
  <si>
    <t>2023-11-22</t>
  </si>
  <si>
    <t>2024-05-20</t>
  </si>
  <si>
    <t>2023-10-27</t>
  </si>
  <si>
    <t>2023-11-30</t>
  </si>
  <si>
    <t>2024-02-06</t>
  </si>
  <si>
    <t>2023-11-06</t>
  </si>
  <si>
    <t>2023-10-30</t>
  </si>
  <si>
    <t>2023-11-28</t>
  </si>
  <si>
    <t>2023-10-10</t>
  </si>
  <si>
    <t>2023-12-27</t>
  </si>
  <si>
    <t>2023-12-01</t>
  </si>
  <si>
    <t>2023-10-12</t>
  </si>
  <si>
    <t>2024-02-27</t>
  </si>
  <si>
    <t>2023-11-27</t>
  </si>
  <si>
    <t>2024-04-30</t>
  </si>
  <si>
    <t>2023-11-02</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</si>
  <si>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</si>
  <si>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</si>
  <si>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</si>
  <si>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</si>
  <si>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</si>
  <si>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</si>
  <si>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</si>
  <si>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</si>
  <si>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11/6/2023</t>
  </si>
  <si>
    <t>10/24/2023</t>
  </si>
  <si>
    <t>11/5/2023</t>
  </si>
  <si>
    <t>12/14/2023</t>
  </si>
  <si>
    <t>2/27/2024</t>
  </si>
  <si>
    <t xml:space="preserve">Was a  Management Letter issued by the auditor to the unit of government? </t>
  </si>
  <si>
    <t>Operations - Street-related maintenance paid with Powell Bill fund balance.</t>
  </si>
  <si>
    <t>Capital - purchase of property for future Town Hall</t>
  </si>
  <si>
    <t>Tim</t>
  </si>
  <si>
    <t>Jim</t>
  </si>
  <si>
    <t>Angel</t>
  </si>
  <si>
    <t>Sabrina</t>
  </si>
  <si>
    <t>Judy</t>
  </si>
  <si>
    <t>Kimberly</t>
  </si>
  <si>
    <t>KAYLA</t>
  </si>
  <si>
    <t>Michael</t>
  </si>
  <si>
    <t>Brian</t>
  </si>
  <si>
    <t>Marie</t>
  </si>
  <si>
    <t>Anna</t>
  </si>
  <si>
    <t>Franz</t>
  </si>
  <si>
    <t>Beverly</t>
  </si>
  <si>
    <t>Chris</t>
  </si>
  <si>
    <t>Ann</t>
  </si>
  <si>
    <t>Donna</t>
  </si>
  <si>
    <t>Vicki</t>
  </si>
  <si>
    <t>Liliana</t>
  </si>
  <si>
    <t>Mark</t>
  </si>
  <si>
    <t>Arlen</t>
  </si>
  <si>
    <t>Stephen</t>
  </si>
  <si>
    <t>Tina</t>
  </si>
  <si>
    <t>Meredith</t>
  </si>
  <si>
    <t>Chase</t>
  </si>
  <si>
    <t>Elizabeth</t>
  </si>
  <si>
    <t>LEON D</t>
  </si>
  <si>
    <t>Heather</t>
  </si>
  <si>
    <t>Carrie</t>
  </si>
  <si>
    <t>Thomas</t>
  </si>
  <si>
    <t>Carly</t>
  </si>
  <si>
    <t>Pam</t>
  </si>
  <si>
    <t>John</t>
  </si>
  <si>
    <t>Kathy</t>
  </si>
  <si>
    <t>Pamela</t>
  </si>
  <si>
    <t>Francis</t>
  </si>
  <si>
    <t>Stephania</t>
  </si>
  <si>
    <t>James</t>
  </si>
  <si>
    <t>Dena</t>
  </si>
  <si>
    <t>Vickie-Marie</t>
  </si>
  <si>
    <t>Alisha</t>
  </si>
  <si>
    <t>Autumn</t>
  </si>
  <si>
    <t>Jessica</t>
  </si>
  <si>
    <t>Julia</t>
  </si>
  <si>
    <t>Julie</t>
  </si>
  <si>
    <t>Robert</t>
  </si>
  <si>
    <t>Billie Jean</t>
  </si>
  <si>
    <t>Jill</t>
  </si>
  <si>
    <t>Teresa</t>
  </si>
  <si>
    <t>Myra</t>
  </si>
  <si>
    <t>Joanna</t>
  </si>
  <si>
    <t>Lesley</t>
  </si>
  <si>
    <t>Haillie</t>
  </si>
  <si>
    <t>Daphna</t>
  </si>
  <si>
    <t>Hazel</t>
  </si>
  <si>
    <t>Wojtowicz</t>
  </si>
  <si>
    <t>Rawls</t>
  </si>
  <si>
    <t>Adams</t>
  </si>
  <si>
    <t>Gallman</t>
  </si>
  <si>
    <t>Cockrell</t>
  </si>
  <si>
    <t>JONES</t>
  </si>
  <si>
    <t>Pardue</t>
  </si>
  <si>
    <t>Roberts</t>
  </si>
  <si>
    <t>Garris</t>
  </si>
  <si>
    <t>West</t>
  </si>
  <si>
    <t>Ader</t>
  </si>
  <si>
    <t>Kissinger</t>
  </si>
  <si>
    <t>O'Brien</t>
  </si>
  <si>
    <t>Costner</t>
  </si>
  <si>
    <t>Goodson</t>
  </si>
  <si>
    <t>Collins</t>
  </si>
  <si>
    <t>Noble</t>
  </si>
  <si>
    <t>Stephens</t>
  </si>
  <si>
    <t>Copenhaver</t>
  </si>
  <si>
    <t>Craft</t>
  </si>
  <si>
    <t>Ford</t>
  </si>
  <si>
    <t>Bennett</t>
  </si>
  <si>
    <t>Emerson</t>
  </si>
  <si>
    <t>Parker</t>
  </si>
  <si>
    <t>Johnson</t>
  </si>
  <si>
    <t>COLLIER</t>
  </si>
  <si>
    <t>Wince</t>
  </si>
  <si>
    <t>Neal</t>
  </si>
  <si>
    <t>Wright</t>
  </si>
  <si>
    <t>Anderson</t>
  </si>
  <si>
    <t>Hagg</t>
  </si>
  <si>
    <t>Bean</t>
  </si>
  <si>
    <t>Orrell</t>
  </si>
  <si>
    <t>Overton</t>
  </si>
  <si>
    <t>Bond</t>
  </si>
  <si>
    <t>Whitlock</t>
  </si>
  <si>
    <t>Young</t>
  </si>
  <si>
    <t>McBryde</t>
  </si>
  <si>
    <t>Collier</t>
  </si>
  <si>
    <t>Cozert</t>
  </si>
  <si>
    <t>Riddick</t>
  </si>
  <si>
    <t>Nolen</t>
  </si>
  <si>
    <t>Wortman</t>
  </si>
  <si>
    <t>Armstrong</t>
  </si>
  <si>
    <t>Lyvers</t>
  </si>
  <si>
    <t>Doughtie</t>
  </si>
  <si>
    <t>Scherer</t>
  </si>
  <si>
    <t>Zink</t>
  </si>
  <si>
    <t>Haynie</t>
  </si>
  <si>
    <t>Garrison</t>
  </si>
  <si>
    <t>Carilli</t>
  </si>
  <si>
    <t>Fulk</t>
  </si>
  <si>
    <t>Tyndall</t>
  </si>
  <si>
    <t>Dalton</t>
  </si>
  <si>
    <t>Dellinger</t>
  </si>
  <si>
    <t>Townsend</t>
  </si>
  <si>
    <t>Halverson</t>
  </si>
  <si>
    <t>Schwartz</t>
  </si>
  <si>
    <t>3/21/2016</t>
  </si>
  <si>
    <t>6/21/2019</t>
  </si>
  <si>
    <t>7/30/2022</t>
  </si>
  <si>
    <t>6/20/2006</t>
  </si>
  <si>
    <t>10/11/2010</t>
  </si>
  <si>
    <t>4/26/2021</t>
  </si>
  <si>
    <t>5/8/2017</t>
  </si>
  <si>
    <t>1/9/2023</t>
  </si>
  <si>
    <t>1/11/2016</t>
  </si>
  <si>
    <t>1/1/2000</t>
  </si>
  <si>
    <t>3/3/2008</t>
  </si>
  <si>
    <t>1/1/2016</t>
  </si>
  <si>
    <t>12/1/2020</t>
  </si>
  <si>
    <t>5/1/2017</t>
  </si>
  <si>
    <t>3/3/2014</t>
  </si>
  <si>
    <t>3/30/2016</t>
  </si>
  <si>
    <t>7/20/2010</t>
  </si>
  <si>
    <t>9/1/2017</t>
  </si>
  <si>
    <t>6/24/2022</t>
  </si>
  <si>
    <t>7/1/2021</t>
  </si>
  <si>
    <t>11/2/2021</t>
  </si>
  <si>
    <t>1/1/2019</t>
  </si>
  <si>
    <t>9/17/2019</t>
  </si>
  <si>
    <t>7/1/2016</t>
  </si>
  <si>
    <t>4/1/2012</t>
  </si>
  <si>
    <t>1/1/2018</t>
  </si>
  <si>
    <t>8/25/2016</t>
  </si>
  <si>
    <t>1/6/2014</t>
  </si>
  <si>
    <t>10/2/1996</t>
  </si>
  <si>
    <t>3/2/2021</t>
  </si>
  <si>
    <t>3/2/2004</t>
  </si>
  <si>
    <t>11/17/2021</t>
  </si>
  <si>
    <t>1/1/2024</t>
  </si>
  <si>
    <t>10/29/2007</t>
  </si>
  <si>
    <t>8/3/2022</t>
  </si>
  <si>
    <t>4/13/2021</t>
  </si>
  <si>
    <t>9/1/2021</t>
  </si>
  <si>
    <t>6/13/2016</t>
  </si>
  <si>
    <t>12/1/2009</t>
  </si>
  <si>
    <t>5/3/2021</t>
  </si>
  <si>
    <t>2/8/2016</t>
  </si>
  <si>
    <t>8/1/2022</t>
  </si>
  <si>
    <t>3/1/2021</t>
  </si>
  <si>
    <t>Tim White</t>
  </si>
  <si>
    <t>Jim Wojtowicz, CPA</t>
  </si>
  <si>
    <t>Angel Rawls</t>
  </si>
  <si>
    <t>Sabrina Adams</t>
  </si>
  <si>
    <t>Judy Gallman</t>
  </si>
  <si>
    <t>Kimberly Cockrell</t>
  </si>
  <si>
    <t>KAYLA JONES</t>
  </si>
  <si>
    <t>Michael Pardue</t>
  </si>
  <si>
    <t>Brian Roberts</t>
  </si>
  <si>
    <t>Marie Garris</t>
  </si>
  <si>
    <t>Anna West</t>
  </si>
  <si>
    <t>Franz Ader</t>
  </si>
  <si>
    <t>Beverly Kissinger</t>
  </si>
  <si>
    <t>Susan O'Brien</t>
  </si>
  <si>
    <t>Chris Costner</t>
  </si>
  <si>
    <t>Ann Moore</t>
  </si>
  <si>
    <t>Donna Goodson</t>
  </si>
  <si>
    <t>Vicki Collins</t>
  </si>
  <si>
    <t>Liliana Noble</t>
  </si>
  <si>
    <t>Mark Stephens</t>
  </si>
  <si>
    <t>Arlen Copenhaver</t>
  </si>
  <si>
    <t>Leslie Craft</t>
  </si>
  <si>
    <t>Stephen Ford</t>
  </si>
  <si>
    <t>Cheryl Bennett</t>
  </si>
  <si>
    <t>Tina  Emerson</t>
  </si>
  <si>
    <t>Meredith Parker</t>
  </si>
  <si>
    <t>Chase Norwood</t>
  </si>
  <si>
    <t>Elizabeth Johnson</t>
  </si>
  <si>
    <t>LEON D COLLIER</t>
  </si>
  <si>
    <t>Carolyn Wince</t>
  </si>
  <si>
    <t>Heather Smith</t>
  </si>
  <si>
    <t>Carrie H. Neal</t>
  </si>
  <si>
    <t>Laura Wright</t>
  </si>
  <si>
    <t>Thomas B. Anderson</t>
  </si>
  <si>
    <t>Carly Hagg</t>
  </si>
  <si>
    <t>Donna Bean</t>
  </si>
  <si>
    <t>Pam Orrell</t>
  </si>
  <si>
    <t>John M. Overton</t>
  </si>
  <si>
    <t>Kathy Bond</t>
  </si>
  <si>
    <t>Lynn Whitlock</t>
  </si>
  <si>
    <t>Lisa Young</t>
  </si>
  <si>
    <t>Pamela McBryde</t>
  </si>
  <si>
    <t>Kimberly Turner</t>
  </si>
  <si>
    <t>Stephania Morton</t>
  </si>
  <si>
    <t>James Cozert</t>
  </si>
  <si>
    <t>Sean Medlin</t>
  </si>
  <si>
    <t>Lisa Riddick</t>
  </si>
  <si>
    <t>Lisa Nolen</t>
  </si>
  <si>
    <t>Dena Owens</t>
  </si>
  <si>
    <t>Vickie-Marie Wortman</t>
  </si>
  <si>
    <t>Alisha Armstrong</t>
  </si>
  <si>
    <t>Tina West</t>
  </si>
  <si>
    <t>Autumn Lyvers</t>
  </si>
  <si>
    <t>Barbara Jones</t>
  </si>
  <si>
    <t>Jessica White</t>
  </si>
  <si>
    <t>Heather Doughtie</t>
  </si>
  <si>
    <t>Julia Simpson</t>
  </si>
  <si>
    <t>Julie Scherer</t>
  </si>
  <si>
    <t>Robert Zink</t>
  </si>
  <si>
    <t>Billie Jean Haynie</t>
  </si>
  <si>
    <t>Michael Garrison</t>
  </si>
  <si>
    <t>Jill Carilli</t>
  </si>
  <si>
    <t>Teresa Fulk</t>
  </si>
  <si>
    <t>Myra Tyndall</t>
  </si>
  <si>
    <t>Joanna Dalton</t>
  </si>
  <si>
    <t>Lesley Dellinger</t>
  </si>
  <si>
    <t>David Townsend</t>
  </si>
  <si>
    <t>Haillie Halverson</t>
  </si>
  <si>
    <t>Daphna Schwartz</t>
  </si>
  <si>
    <t>Hazel Smith</t>
  </si>
  <si>
    <t>Director of Finance and Personnel</t>
  </si>
  <si>
    <t>Town Clerk/Finance Officer</t>
  </si>
  <si>
    <t>Finance &amp; Budget Officer</t>
  </si>
  <si>
    <t>Finance Officer/Town Clerk</t>
  </si>
  <si>
    <t>Town Administrator/Deputy Finance Officer</t>
  </si>
  <si>
    <t>Clerk/Finance Officer</t>
  </si>
  <si>
    <t>Finance officer/Clerk</t>
  </si>
  <si>
    <t>Treasurer</t>
  </si>
  <si>
    <t>Town Clerk and Finance Director</t>
  </si>
  <si>
    <t>11/2/2022</t>
  </si>
  <si>
    <t>4/17/2023</t>
  </si>
  <si>
    <t>1/25/2024</t>
  </si>
  <si>
    <t>6/20/2023</t>
  </si>
  <si>
    <t>11/25/2022</t>
  </si>
  <si>
    <t>10/25/2022</t>
  </si>
  <si>
    <t>10/4/2022</t>
  </si>
  <si>
    <t>11/18/2022</t>
  </si>
  <si>
    <t>11/23/2022</t>
  </si>
  <si>
    <t>10/19/2022</t>
  </si>
  <si>
    <t>10/24/2022</t>
  </si>
  <si>
    <t>9/21/2023</t>
  </si>
  <si>
    <t>3/16/2024</t>
  </si>
  <si>
    <t>2/10/2023</t>
  </si>
  <si>
    <t>7/12/2024</t>
  </si>
  <si>
    <t>1/30/2023</t>
  </si>
  <si>
    <t>3/3/2023</t>
  </si>
  <si>
    <t>3/16/2023</t>
  </si>
  <si>
    <t>12/29/2022</t>
  </si>
  <si>
    <t>4/18/2023</t>
  </si>
  <si>
    <t>7/6/2023</t>
  </si>
  <si>
    <t>252-247-3344</t>
  </si>
  <si>
    <t>704-821-5401 ext.219</t>
  </si>
  <si>
    <t>252-534-3811</t>
  </si>
  <si>
    <t>910-938-5245</t>
  </si>
  <si>
    <t>336-454-1138</t>
  </si>
  <si>
    <t>252-792-5006</t>
  </si>
  <si>
    <t>336-835-3426</t>
  </si>
  <si>
    <t>704-920-4306</t>
  </si>
  <si>
    <t>252-344-2691</t>
  </si>
  <si>
    <t>910-447-4735</t>
  </si>
  <si>
    <t>336-992-0504</t>
  </si>
  <si>
    <t>252-449-5343</t>
  </si>
  <si>
    <t>336-983-0236</t>
  </si>
  <si>
    <t>704-734-4607</t>
  </si>
  <si>
    <t>919-814-4298</t>
  </si>
  <si>
    <t>252-939-3281</t>
  </si>
  <si>
    <t>252-492-5273</t>
  </si>
  <si>
    <t>252-261-3552</t>
  </si>
  <si>
    <t>919-217-2210</t>
  </si>
  <si>
    <t>910-458-8216</t>
  </si>
  <si>
    <t>252-566-3186</t>
  </si>
  <si>
    <t>828-625-9983 ext.102</t>
  </si>
  <si>
    <t>704-882-8657</t>
  </si>
  <si>
    <t>704-506-8168</t>
  </si>
  <si>
    <t>910-646-3700</t>
  </si>
  <si>
    <t>704-857-2411 ext.202</t>
  </si>
  <si>
    <t>336-384-3938</t>
  </si>
  <si>
    <t>252-539-4014</t>
  </si>
  <si>
    <t>704-434-2620</t>
  </si>
  <si>
    <t>828-693-4840</t>
  </si>
  <si>
    <t>910-291-1738</t>
  </si>
  <si>
    <t>704-538-3146</t>
  </si>
  <si>
    <t>252-823-5086</t>
  </si>
  <si>
    <t>910-338-9735</t>
  </si>
  <si>
    <t>828-757-2180</t>
  </si>
  <si>
    <t>336-945-1027</t>
  </si>
  <si>
    <t>336-248-3925 ext.3204</t>
  </si>
  <si>
    <t>336-622-4276</t>
  </si>
  <si>
    <t>704-848-4711</t>
  </si>
  <si>
    <t>910-893-0307</t>
  </si>
  <si>
    <t>704-736-8980</t>
  </si>
  <si>
    <t>910-980-0119</t>
  </si>
  <si>
    <t>704-888-5260</t>
  </si>
  <si>
    <t>828-322-3921</t>
  </si>
  <si>
    <t>919-497-1015</t>
  </si>
  <si>
    <t>704-437-6480</t>
  </si>
  <si>
    <t>704-824-3518</t>
  </si>
  <si>
    <t>252-239-0560</t>
  </si>
  <si>
    <t>910-843-3991</t>
  </si>
  <si>
    <t>910-671-3817</t>
  </si>
  <si>
    <t>336-427-0221</t>
  </si>
  <si>
    <t>828-926-0866 ext.101</t>
  </si>
  <si>
    <t>910-289-3205</t>
  </si>
  <si>
    <t>828-428-5003</t>
  </si>
  <si>
    <t>252-473-2133</t>
  </si>
  <si>
    <t>910-785-1301</t>
  </si>
  <si>
    <t>828-652-3551 ext.312</t>
  </si>
  <si>
    <t>828-689-2301</t>
  </si>
  <si>
    <t>828-649-3031</t>
  </si>
  <si>
    <t>704-624-2515</t>
  </si>
  <si>
    <t>704-843-1680</t>
  </si>
  <si>
    <t>704-708-1225</t>
  </si>
  <si>
    <t>910-844-5231</t>
  </si>
  <si>
    <t>336-427-0241</t>
  </si>
  <si>
    <t>910-743-4441</t>
  </si>
  <si>
    <t>704-824-3190</t>
  </si>
  <si>
    <t>910-628-0574</t>
  </si>
  <si>
    <t>704-851-3822</t>
  </si>
  <si>
    <t>919-304-9223</t>
  </si>
  <si>
    <t>252-745-2010</t>
  </si>
  <si>
    <t>twhite@indianbeach.org</t>
  </si>
  <si>
    <t>jmw@indiantrail.org</t>
  </si>
  <si>
    <t>jacksontownhall@mchsi.com</t>
  </si>
  <si>
    <t>sadams@jacksonvillenc.gov</t>
  </si>
  <si>
    <t>jgallman@jamestown-nc.gov</t>
  </si>
  <si>
    <t>jamesville@embarqmail.com</t>
  </si>
  <si>
    <t>FINANCE@TOWNOFJEFFERSON.ORG</t>
  </si>
  <si>
    <t>mpardue@townofjonesvillenc.com</t>
  </si>
  <si>
    <t>Broberts@kannapolisnc.gov</t>
  </si>
  <si>
    <t>townofkelford@gmail.com</t>
  </si>
  <si>
    <t>finance@kenansville.org</t>
  </si>
  <si>
    <t>fader@toknc.com</t>
  </si>
  <si>
    <t>beverly@kdhnc.com</t>
  </si>
  <si>
    <t>sobrien@ci.king.nc.us</t>
  </si>
  <si>
    <t>chris.costner@cityofkm.com</t>
  </si>
  <si>
    <t>ann.moore@nctreasurer.com</t>
  </si>
  <si>
    <t>donna.goodson@ci.kinston.nc.us</t>
  </si>
  <si>
    <t>clerkofkittrell@gmail.com</t>
  </si>
  <si>
    <t>lnoble@kittyhawkton.net</t>
  </si>
  <si>
    <t>mark.stephens@knightdalenc.gov</t>
  </si>
  <si>
    <t>a.copenhaver@tokb.org</t>
  </si>
  <si>
    <t>lagarris@lagrangenc.com</t>
  </si>
  <si>
    <t>sford@townoflakelure.com</t>
  </si>
  <si>
    <t>cheryl.bennett@lakeparknc.gov</t>
  </si>
  <si>
    <t>tinasanteetlah@yahoo.com</t>
  </si>
  <si>
    <t>mparker@lakewaccamawnc.gov</t>
  </si>
  <si>
    <t>cnorwood@townoflandisnc.gov</t>
  </si>
  <si>
    <t>ejohnson7316@gmail.com</t>
  </si>
  <si>
    <t>jcolliertol@yahoo.com</t>
  </si>
  <si>
    <t>townoflattimore@gmail.com</t>
  </si>
  <si>
    <t>hsmith@laurelpark.org</t>
  </si>
  <si>
    <t>cneal2@laurinburg.org</t>
  </si>
  <si>
    <t>townoflawndale@aol.com</t>
  </si>
  <si>
    <t>Lawson.LDHCorp@gmail.com</t>
  </si>
  <si>
    <t>chagg@townofleland.com</t>
  </si>
  <si>
    <t>dbean@ci.lenoir.nc.us</t>
  </si>
  <si>
    <t>finance@lewisvillenc.net</t>
  </si>
  <si>
    <t>JMOverton@LexingtonNC.gov</t>
  </si>
  <si>
    <t>finance@townoflibertync.org</t>
  </si>
  <si>
    <t>lilesvilletown@windstream.net</t>
  </si>
  <si>
    <t>lyoung@lillingtonnc.org</t>
  </si>
  <si>
    <t>pmcbryde@lincolntonnc.ord</t>
  </si>
  <si>
    <t>lindentownhall@embarqmail.com</t>
  </si>
  <si>
    <t>finance@locustnc.com</t>
  </si>
  <si>
    <t>jcozart@longviewnc.gov</t>
  </si>
  <si>
    <t>smedlin@townoflouisburg.org</t>
  </si>
  <si>
    <t>lovevalleytownclerk@aol.com</t>
  </si>
  <si>
    <t>lnolen@lowellnc.com</t>
  </si>
  <si>
    <t>Townclerk@townoflucama.net</t>
  </si>
  <si>
    <t>lumberbridgetown@gmail.com</t>
  </si>
  <si>
    <t>athompson@ci.lumberton.nc.us</t>
  </si>
  <si>
    <t>twest@townofmadison.org</t>
  </si>
  <si>
    <t>alyvers@maggievalleync.gov</t>
  </si>
  <si>
    <t>magnoliafiance@magnoliatownhall.com</t>
  </si>
  <si>
    <t>jwhite@maidennc.gov</t>
  </si>
  <si>
    <t>hdoughtie@manteonc.gov</t>
  </si>
  <si>
    <t>townmarietta@yahoo.com</t>
  </si>
  <si>
    <t>jscherer@marionnc.org</t>
  </si>
  <si>
    <t>bobzink@griffinagency.net</t>
  </si>
  <si>
    <t>mmassey@townofmarshall.org</t>
  </si>
  <si>
    <t>mgarrison@marshville.org</t>
  </si>
  <si>
    <t>JillCarilli@marvinnc.gov</t>
  </si>
  <si>
    <t>tfulk@matthewsnc.gov</t>
  </si>
  <si>
    <t>acctspay@ci.maxton.us</t>
  </si>
  <si>
    <t>financedirector@mayodannc.org</t>
  </si>
  <si>
    <t>clerk@townofmcadenville.org</t>
  </si>
  <si>
    <t>dtwonsend@townofrowland.com</t>
  </si>
  <si>
    <t>town_ofmcfarlan@windstream.net</t>
  </si>
  <si>
    <t>dschwartz@cityofmebane.com</t>
  </si>
  <si>
    <t>mesicnc@mesicnc.org</t>
  </si>
  <si>
    <t>2/14/2024</t>
  </si>
  <si>
    <t>4/19/2023</t>
  </si>
  <si>
    <t>1/23/2023</t>
  </si>
  <si>
    <t>5/8/2023</t>
  </si>
  <si>
    <t>2/5/2024</t>
  </si>
  <si>
    <t>2/7/2023</t>
  </si>
  <si>
    <t>10/5/2022</t>
  </si>
  <si>
    <t>12/14/2022</t>
  </si>
  <si>
    <t>2/21/2023</t>
  </si>
  <si>
    <t>1/12/2023</t>
  </si>
  <si>
    <t>11/1/2022</t>
  </si>
  <si>
    <t>9/30/2023</t>
  </si>
  <si>
    <t>5/6/2024</t>
  </si>
  <si>
    <t>11/15/2023</t>
  </si>
  <si>
    <t>8/5/2024</t>
  </si>
  <si>
    <t>1/11/2023</t>
  </si>
  <si>
    <t>4/13/2023</t>
  </si>
  <si>
    <t>12/15/2022</t>
  </si>
  <si>
    <t>1/15/2023</t>
  </si>
  <si>
    <t>8/1/2023</t>
  </si>
  <si>
    <t>2022-10-19</t>
  </si>
  <si>
    <t>2022-11-15</t>
  </si>
  <si>
    <t>2024-01-16</t>
  </si>
  <si>
    <t>2023-04-18</t>
  </si>
  <si>
    <t>2022-12-13</t>
  </si>
  <si>
    <t>2022-12-16</t>
  </si>
  <si>
    <t>2022-12-22</t>
  </si>
  <si>
    <t>2023-04-26</t>
  </si>
  <si>
    <t>2024-01-31</t>
  </si>
  <si>
    <t>2022-11-16</t>
  </si>
  <si>
    <t>2023-01-31</t>
  </si>
  <si>
    <t>2022-10-20</t>
  </si>
  <si>
    <t>2023-03-10</t>
  </si>
  <si>
    <t>2022-10-26</t>
  </si>
  <si>
    <t>2022-10-05</t>
  </si>
  <si>
    <t>2022-11-18</t>
  </si>
  <si>
    <t>2023-02-16</t>
  </si>
  <si>
    <t>2022-10-25</t>
  </si>
  <si>
    <t>2023-09-25</t>
  </si>
  <si>
    <t>2024-03-16</t>
  </si>
  <si>
    <t>2024-01-10</t>
  </si>
  <si>
    <t>2023-02-10</t>
  </si>
  <si>
    <t>2024-07-17</t>
  </si>
  <si>
    <t>2023-02-03</t>
  </si>
  <si>
    <t>2023-03-03</t>
  </si>
  <si>
    <t>2022-10-21</t>
  </si>
  <si>
    <t>2023-03-21</t>
  </si>
  <si>
    <t>2022-12-29</t>
  </si>
  <si>
    <t>rounding</t>
  </si>
  <si>
    <t>Capital - The majority of the use of fund balance was for the purchase of land for parks and recreation.</t>
  </si>
  <si>
    <t>Capital - Powell Bill Street Improvements</t>
  </si>
  <si>
    <t>Capital - 1) Transfer to Gateway Project $1,276,617. 2) Transfer to Roundabout Project $306,297. 3) Capital Purchases to include Solar Panels, EV charging stations, new AV equipment, new CCTV equipment, etc. $263,788. 4) Legal settlement over a dispute wi</t>
  </si>
  <si>
    <t>Capital - NEW ASSETS</t>
  </si>
  <si>
    <t>CHARITY</t>
  </si>
  <si>
    <t>Wenona</t>
  </si>
  <si>
    <t>Angell</t>
  </si>
  <si>
    <t>Shawn</t>
  </si>
  <si>
    <t>Jeneen</t>
  </si>
  <si>
    <t>LEON</t>
  </si>
  <si>
    <t>Kirk</t>
  </si>
  <si>
    <t>KATHY</t>
  </si>
  <si>
    <t>Melissa</t>
  </si>
  <si>
    <t>Shayne</t>
  </si>
  <si>
    <t>Dawn</t>
  </si>
  <si>
    <t>Michelle</t>
  </si>
  <si>
    <t>Richard</t>
  </si>
  <si>
    <t>Brianna</t>
  </si>
  <si>
    <t>Sonya</t>
  </si>
  <si>
    <t>SHATLEY</t>
  </si>
  <si>
    <t>Thompson</t>
  </si>
  <si>
    <t>Condon</t>
  </si>
  <si>
    <t>McMillen</t>
  </si>
  <si>
    <t>Medlin</t>
  </si>
  <si>
    <t>BOND</t>
  </si>
  <si>
    <t>Lalonde</t>
  </si>
  <si>
    <t>Wheeler</t>
  </si>
  <si>
    <t>Penland</t>
  </si>
  <si>
    <t>Massey</t>
  </si>
  <si>
    <t>Dixon</t>
  </si>
  <si>
    <t>Cardwell</t>
  </si>
  <si>
    <t>Walters</t>
  </si>
  <si>
    <t>PERMANENT</t>
  </si>
  <si>
    <t>YES</t>
  </si>
  <si>
    <t>5/16/2023</t>
  </si>
  <si>
    <t>6/23/2023</t>
  </si>
  <si>
    <t>1/19/2023</t>
  </si>
  <si>
    <t>2/4/2008</t>
  </si>
  <si>
    <t>4/1/2014</t>
  </si>
  <si>
    <t>7/13/2023</t>
  </si>
  <si>
    <t>3/16/2016</t>
  </si>
  <si>
    <t>5/1/2019</t>
  </si>
  <si>
    <t>8/13/2015</t>
  </si>
  <si>
    <t>8/25/2023</t>
  </si>
  <si>
    <t>2/7/2024</t>
  </si>
  <si>
    <t>7/17/2023</t>
  </si>
  <si>
    <t>1/1/2023</t>
  </si>
  <si>
    <t>7/3/2023</t>
  </si>
  <si>
    <t>Faith Wilson</t>
  </si>
  <si>
    <t>CHARITY SHATLEY</t>
  </si>
  <si>
    <t>Wendy Thompson</t>
  </si>
  <si>
    <t>Angell Doughtie</t>
  </si>
  <si>
    <t>Shawn Condon</t>
  </si>
  <si>
    <t>Tina Emerson</t>
  </si>
  <si>
    <t>Jeneen McMillen</t>
  </si>
  <si>
    <t>LEON COLLIER</t>
  </si>
  <si>
    <t>Kirk Medlin CPA</t>
  </si>
  <si>
    <t>Carrie Neal</t>
  </si>
  <si>
    <t>KATHY BOND</t>
  </si>
  <si>
    <t>Melissa Lalonde</t>
  </si>
  <si>
    <t>Cheryl Spaulding-Hunt</t>
  </si>
  <si>
    <t>Shayne Wheeler</t>
  </si>
  <si>
    <t>Dawn Penland</t>
  </si>
  <si>
    <t>Michelle Massey</t>
  </si>
  <si>
    <t>Richard Dixon</t>
  </si>
  <si>
    <t>Teresa T Fulk</t>
  </si>
  <si>
    <t>Marie Moore</t>
  </si>
  <si>
    <t>Brianna Cardwell</t>
  </si>
  <si>
    <t>Sonya Johnson</t>
  </si>
  <si>
    <t>Autumn Walters</t>
  </si>
  <si>
    <t>Finance Officer / Town Clerk</t>
  </si>
  <si>
    <t>Financa Officer</t>
  </si>
  <si>
    <t>Assistant Finance Officer</t>
  </si>
  <si>
    <t>9/28/2023</t>
  </si>
  <si>
    <t>10/25/2023</t>
  </si>
  <si>
    <t>5/16/2024</t>
  </si>
  <si>
    <t>1/12/2024</t>
  </si>
  <si>
    <t>1/11/2024</t>
  </si>
  <si>
    <t>3/22/2024</t>
  </si>
  <si>
    <t>1/24/2024</t>
  </si>
  <si>
    <t>10/26/2023</t>
  </si>
  <si>
    <t>2/9/2024</t>
  </si>
  <si>
    <t>10/30/2023</t>
  </si>
  <si>
    <t>9/24/2023</t>
  </si>
  <si>
    <t>11/7/2023</t>
  </si>
  <si>
    <t>2/20/2024</t>
  </si>
  <si>
    <t>1/31/2024</t>
  </si>
  <si>
    <t>4/1/2024</t>
  </si>
  <si>
    <t>10/4/2023</t>
  </si>
  <si>
    <t>11/2/2023</t>
  </si>
  <si>
    <t>4/3/2024</t>
  </si>
  <si>
    <t>3/27/2024</t>
  </si>
  <si>
    <t>1/30/2024</t>
  </si>
  <si>
    <t>3/9/2024</t>
  </si>
  <si>
    <t>10/9/2023</t>
  </si>
  <si>
    <t>12/28/2023</t>
  </si>
  <si>
    <t>5/10/2024</t>
  </si>
  <si>
    <t>3/26/2024</t>
  </si>
  <si>
    <t>336-454-1148</t>
  </si>
  <si>
    <t>252-449-5342</t>
  </si>
  <si>
    <t>336-877-7316</t>
  </si>
  <si>
    <t>828-322-3981</t>
  </si>
  <si>
    <t>910-671-3819</t>
  </si>
  <si>
    <t>828-652-3551 ext.305</t>
  </si>
  <si>
    <t>704-624-251</t>
  </si>
  <si>
    <t>704-708-1225 ext.1225</t>
  </si>
  <si>
    <t>fwilson@jamestown-nc.gov</t>
  </si>
  <si>
    <t>MANAGER@TOWN OF JEFFERSON.ORG</t>
  </si>
  <si>
    <t>wthompson@townofjonesvillenc.com</t>
  </si>
  <si>
    <t>angell@kdhnc.com</t>
  </si>
  <si>
    <t>donn.goodson@ci.kinston.nc.us</t>
  </si>
  <si>
    <t>lnoble@kittyhawktown.net</t>
  </si>
  <si>
    <t>smcondon@lagrangenc.com</t>
  </si>
  <si>
    <t>jmcmillen@townoflandisnc.gov</t>
  </si>
  <si>
    <t>finance@laurelpark.org</t>
  </si>
  <si>
    <t>FINANCE@TOWNOFLIBERTYNC.ORG</t>
  </si>
  <si>
    <t>pmcbryde@lincolntonnc.org</t>
  </si>
  <si>
    <t>mlalonde@longviewnc,gov</t>
  </si>
  <si>
    <t>chunt@ci.lumberton.nc.us</t>
  </si>
  <si>
    <t>swheeler@maggievalleync.gov</t>
  </si>
  <si>
    <t>magnoliafinance@magnoliatownhall.com</t>
  </si>
  <si>
    <t>dpenland@marionnc.org</t>
  </si>
  <si>
    <t>mmassy@townofmashall.org</t>
  </si>
  <si>
    <t>rdixon@marshville.org</t>
  </si>
  <si>
    <t>mailto:jillCarilli@marvinnc.gov</t>
  </si>
  <si>
    <t>mailto:finance@ci.maxton.nc.us</t>
  </si>
  <si>
    <t>bcardwell@mayodannc.org</t>
  </si>
  <si>
    <t>SONJAANNJ1972@GMAIL.COM</t>
  </si>
  <si>
    <t>11/8/2023</t>
  </si>
  <si>
    <t>5/21/2024</t>
  </si>
  <si>
    <t>2/12/2024</t>
  </si>
  <si>
    <t>1/22/2024</t>
  </si>
  <si>
    <t>1/3/2024</t>
  </si>
  <si>
    <t>3/4/2024</t>
  </si>
  <si>
    <t>3/15/2024</t>
  </si>
  <si>
    <t>4/18/2024</t>
  </si>
  <si>
    <t>4/11/2024</t>
  </si>
  <si>
    <t>4/25/2024</t>
  </si>
  <si>
    <t>7/16/2024</t>
  </si>
  <si>
    <t>3/31/2024</t>
  </si>
  <si>
    <t>4/10/2024</t>
  </si>
  <si>
    <t>4/9/2024</t>
  </si>
  <si>
    <t>12/20/2023</t>
  </si>
  <si>
    <t>5/24/2024</t>
  </si>
  <si>
    <t>2023-09-28</t>
  </si>
  <si>
    <t>2024-01-23</t>
  </si>
  <si>
    <t>2023-12-15</t>
  </si>
  <si>
    <t>2023-11-14</t>
  </si>
  <si>
    <t>2023-12-12</t>
  </si>
  <si>
    <t>2023-11-17</t>
  </si>
  <si>
    <t>2024-02-07</t>
  </si>
  <si>
    <t>2024-03-22</t>
  </si>
  <si>
    <t>2024-01-29</t>
  </si>
  <si>
    <t>2023-11-15</t>
  </si>
  <si>
    <t>2024-02-12</t>
  </si>
  <si>
    <t>2024-03-28</t>
  </si>
  <si>
    <t>2024-02-22</t>
  </si>
  <si>
    <t>2024-02-02</t>
  </si>
  <si>
    <t>2024-04-01</t>
  </si>
  <si>
    <t>2023-10-06</t>
  </si>
  <si>
    <t>2023-11-20</t>
  </si>
  <si>
    <t>2024-02-10</t>
  </si>
  <si>
    <t>2024-04-11</t>
  </si>
  <si>
    <t>2024-07-01</t>
  </si>
  <si>
    <t>2024-03-27</t>
  </si>
  <si>
    <t>2024-01-30</t>
  </si>
  <si>
    <t>2024-03-25</t>
  </si>
  <si>
    <t>2023-11-21</t>
  </si>
  <si>
    <t>2023-12-28</t>
  </si>
  <si>
    <t>2024-05-17</t>
  </si>
  <si>
    <t>2024-03-26</t>
  </si>
  <si>
    <t>5/17/2024</t>
  </si>
  <si>
    <t>3/28/2024</t>
  </si>
  <si>
    <t>10/1/2023</t>
  </si>
  <si>
    <t>2/22/2024</t>
  </si>
  <si>
    <t>10/6/2023</t>
  </si>
  <si>
    <t>4/5/2024</t>
  </si>
  <si>
    <t>7/1/2024</t>
  </si>
  <si>
    <t>3/25/2024</t>
  </si>
  <si>
    <t>10/15/2023</t>
  </si>
  <si>
    <t>Version Date 10/16/2024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</si>
</sst>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
      <b/>
      <i/>
      <u/>
      <sz val="12"/>
      <name val="Cambria"/>
      <family val="1"/>
    </font>
    <font>
      <b/>
      <sz val="11"/>
      <color rgb="FFFF0000"/>
      <name val="Times New Roman"/>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
      <patternFill patternType="solid">
        <fgColor rgb="FF99FF66"/>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4" fillId="0" borderId="0"/>
    <xf numFmtId="0" fontId="176" fillId="0" borderId="0"/>
    <xf numFmtId="43" fontId="176" fillId="0" borderId="0" applyFont="0" applyFill="0" applyBorder="0" applyAlignment="0" applyProtection="0"/>
    <xf numFmtId="44" fontId="176"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4" fillId="0" borderId="0"/>
    <xf numFmtId="0" fontId="184" fillId="0" borderId="0"/>
    <xf numFmtId="0" fontId="185" fillId="0" borderId="0"/>
    <xf numFmtId="0" fontId="185" fillId="0" borderId="0"/>
    <xf numFmtId="0" fontId="185" fillId="0" borderId="0"/>
    <xf numFmtId="0" fontId="185"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5" fillId="0" borderId="0"/>
    <xf numFmtId="0" fontId="186" fillId="0" borderId="0"/>
    <xf numFmtId="0" fontId="185"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7" fillId="0" borderId="0"/>
  </cellStyleXfs>
  <cellXfs count="1187">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1" fillId="26" borderId="0" xfId="682" applyFont="1" applyFill="1"/>
    <xf numFmtId="0" fontId="49" fillId="0" borderId="17" xfId="682" applyFont="1" applyBorder="1" applyAlignment="1">
      <alignment horizontal="center"/>
    </xf>
    <xf numFmtId="0" fontId="132" fillId="0" borderId="0" xfId="682" applyFont="1"/>
    <xf numFmtId="0" fontId="132" fillId="0" borderId="0" xfId="682" applyFont="1" applyAlignment="1">
      <alignment vertical="center"/>
    </xf>
    <xf numFmtId="0" fontId="49" fillId="0" borderId="14" xfId="682" applyFont="1" applyBorder="1" applyAlignment="1">
      <alignment horizontal="center" vertical="center" wrapText="1"/>
    </xf>
    <xf numFmtId="0" fontId="133"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3" fillId="0" borderId="0" xfId="682" applyFont="1" applyAlignment="1">
      <alignment vertical="center"/>
    </xf>
    <xf numFmtId="0" fontId="135"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7"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4" fillId="0" borderId="0" xfId="0" applyNumberFormat="1" applyFont="1" applyFill="1" applyAlignment="1" applyProtection="1">
      <alignment horizontal="left" vertical="center" wrapText="1"/>
    </xf>
    <xf numFmtId="0" fontId="144"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1"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4" fillId="74" borderId="0" xfId="0" applyFont="1" applyFill="1" applyAlignment="1" applyProtection="1">
      <alignment horizontal="left" vertical="center"/>
    </xf>
    <xf numFmtId="0" fontId="80" fillId="74" borderId="0" xfId="0" applyFont="1" applyFill="1" applyAlignment="1" applyProtection="1">
      <alignment vertical="center"/>
    </xf>
    <xf numFmtId="0" fontId="155" fillId="74" borderId="0" xfId="0" applyFont="1" applyFill="1" applyAlignment="1" applyProtection="1">
      <alignment vertical="center"/>
      <protection locked="0"/>
    </xf>
    <xf numFmtId="0" fontId="57" fillId="74" borderId="0" xfId="0" applyFont="1" applyFill="1" applyAlignment="1">
      <alignment vertical="center" wrapText="1"/>
    </xf>
    <xf numFmtId="41" fontId="156"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1" fillId="77" borderId="57" xfId="0" applyFont="1" applyFill="1" applyBorder="1" applyAlignment="1">
      <alignment horizontal="center" vertical="center" wrapText="1"/>
    </xf>
    <xf numFmtId="0" fontId="158" fillId="0" borderId="0" xfId="0" applyFont="1"/>
    <xf numFmtId="0" fontId="162" fillId="73" borderId="0" xfId="0" applyFont="1" applyFill="1" applyAlignment="1">
      <alignment horizontal="justify" vertical="center"/>
    </xf>
    <xf numFmtId="0" fontId="162" fillId="73" borderId="0" xfId="0" applyFont="1" applyFill="1" applyAlignment="1">
      <alignment vertical="center"/>
    </xf>
    <xf numFmtId="0" fontId="0" fillId="0" borderId="0" xfId="0" applyAlignment="1">
      <alignment vertical="center"/>
    </xf>
    <xf numFmtId="0" fontId="162" fillId="73" borderId="0" xfId="0" applyFont="1" applyFill="1" applyAlignment="1">
      <alignment vertical="center" wrapText="1"/>
    </xf>
    <xf numFmtId="0" fontId="166" fillId="73" borderId="0" xfId="611" applyFont="1" applyFill="1" applyAlignment="1">
      <alignment vertical="center"/>
    </xf>
    <xf numFmtId="0" fontId="167" fillId="73" borderId="0" xfId="0" applyFont="1" applyFill="1" applyAlignment="1">
      <alignment vertical="center"/>
    </xf>
    <xf numFmtId="0" fontId="168" fillId="73" borderId="0" xfId="611" applyFont="1" applyFill="1" applyAlignment="1" applyProtection="1">
      <alignment vertical="center"/>
      <protection locked="0"/>
    </xf>
    <xf numFmtId="0" fontId="167" fillId="73" borderId="0" xfId="0" applyFont="1" applyFill="1"/>
    <xf numFmtId="0" fontId="168" fillId="73" borderId="0" xfId="611" applyFont="1" applyFill="1" applyProtection="1">
      <protection locked="0"/>
    </xf>
    <xf numFmtId="0" fontId="116" fillId="73" borderId="0" xfId="30098" quotePrefix="1" applyFont="1" applyFill="1" applyAlignment="1">
      <alignment horizontal="left" vertical="center" wrapText="1" indent="1"/>
    </xf>
    <xf numFmtId="0" fontId="171" fillId="73" borderId="0" xfId="30098" applyFont="1" applyFill="1" applyAlignment="1">
      <alignment vertical="center" wrapText="1"/>
    </xf>
    <xf numFmtId="0" fontId="35" fillId="0" borderId="0" xfId="611"/>
    <xf numFmtId="0" fontId="162" fillId="73" borderId="0" xfId="30098" applyFont="1" applyFill="1" applyAlignment="1">
      <alignment vertical="center" wrapText="1"/>
    </xf>
    <xf numFmtId="0" fontId="168"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36" borderId="0" xfId="0" applyFill="1" applyAlignment="1">
      <alignment horizontal="center"/>
    </xf>
    <xf numFmtId="0" fontId="0" fillId="36"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29"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0"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0" fillId="0" borderId="0" xfId="26000" applyFont="1"/>
    <xf numFmtId="0" fontId="44" fillId="0" borderId="0" xfId="26000" applyFont="1" applyAlignment="1">
      <alignment vertical="top"/>
    </xf>
    <xf numFmtId="0" fontId="130"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1"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6"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Fill="1" applyAlignment="1">
      <alignment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2"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6"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3"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4" fillId="26" borderId="0" xfId="546" applyNumberFormat="1" applyFont="1" applyFill="1"/>
    <xf numFmtId="41" fontId="134" fillId="26" borderId="0" xfId="546" applyNumberFormat="1" applyFont="1" applyFill="1"/>
    <xf numFmtId="41" fontId="134"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4"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153"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4"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3"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4"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0" fillId="0" borderId="0" xfId="0" applyFont="1"/>
    <xf numFmtId="186" fontId="190" fillId="0" borderId="0" xfId="0" applyNumberFormat="1" applyFont="1"/>
    <xf numFmtId="0" fontId="190" fillId="0" borderId="0" xfId="0" applyFont="1" applyAlignment="1">
      <alignment horizontal="center"/>
    </xf>
    <xf numFmtId="186" fontId="190"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5"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0"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0"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3"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3"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78" fillId="0" borderId="57" xfId="4688" applyNumberFormat="1" applyFont="1" applyFill="1" applyBorder="1" applyAlignment="1" applyProtection="1">
      <alignment horizontal="center" vertical="center" wrapText="1"/>
    </xf>
    <xf numFmtId="10" fontId="178"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78"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5" fillId="0" borderId="0" xfId="0" applyFont="1" applyFill="1" applyAlignment="1">
      <alignment horizontal="left" vertical="center" wrapText="1"/>
    </xf>
    <xf numFmtId="0" fontId="68" fillId="0" borderId="76" xfId="0" applyFont="1" applyFill="1" applyBorder="1" applyAlignment="1">
      <alignment vertical="center"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0" fontId="0" fillId="0" borderId="57" xfId="0" applyNumberFormat="1" applyFill="1" applyBorder="1" applyAlignment="1" applyProtection="1">
      <alignment horizontal="center" vertical="center" wrapText="1"/>
    </xf>
    <xf numFmtId="0" fontId="182"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0" fontId="44" fillId="73" borderId="0" xfId="4688" applyNumberFormat="1" applyFont="1" applyFill="1" applyAlignment="1" applyProtection="1">
      <alignment wrapText="1"/>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3"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5" borderId="76" xfId="0" applyFont="1" applyFill="1" applyBorder="1" applyAlignment="1">
      <alignment vertical="center" wrapText="1"/>
    </xf>
    <xf numFmtId="0" fontId="0" fillId="85"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4" fontId="0" fillId="36" borderId="0" xfId="0" applyNumberFormat="1" applyFill="1"/>
    <xf numFmtId="14" fontId="0" fillId="0" borderId="0" xfId="0" applyNumberFormat="1" applyFont="1" applyFill="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 fontId="44" fillId="0" borderId="0" xfId="0" applyNumberFormat="1" applyFont="1"/>
    <xf numFmtId="0" fontId="195" fillId="0" borderId="0" xfId="0" applyFont="1"/>
    <xf numFmtId="0" fontId="0" fillId="86" borderId="0" xfId="0" applyFill="1" applyAlignment="1">
      <alignment wrapText="1"/>
    </xf>
    <xf numFmtId="0" fontId="0" fillId="79" borderId="0" xfId="0" applyFill="1" applyAlignment="1">
      <alignment horizontal="center"/>
    </xf>
    <xf numFmtId="0" fontId="0" fillId="79" borderId="0" xfId="0" applyFill="1"/>
    <xf numFmtId="39" fontId="0" fillId="0" borderId="0" xfId="0" applyNumberFormat="1"/>
    <xf numFmtId="43" fontId="0" fillId="0" borderId="0" xfId="0" applyNumberFormat="1"/>
    <xf numFmtId="3" fontId="0" fillId="24" borderId="0" xfId="0" applyNumberFormat="1" applyFill="1" applyAlignment="1" applyProtection="1">
      <alignment wrapText="1"/>
    </xf>
    <xf numFmtId="43" fontId="0" fillId="0" borderId="0" xfId="0" applyNumberFormat="1" applyFill="1"/>
    <xf numFmtId="0" fontId="45" fillId="0" borderId="13" xfId="0" applyFont="1" applyFill="1" applyBorder="1" applyAlignment="1" applyProtection="1">
      <alignment horizontal="center" vertical="center" wrapText="1"/>
    </xf>
    <xf numFmtId="0" fontId="40" fillId="78" borderId="57" xfId="0" applyFont="1" applyFill="1" applyBorder="1" applyAlignment="1" applyProtection="1">
      <alignment vertical="center" wrapText="1"/>
    </xf>
    <xf numFmtId="0" fontId="0" fillId="85" borderId="0" xfId="0" applyFill="1" applyAlignment="1">
      <alignment horizontal="center"/>
    </xf>
    <xf numFmtId="0" fontId="0" fillId="85" borderId="0" xfId="0" applyFill="1"/>
    <xf numFmtId="39" fontId="0" fillId="85" borderId="0" xfId="0" applyNumberFormat="1" applyFill="1"/>
    <xf numFmtId="4" fontId="0" fillId="85" borderId="0" xfId="0" applyNumberFormat="1" applyFill="1"/>
    <xf numFmtId="39" fontId="0" fillId="36" borderId="0" xfId="0" applyNumberFormat="1" applyFill="1"/>
    <xf numFmtId="43" fontId="0" fillId="85" borderId="0" xfId="0" applyNumberFormat="1" applyFill="1"/>
    <xf numFmtId="3" fontId="0" fillId="36" borderId="0" xfId="0" applyNumberFormat="1" applyFill="1"/>
    <xf numFmtId="0" fontId="44" fillId="0" borderId="105" xfId="0" applyFont="1" applyBorder="1" applyProtection="1"/>
    <xf numFmtId="0" fontId="44" fillId="29" borderId="57" xfId="0" applyFont="1" applyFill="1" applyBorder="1" applyProtection="1"/>
    <xf numFmtId="0" fontId="44" fillId="0" borderId="104" xfId="0" applyFont="1" applyBorder="1" applyProtection="1"/>
    <xf numFmtId="0" fontId="44" fillId="73" borderId="57" xfId="0" applyFont="1" applyFill="1" applyBorder="1" applyProtection="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3" fillId="34" borderId="13" xfId="0" applyFont="1" applyFill="1" applyBorder="1" applyAlignment="1">
      <alignment horizontal="center" vertical="center" wrapText="1"/>
    </xf>
    <xf numFmtId="0" fontId="193" fillId="34" borderId="16" xfId="0" applyFont="1" applyFill="1" applyBorder="1" applyAlignment="1">
      <alignment horizontal="center" vertical="center" wrapText="1"/>
    </xf>
    <xf numFmtId="0" fontId="193" fillId="34" borderId="11" xfId="0" applyFont="1" applyFill="1" applyBorder="1" applyAlignment="1">
      <alignment horizontal="center"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77" fillId="84" borderId="13" xfId="0" applyFont="1" applyFill="1" applyBorder="1" applyAlignment="1">
      <alignment horizontal="center" vertical="center"/>
    </xf>
    <xf numFmtId="0" fontId="177" fillId="84" borderId="16" xfId="0" applyFont="1" applyFill="1" applyBorder="1" applyAlignment="1">
      <alignment horizontal="center" vertical="center"/>
    </xf>
    <xf numFmtId="0" fontId="177" fillId="84"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3" fillId="34" borderId="13" xfId="0" applyFont="1" applyFill="1" applyBorder="1" applyAlignment="1">
      <alignment horizontal="center" wrapText="1"/>
    </xf>
    <xf numFmtId="0" fontId="193" fillId="34" borderId="16" xfId="0" applyFont="1" applyFill="1" applyBorder="1" applyAlignment="1">
      <alignment horizontal="center" wrapText="1"/>
    </xf>
    <xf numFmtId="0" fontId="193" fillId="34" borderId="11" xfId="0" applyFont="1" applyFill="1" applyBorder="1" applyAlignment="1">
      <alignment horizontal="center" wrapText="1"/>
    </xf>
    <xf numFmtId="0" fontId="57" fillId="78" borderId="16" xfId="0" applyFont="1" applyFill="1" applyBorder="1" applyAlignment="1" applyProtection="1">
      <alignment horizontal="justify" vertical="center" wrapText="1"/>
    </xf>
    <xf numFmtId="0" fontId="57" fillId="78"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57" fillId="34"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78" borderId="13" xfId="0" applyFont="1" applyFill="1" applyBorder="1" applyAlignment="1" applyProtection="1">
      <alignment horizontal="left" vertical="center" wrapText="1"/>
    </xf>
    <xf numFmtId="0" fontId="57" fillId="78" borderId="16" xfId="0" applyFont="1" applyFill="1" applyBorder="1" applyAlignment="1" applyProtection="1">
      <alignment horizontal="left" vertical="center" wrapText="1"/>
    </xf>
    <xf numFmtId="0" fontId="57" fillId="78" borderId="11" xfId="0" applyFont="1" applyFill="1" applyBorder="1" applyAlignment="1" applyProtection="1">
      <alignment horizontal="left" vertical="center" wrapText="1"/>
    </xf>
    <xf numFmtId="0" fontId="57" fillId="78" borderId="16" xfId="0" applyFont="1" applyFill="1" applyBorder="1" applyAlignment="1" applyProtection="1">
      <alignment horizontal="left" wrapText="1"/>
    </xf>
    <xf numFmtId="0" fontId="57" fillId="78" borderId="90"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59" fillId="0" borderId="40" xfId="0" applyFont="1" applyBorder="1" applyAlignment="1" applyProtection="1">
      <alignment horizontal="center" vertical="center"/>
    </xf>
    <xf numFmtId="0" fontId="159" fillId="0" borderId="41" xfId="0" applyFont="1" applyBorder="1" applyAlignment="1" applyProtection="1">
      <alignment horizontal="center" vertical="center"/>
    </xf>
    <xf numFmtId="0" fontId="159" fillId="0" borderId="16" xfId="0" applyFont="1" applyBorder="1" applyAlignment="1" applyProtection="1">
      <alignment horizontal="center" vertical="center"/>
    </xf>
    <xf numFmtId="0" fontId="159"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28" fillId="73" borderId="67" xfId="0" applyFont="1" applyFill="1" applyBorder="1" applyAlignment="1" applyProtection="1">
      <alignment horizontal="center" vertical="center" wrapText="1"/>
    </xf>
    <xf numFmtId="0" fontId="128" fillId="73" borderId="87" xfId="0" applyFont="1" applyFill="1" applyBorder="1" applyAlignment="1" applyProtection="1">
      <alignment horizontal="center" vertical="center" wrapText="1"/>
    </xf>
    <xf numFmtId="0" fontId="128"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6" xfId="0" applyFont="1" applyFill="1" applyBorder="1" applyAlignment="1" applyProtection="1">
      <alignment horizontal="left" vertical="center" wrapText="1"/>
    </xf>
    <xf numFmtId="0" fontId="39" fillId="78" borderId="57"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0" borderId="11" xfId="0" applyFont="1" applyFill="1" applyBorder="1" applyAlignment="1" applyProtection="1">
      <alignment horizontal="justify" vertical="center" wrapText="1"/>
    </xf>
    <xf numFmtId="0" fontId="57" fillId="0"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0" fillId="0" borderId="69" xfId="26000" applyFont="1" applyBorder="1" applyAlignment="1">
      <alignment horizontal="left" vertical="top" wrapText="1"/>
    </xf>
    <xf numFmtId="0" fontId="130" fillId="0" borderId="70" xfId="26000" applyFont="1" applyBorder="1" applyAlignment="1">
      <alignment horizontal="left" vertical="top" wrapText="1"/>
    </xf>
    <xf numFmtId="0" fontId="130" fillId="0" borderId="71" xfId="26000" applyFont="1" applyBorder="1" applyAlignment="1">
      <alignment horizontal="left" vertical="top" wrapText="1"/>
    </xf>
    <xf numFmtId="0" fontId="130" fillId="0" borderId="22" xfId="26000" applyFont="1" applyBorder="1" applyAlignment="1">
      <alignment horizontal="left" vertical="top" wrapText="1"/>
    </xf>
    <xf numFmtId="0" fontId="130" fillId="0" borderId="0" xfId="26000" applyFont="1" applyBorder="1" applyAlignment="1">
      <alignment horizontal="left" vertical="top" wrapText="1"/>
    </xf>
    <xf numFmtId="0" fontId="130" fillId="0" borderId="56" xfId="26000" applyFont="1" applyBorder="1" applyAlignment="1">
      <alignment horizontal="left" vertical="top" wrapText="1"/>
    </xf>
    <xf numFmtId="0" fontId="130" fillId="0" borderId="72" xfId="26000" applyFont="1" applyBorder="1" applyAlignment="1">
      <alignment horizontal="left" vertical="top" wrapText="1"/>
    </xf>
    <xf numFmtId="0" fontId="130" fillId="0" borderId="17" xfId="26000" applyFont="1" applyBorder="1" applyAlignment="1">
      <alignment horizontal="left" vertical="top" wrapText="1"/>
    </xf>
    <xf numFmtId="0" fontId="130" fillId="0" borderId="73" xfId="26000" applyFont="1" applyBorder="1" applyAlignment="1">
      <alignment horizontal="left" vertical="top" wrapText="1"/>
    </xf>
    <xf numFmtId="0" fontId="130"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99FF66"/>
      <color rgb="FFFFFFCC"/>
      <color rgb="FFFFFFFF"/>
      <color rgb="FFFFC7CE"/>
      <color rgb="FFFFC4FF"/>
      <color rgb="FF0315BD"/>
      <color rgb="FFCC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1" t="s">
        <v>1948</v>
      </c>
      <c r="E2"/>
    </row>
    <row r="3" spans="2:14" ht="76.2" customHeight="1" thickBot="1" x14ac:dyDescent="0.35">
      <c r="B3" s="972" t="s">
        <v>1906</v>
      </c>
      <c r="C3" s="173"/>
      <c r="D3" s="173"/>
      <c r="E3"/>
      <c r="F3"/>
    </row>
    <row r="4" spans="2:14" ht="58.95" customHeight="1" thickBot="1" x14ac:dyDescent="0.35">
      <c r="B4" s="972" t="s">
        <v>1907</v>
      </c>
      <c r="C4" s="173"/>
      <c r="D4" s="173"/>
    </row>
    <row r="5" spans="2:14" ht="61.2" customHeight="1" x14ac:dyDescent="0.3">
      <c r="B5" s="173" t="s">
        <v>1871</v>
      </c>
    </row>
    <row r="6" spans="2:14" ht="83.4" customHeight="1" x14ac:dyDescent="0.4">
      <c r="B6" s="173" t="s">
        <v>860</v>
      </c>
      <c r="F6" s="532"/>
      <c r="G6" s="532"/>
      <c r="H6" s="532"/>
      <c r="I6" s="532"/>
      <c r="J6" s="532"/>
      <c r="K6" s="532"/>
      <c r="L6" s="532"/>
      <c r="M6" s="532"/>
      <c r="N6" s="532"/>
    </row>
    <row r="7" spans="2:14" ht="58.2" customHeight="1" x14ac:dyDescent="0.3">
      <c r="B7" s="173" t="s">
        <v>861</v>
      </c>
    </row>
    <row r="8" spans="2:14" ht="117.6" customHeight="1" x14ac:dyDescent="0.3">
      <c r="B8" s="163" t="s">
        <v>862</v>
      </c>
    </row>
    <row r="9" spans="2:14" ht="25.95" customHeight="1" x14ac:dyDescent="0.3">
      <c r="B9" s="175" t="s">
        <v>452</v>
      </c>
    </row>
    <row r="10" spans="2:14" ht="49.2" customHeight="1" x14ac:dyDescent="0.3">
      <c r="B10" s="533" t="s">
        <v>863</v>
      </c>
    </row>
    <row r="11" spans="2:14" ht="42.6" customHeight="1" x14ac:dyDescent="0.3">
      <c r="B11" s="533" t="s">
        <v>453</v>
      </c>
    </row>
    <row r="12" spans="2:14" s="535" customFormat="1" ht="34.200000000000003" customHeight="1" x14ac:dyDescent="0.3">
      <c r="B12" s="534" t="s">
        <v>1919</v>
      </c>
    </row>
    <row r="13" spans="2:14" s="535" customFormat="1" ht="55.95" customHeight="1" x14ac:dyDescent="0.3">
      <c r="B13" s="536" t="s">
        <v>864</v>
      </c>
    </row>
    <row r="14" spans="2:14" ht="36" customHeight="1" x14ac:dyDescent="0.3">
      <c r="B14" s="536" t="s">
        <v>865</v>
      </c>
    </row>
    <row r="15" spans="2:14" ht="39" customHeight="1" x14ac:dyDescent="0.3">
      <c r="B15" s="537" t="s">
        <v>866</v>
      </c>
    </row>
    <row r="16" spans="2:14" ht="25.95" customHeight="1" x14ac:dyDescent="0.3">
      <c r="B16" s="175" t="s">
        <v>454</v>
      </c>
    </row>
    <row r="17" spans="2:2" x14ac:dyDescent="0.3">
      <c r="B17" s="162"/>
    </row>
    <row r="18" spans="2:2" x14ac:dyDescent="0.3">
      <c r="B18" s="538" t="s">
        <v>36</v>
      </c>
    </row>
    <row r="19" spans="2:2" ht="15.6" customHeight="1" x14ac:dyDescent="0.3">
      <c r="B19" s="539" t="s">
        <v>867</v>
      </c>
    </row>
    <row r="20" spans="2:2" x14ac:dyDescent="0.3">
      <c r="B20" s="540"/>
    </row>
    <row r="21" spans="2:2" x14ac:dyDescent="0.3">
      <c r="B21" s="538" t="s">
        <v>37</v>
      </c>
    </row>
    <row r="22" spans="2:2" ht="15.6" customHeight="1" x14ac:dyDescent="0.3">
      <c r="B22" s="541" t="s">
        <v>335</v>
      </c>
    </row>
    <row r="23" spans="2:2" ht="13.2" customHeight="1" x14ac:dyDescent="0.3">
      <c r="B23" s="162"/>
    </row>
    <row r="24" spans="2:2" ht="25.95" customHeight="1" x14ac:dyDescent="0.3">
      <c r="B24" s="175" t="s">
        <v>455</v>
      </c>
    </row>
    <row r="25" spans="2:2" s="535" customFormat="1" ht="72.599999999999994" customHeight="1" x14ac:dyDescent="0.3">
      <c r="B25" s="533" t="s">
        <v>1482</v>
      </c>
    </row>
    <row r="26" spans="2:2" s="535" customFormat="1" ht="84.6" customHeight="1" x14ac:dyDescent="0.3">
      <c r="B26" s="533" t="s">
        <v>868</v>
      </c>
    </row>
    <row r="27" spans="2:2" s="535" customFormat="1" ht="78.599999999999994" customHeight="1" x14ac:dyDescent="0.3">
      <c r="B27" s="533" t="s">
        <v>456</v>
      </c>
    </row>
    <row r="28" spans="2:2" ht="15" x14ac:dyDescent="0.3">
      <c r="B28" s="165" t="s">
        <v>869</v>
      </c>
    </row>
    <row r="29" spans="2:2" ht="8.4" customHeight="1" x14ac:dyDescent="0.3">
      <c r="B29" s="164"/>
    </row>
    <row r="30" spans="2:2" ht="25.95" customHeight="1" x14ac:dyDescent="0.3">
      <c r="B30" s="175" t="s">
        <v>870</v>
      </c>
    </row>
    <row r="31" spans="2:2" ht="28.95" customHeight="1" x14ac:dyDescent="0.3">
      <c r="B31" s="176" t="s">
        <v>1949</v>
      </c>
    </row>
    <row r="32" spans="2:2" ht="31.95" customHeight="1" x14ac:dyDescent="0.3">
      <c r="B32" s="176" t="s">
        <v>1950</v>
      </c>
    </row>
    <row r="33" spans="2:7" ht="30.6" customHeight="1" x14ac:dyDescent="0.3">
      <c r="B33" s="542" t="s">
        <v>1951</v>
      </c>
    </row>
    <row r="34" spans="2:7" ht="25.2" customHeight="1" x14ac:dyDescent="0.3">
      <c r="B34" s="542" t="s">
        <v>1952</v>
      </c>
    </row>
    <row r="35" spans="2:7" ht="27.6" customHeight="1" x14ac:dyDescent="0.3">
      <c r="B35" s="542" t="s">
        <v>1953</v>
      </c>
    </row>
    <row r="36" spans="2:7" ht="31.95" customHeight="1" x14ac:dyDescent="0.3">
      <c r="B36" s="543" t="s">
        <v>871</v>
      </c>
    </row>
    <row r="37" spans="2:7" ht="60" customHeight="1" x14ac:dyDescent="0.3">
      <c r="B37" s="176" t="s">
        <v>1958</v>
      </c>
    </row>
    <row r="38" spans="2:7" ht="60" customHeight="1" x14ac:dyDescent="0.3">
      <c r="B38" s="661" t="s">
        <v>1954</v>
      </c>
    </row>
    <row r="39" spans="2:7" ht="25.95" customHeight="1" x14ac:dyDescent="0.3">
      <c r="B39" s="176" t="s">
        <v>872</v>
      </c>
    </row>
    <row r="40" spans="2:7" ht="12" customHeight="1" x14ac:dyDescent="0.3">
      <c r="B40" s="176"/>
    </row>
    <row r="41" spans="2:7" ht="25.95" customHeight="1" x14ac:dyDescent="0.3">
      <c r="B41" s="175" t="s">
        <v>1955</v>
      </c>
    </row>
    <row r="42" spans="2:7" x14ac:dyDescent="0.3">
      <c r="B42" s="174"/>
      <c r="G42" s="544"/>
    </row>
    <row r="43" spans="2:7" ht="43.2" customHeight="1" x14ac:dyDescent="0.3">
      <c r="B43" s="545" t="s">
        <v>873</v>
      </c>
    </row>
    <row r="44" spans="2:7" ht="19.95" customHeight="1" x14ac:dyDescent="0.3">
      <c r="B44" s="546" t="s">
        <v>866</v>
      </c>
    </row>
    <row r="45" spans="2:7" ht="11.4" customHeight="1" x14ac:dyDescent="0.3">
      <c r="B45" s="177"/>
    </row>
    <row r="46" spans="2:7" ht="15" x14ac:dyDescent="0.3">
      <c r="B46" s="178"/>
    </row>
    <row r="47" spans="2:7" ht="7.2" customHeight="1" x14ac:dyDescent="0.3">
      <c r="B47" s="176"/>
    </row>
    <row r="48" spans="2:7" ht="25.95" customHeight="1" x14ac:dyDescent="0.3">
      <c r="B48" s="175" t="s">
        <v>1956</v>
      </c>
    </row>
    <row r="49" spans="2:2" ht="35.4" customHeight="1" x14ac:dyDescent="0.3">
      <c r="B49" s="545" t="s">
        <v>1957</v>
      </c>
    </row>
    <row r="50" spans="2:2" ht="15" x14ac:dyDescent="0.3">
      <c r="B50" s="178"/>
    </row>
    <row r="61" spans="2:2" ht="44.25" customHeight="1" x14ac:dyDescent="0.3"/>
  </sheetData>
  <sheetProtection algorithmName="SHA-512" hashValue="oFl8VBlWpxNvd42jiw6ChBCIAMOcK7RSjUWZ+z2QJLjQjrGE+086kVMcoC/Zsq2shEY1an4+lgn9dsOHYlEHhA==" saltValue="bCwc68KtNTy8OxMOduQ9WA=="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50"/>
  <sheetViews>
    <sheetView topLeftCell="A113" workbookViewId="0">
      <selection activeCell="N145" sqref="N145"/>
    </sheetView>
  </sheetViews>
  <sheetFormatPr defaultRowHeight="14.4" x14ac:dyDescent="0.3"/>
  <cols>
    <col min="1" max="1" width="20.6640625" style="606" customWidth="1"/>
    <col min="2" max="2" width="24.6640625" style="606" customWidth="1"/>
    <col min="3" max="3" width="11.33203125" style="791" customWidth="1"/>
    <col min="4" max="4" width="12.109375" style="607" customWidth="1"/>
    <col min="5" max="5" width="14.33203125" style="607" customWidth="1"/>
    <col min="6" max="6" width="3.44140625" style="606" customWidth="1"/>
    <col min="7" max="7" width="17.33203125" style="606" customWidth="1"/>
    <col min="8" max="8" width="2.109375" style="606" customWidth="1"/>
    <col min="9" max="9" width="7.5546875" style="791" customWidth="1"/>
    <col min="10" max="10" width="12.109375" style="607" customWidth="1"/>
    <col min="11" max="11" width="14.33203125" style="607" customWidth="1"/>
    <col min="12" max="251" width="8.88671875" style="606"/>
    <col min="252" max="252" width="15.88671875" style="606" customWidth="1"/>
    <col min="253" max="253" width="2.109375" style="606" customWidth="1"/>
    <col min="254" max="254" width="7.5546875" style="606" customWidth="1"/>
    <col min="255" max="255" width="12.109375" style="606" customWidth="1"/>
    <col min="256" max="256" width="14.33203125" style="606" customWidth="1"/>
    <col min="257" max="257" width="3.44140625" style="606" customWidth="1"/>
    <col min="258" max="258" width="17.33203125" style="606" customWidth="1"/>
    <col min="259" max="259" width="2.109375" style="606" customWidth="1"/>
    <col min="260" max="260" width="7.5546875" style="606" customWidth="1"/>
    <col min="261" max="261" width="12.109375" style="606" customWidth="1"/>
    <col min="262" max="262" width="14.33203125" style="606" customWidth="1"/>
    <col min="263" max="263" width="42.5546875" style="606" customWidth="1"/>
    <col min="264" max="507" width="8.88671875" style="606"/>
    <col min="508" max="508" width="15.88671875" style="606" customWidth="1"/>
    <col min="509" max="509" width="2.109375" style="606" customWidth="1"/>
    <col min="510" max="510" width="7.5546875" style="606" customWidth="1"/>
    <col min="511" max="511" width="12.109375" style="606" customWidth="1"/>
    <col min="512" max="512" width="14.33203125" style="606" customWidth="1"/>
    <col min="513" max="513" width="3.44140625" style="606" customWidth="1"/>
    <col min="514" max="514" width="17.33203125" style="606" customWidth="1"/>
    <col min="515" max="515" width="2.109375" style="606" customWidth="1"/>
    <col min="516" max="516" width="7.5546875" style="606" customWidth="1"/>
    <col min="517" max="517" width="12.109375" style="606" customWidth="1"/>
    <col min="518" max="518" width="14.33203125" style="606" customWidth="1"/>
    <col min="519" max="519" width="42.5546875" style="606" customWidth="1"/>
    <col min="520" max="763" width="8.88671875" style="606"/>
    <col min="764" max="764" width="15.88671875" style="606" customWidth="1"/>
    <col min="765" max="765" width="2.109375" style="606" customWidth="1"/>
    <col min="766" max="766" width="7.5546875" style="606" customWidth="1"/>
    <col min="767" max="767" width="12.109375" style="606" customWidth="1"/>
    <col min="768" max="768" width="14.33203125" style="606" customWidth="1"/>
    <col min="769" max="769" width="3.44140625" style="606" customWidth="1"/>
    <col min="770" max="770" width="17.33203125" style="606" customWidth="1"/>
    <col min="771" max="771" width="2.109375" style="606" customWidth="1"/>
    <col min="772" max="772" width="7.5546875" style="606" customWidth="1"/>
    <col min="773" max="773" width="12.109375" style="606" customWidth="1"/>
    <col min="774" max="774" width="14.33203125" style="606" customWidth="1"/>
    <col min="775" max="775" width="42.5546875" style="606" customWidth="1"/>
    <col min="776" max="1019" width="8.88671875" style="606"/>
    <col min="1020" max="1020" width="15.88671875" style="606" customWidth="1"/>
    <col min="1021" max="1021" width="2.109375" style="606" customWidth="1"/>
    <col min="1022" max="1022" width="7.5546875" style="606" customWidth="1"/>
    <col min="1023" max="1023" width="12.109375" style="606" customWidth="1"/>
    <col min="1024" max="1024" width="14.33203125" style="606" customWidth="1"/>
    <col min="1025" max="1025" width="3.44140625" style="606" customWidth="1"/>
    <col min="1026" max="1026" width="17.33203125" style="606" customWidth="1"/>
    <col min="1027" max="1027" width="2.109375" style="606" customWidth="1"/>
    <col min="1028" max="1028" width="7.5546875" style="606" customWidth="1"/>
    <col min="1029" max="1029" width="12.109375" style="606" customWidth="1"/>
    <col min="1030" max="1030" width="14.33203125" style="606" customWidth="1"/>
    <col min="1031" max="1031" width="42.5546875" style="606" customWidth="1"/>
    <col min="1032" max="1275" width="8.88671875" style="606"/>
    <col min="1276" max="1276" width="15.88671875" style="606" customWidth="1"/>
    <col min="1277" max="1277" width="2.109375" style="606" customWidth="1"/>
    <col min="1278" max="1278" width="7.5546875" style="606" customWidth="1"/>
    <col min="1279" max="1279" width="12.109375" style="606" customWidth="1"/>
    <col min="1280" max="1280" width="14.33203125" style="606" customWidth="1"/>
    <col min="1281" max="1281" width="3.44140625" style="606" customWidth="1"/>
    <col min="1282" max="1282" width="17.33203125" style="606" customWidth="1"/>
    <col min="1283" max="1283" width="2.109375" style="606" customWidth="1"/>
    <col min="1284" max="1284" width="7.5546875" style="606" customWidth="1"/>
    <col min="1285" max="1285" width="12.109375" style="606" customWidth="1"/>
    <col min="1286" max="1286" width="14.33203125" style="606" customWidth="1"/>
    <col min="1287" max="1287" width="42.5546875" style="606" customWidth="1"/>
    <col min="1288" max="1531" width="8.88671875" style="606"/>
    <col min="1532" max="1532" width="15.88671875" style="606" customWidth="1"/>
    <col min="1533" max="1533" width="2.109375" style="606" customWidth="1"/>
    <col min="1534" max="1534" width="7.5546875" style="606" customWidth="1"/>
    <col min="1535" max="1535" width="12.109375" style="606" customWidth="1"/>
    <col min="1536" max="1536" width="14.33203125" style="606" customWidth="1"/>
    <col min="1537" max="1537" width="3.44140625" style="606" customWidth="1"/>
    <col min="1538" max="1538" width="17.33203125" style="606" customWidth="1"/>
    <col min="1539" max="1539" width="2.109375" style="606" customWidth="1"/>
    <col min="1540" max="1540" width="7.5546875" style="606" customWidth="1"/>
    <col min="1541" max="1541" width="12.109375" style="606" customWidth="1"/>
    <col min="1542" max="1542" width="14.33203125" style="606" customWidth="1"/>
    <col min="1543" max="1543" width="42.5546875" style="606" customWidth="1"/>
    <col min="1544" max="1787" width="8.88671875" style="606"/>
    <col min="1788" max="1788" width="15.88671875" style="606" customWidth="1"/>
    <col min="1789" max="1789" width="2.109375" style="606" customWidth="1"/>
    <col min="1790" max="1790" width="7.5546875" style="606" customWidth="1"/>
    <col min="1791" max="1791" width="12.109375" style="606" customWidth="1"/>
    <col min="1792" max="1792" width="14.33203125" style="606" customWidth="1"/>
    <col min="1793" max="1793" width="3.44140625" style="606" customWidth="1"/>
    <col min="1794" max="1794" width="17.33203125" style="606" customWidth="1"/>
    <col min="1795" max="1795" width="2.109375" style="606" customWidth="1"/>
    <col min="1796" max="1796" width="7.5546875" style="606" customWidth="1"/>
    <col min="1797" max="1797" width="12.109375" style="606" customWidth="1"/>
    <col min="1798" max="1798" width="14.33203125" style="606" customWidth="1"/>
    <col min="1799" max="1799" width="42.5546875" style="606" customWidth="1"/>
    <col min="1800" max="2043" width="8.88671875" style="606"/>
    <col min="2044" max="2044" width="15.88671875" style="606" customWidth="1"/>
    <col min="2045" max="2045" width="2.109375" style="606" customWidth="1"/>
    <col min="2046" max="2046" width="7.5546875" style="606" customWidth="1"/>
    <col min="2047" max="2047" width="12.109375" style="606" customWidth="1"/>
    <col min="2048" max="2048" width="14.33203125" style="606" customWidth="1"/>
    <col min="2049" max="2049" width="3.44140625" style="606" customWidth="1"/>
    <col min="2050" max="2050" width="17.33203125" style="606" customWidth="1"/>
    <col min="2051" max="2051" width="2.109375" style="606" customWidth="1"/>
    <col min="2052" max="2052" width="7.5546875" style="606" customWidth="1"/>
    <col min="2053" max="2053" width="12.109375" style="606" customWidth="1"/>
    <col min="2054" max="2054" width="14.33203125" style="606" customWidth="1"/>
    <col min="2055" max="2055" width="42.5546875" style="606" customWidth="1"/>
    <col min="2056" max="2299" width="8.88671875" style="606"/>
    <col min="2300" max="2300" width="15.88671875" style="606" customWidth="1"/>
    <col min="2301" max="2301" width="2.109375" style="606" customWidth="1"/>
    <col min="2302" max="2302" width="7.5546875" style="606" customWidth="1"/>
    <col min="2303" max="2303" width="12.109375" style="606" customWidth="1"/>
    <col min="2304" max="2304" width="14.33203125" style="606" customWidth="1"/>
    <col min="2305" max="2305" width="3.44140625" style="606" customWidth="1"/>
    <col min="2306" max="2306" width="17.33203125" style="606" customWidth="1"/>
    <col min="2307" max="2307" width="2.109375" style="606" customWidth="1"/>
    <col min="2308" max="2308" width="7.5546875" style="606" customWidth="1"/>
    <col min="2309" max="2309" width="12.109375" style="606" customWidth="1"/>
    <col min="2310" max="2310" width="14.33203125" style="606" customWidth="1"/>
    <col min="2311" max="2311" width="42.5546875" style="606" customWidth="1"/>
    <col min="2312" max="2555" width="8.88671875" style="606"/>
    <col min="2556" max="2556" width="15.88671875" style="606" customWidth="1"/>
    <col min="2557" max="2557" width="2.109375" style="606" customWidth="1"/>
    <col min="2558" max="2558" width="7.5546875" style="606" customWidth="1"/>
    <col min="2559" max="2559" width="12.109375" style="606" customWidth="1"/>
    <col min="2560" max="2560" width="14.33203125" style="606" customWidth="1"/>
    <col min="2561" max="2561" width="3.44140625" style="606" customWidth="1"/>
    <col min="2562" max="2562" width="17.33203125" style="606" customWidth="1"/>
    <col min="2563" max="2563" width="2.109375" style="606" customWidth="1"/>
    <col min="2564" max="2564" width="7.5546875" style="606" customWidth="1"/>
    <col min="2565" max="2565" width="12.109375" style="606" customWidth="1"/>
    <col min="2566" max="2566" width="14.33203125" style="606" customWidth="1"/>
    <col min="2567" max="2567" width="42.5546875" style="606" customWidth="1"/>
    <col min="2568" max="2811" width="8.88671875" style="606"/>
    <col min="2812" max="2812" width="15.88671875" style="606" customWidth="1"/>
    <col min="2813" max="2813" width="2.109375" style="606" customWidth="1"/>
    <col min="2814" max="2814" width="7.5546875" style="606" customWidth="1"/>
    <col min="2815" max="2815" width="12.109375" style="606" customWidth="1"/>
    <col min="2816" max="2816" width="14.33203125" style="606" customWidth="1"/>
    <col min="2817" max="2817" width="3.44140625" style="606" customWidth="1"/>
    <col min="2818" max="2818" width="17.33203125" style="606" customWidth="1"/>
    <col min="2819" max="2819" width="2.109375" style="606" customWidth="1"/>
    <col min="2820" max="2820" width="7.5546875" style="606" customWidth="1"/>
    <col min="2821" max="2821" width="12.109375" style="606" customWidth="1"/>
    <col min="2822" max="2822" width="14.33203125" style="606" customWidth="1"/>
    <col min="2823" max="2823" width="42.5546875" style="606" customWidth="1"/>
    <col min="2824" max="3067" width="8.88671875" style="606"/>
    <col min="3068" max="3068" width="15.88671875" style="606" customWidth="1"/>
    <col min="3069" max="3069" width="2.109375" style="606" customWidth="1"/>
    <col min="3070" max="3070" width="7.5546875" style="606" customWidth="1"/>
    <col min="3071" max="3071" width="12.109375" style="606" customWidth="1"/>
    <col min="3072" max="3072" width="14.33203125" style="606" customWidth="1"/>
    <col min="3073" max="3073" width="3.44140625" style="606" customWidth="1"/>
    <col min="3074" max="3074" width="17.33203125" style="606" customWidth="1"/>
    <col min="3075" max="3075" width="2.109375" style="606" customWidth="1"/>
    <col min="3076" max="3076" width="7.5546875" style="606" customWidth="1"/>
    <col min="3077" max="3077" width="12.109375" style="606" customWidth="1"/>
    <col min="3078" max="3078" width="14.33203125" style="606" customWidth="1"/>
    <col min="3079" max="3079" width="42.5546875" style="606" customWidth="1"/>
    <col min="3080" max="3323" width="8.88671875" style="606"/>
    <col min="3324" max="3324" width="15.88671875" style="606" customWidth="1"/>
    <col min="3325" max="3325" width="2.109375" style="606" customWidth="1"/>
    <col min="3326" max="3326" width="7.5546875" style="606" customWidth="1"/>
    <col min="3327" max="3327" width="12.109375" style="606" customWidth="1"/>
    <col min="3328" max="3328" width="14.33203125" style="606" customWidth="1"/>
    <col min="3329" max="3329" width="3.44140625" style="606" customWidth="1"/>
    <col min="3330" max="3330" width="17.33203125" style="606" customWidth="1"/>
    <col min="3331" max="3331" width="2.109375" style="606" customWidth="1"/>
    <col min="3332" max="3332" width="7.5546875" style="606" customWidth="1"/>
    <col min="3333" max="3333" width="12.109375" style="606" customWidth="1"/>
    <col min="3334" max="3334" width="14.33203125" style="606" customWidth="1"/>
    <col min="3335" max="3335" width="42.5546875" style="606" customWidth="1"/>
    <col min="3336" max="3579" width="8.88671875" style="606"/>
    <col min="3580" max="3580" width="15.88671875" style="606" customWidth="1"/>
    <col min="3581" max="3581" width="2.109375" style="606" customWidth="1"/>
    <col min="3582" max="3582" width="7.5546875" style="606" customWidth="1"/>
    <col min="3583" max="3583" width="12.109375" style="606" customWidth="1"/>
    <col min="3584" max="3584" width="14.33203125" style="606" customWidth="1"/>
    <col min="3585" max="3585" width="3.44140625" style="606" customWidth="1"/>
    <col min="3586" max="3586" width="17.33203125" style="606" customWidth="1"/>
    <col min="3587" max="3587" width="2.109375" style="606" customWidth="1"/>
    <col min="3588" max="3588" width="7.5546875" style="606" customWidth="1"/>
    <col min="3589" max="3589" width="12.109375" style="606" customWidth="1"/>
    <col min="3590" max="3590" width="14.33203125" style="606" customWidth="1"/>
    <col min="3591" max="3591" width="42.5546875" style="606" customWidth="1"/>
    <col min="3592" max="3835" width="8.88671875" style="606"/>
    <col min="3836" max="3836" width="15.88671875" style="606" customWidth="1"/>
    <col min="3837" max="3837" width="2.109375" style="606" customWidth="1"/>
    <col min="3838" max="3838" width="7.5546875" style="606" customWidth="1"/>
    <col min="3839" max="3839" width="12.109375" style="606" customWidth="1"/>
    <col min="3840" max="3840" width="14.33203125" style="606" customWidth="1"/>
    <col min="3841" max="3841" width="3.44140625" style="606" customWidth="1"/>
    <col min="3842" max="3842" width="17.33203125" style="606" customWidth="1"/>
    <col min="3843" max="3843" width="2.109375" style="606" customWidth="1"/>
    <col min="3844" max="3844" width="7.5546875" style="606" customWidth="1"/>
    <col min="3845" max="3845" width="12.109375" style="606" customWidth="1"/>
    <col min="3846" max="3846" width="14.33203125" style="606" customWidth="1"/>
    <col min="3847" max="3847" width="42.5546875" style="606" customWidth="1"/>
    <col min="3848" max="4091" width="8.88671875" style="606"/>
    <col min="4092" max="4092" width="15.88671875" style="606" customWidth="1"/>
    <col min="4093" max="4093" width="2.109375" style="606" customWidth="1"/>
    <col min="4094" max="4094" width="7.5546875" style="606" customWidth="1"/>
    <col min="4095" max="4095" width="12.109375" style="606" customWidth="1"/>
    <col min="4096" max="4096" width="14.33203125" style="606" customWidth="1"/>
    <col min="4097" max="4097" width="3.44140625" style="606" customWidth="1"/>
    <col min="4098" max="4098" width="17.33203125" style="606" customWidth="1"/>
    <col min="4099" max="4099" width="2.109375" style="606" customWidth="1"/>
    <col min="4100" max="4100" width="7.5546875" style="606" customWidth="1"/>
    <col min="4101" max="4101" width="12.109375" style="606" customWidth="1"/>
    <col min="4102" max="4102" width="14.33203125" style="606" customWidth="1"/>
    <col min="4103" max="4103" width="42.5546875" style="606" customWidth="1"/>
    <col min="4104" max="4347" width="8.88671875" style="606"/>
    <col min="4348" max="4348" width="15.88671875" style="606" customWidth="1"/>
    <col min="4349" max="4349" width="2.109375" style="606" customWidth="1"/>
    <col min="4350" max="4350" width="7.5546875" style="606" customWidth="1"/>
    <col min="4351" max="4351" width="12.109375" style="606" customWidth="1"/>
    <col min="4352" max="4352" width="14.33203125" style="606" customWidth="1"/>
    <col min="4353" max="4353" width="3.44140625" style="606" customWidth="1"/>
    <col min="4354" max="4354" width="17.33203125" style="606" customWidth="1"/>
    <col min="4355" max="4355" width="2.109375" style="606" customWidth="1"/>
    <col min="4356" max="4356" width="7.5546875" style="606" customWidth="1"/>
    <col min="4357" max="4357" width="12.109375" style="606" customWidth="1"/>
    <col min="4358" max="4358" width="14.33203125" style="606" customWidth="1"/>
    <col min="4359" max="4359" width="42.5546875" style="606" customWidth="1"/>
    <col min="4360" max="4603" width="8.88671875" style="606"/>
    <col min="4604" max="4604" width="15.88671875" style="606" customWidth="1"/>
    <col min="4605" max="4605" width="2.109375" style="606" customWidth="1"/>
    <col min="4606" max="4606" width="7.5546875" style="606" customWidth="1"/>
    <col min="4607" max="4607" width="12.109375" style="606" customWidth="1"/>
    <col min="4608" max="4608" width="14.33203125" style="606" customWidth="1"/>
    <col min="4609" max="4609" width="3.44140625" style="606" customWidth="1"/>
    <col min="4610" max="4610" width="17.33203125" style="606" customWidth="1"/>
    <col min="4611" max="4611" width="2.109375" style="606" customWidth="1"/>
    <col min="4612" max="4612" width="7.5546875" style="606" customWidth="1"/>
    <col min="4613" max="4613" width="12.109375" style="606" customWidth="1"/>
    <col min="4614" max="4614" width="14.33203125" style="606" customWidth="1"/>
    <col min="4615" max="4615" width="42.5546875" style="606" customWidth="1"/>
    <col min="4616" max="4859" width="8.88671875" style="606"/>
    <col min="4860" max="4860" width="15.88671875" style="606" customWidth="1"/>
    <col min="4861" max="4861" width="2.109375" style="606" customWidth="1"/>
    <col min="4862" max="4862" width="7.5546875" style="606" customWidth="1"/>
    <col min="4863" max="4863" width="12.109375" style="606" customWidth="1"/>
    <col min="4864" max="4864" width="14.33203125" style="606" customWidth="1"/>
    <col min="4865" max="4865" width="3.44140625" style="606" customWidth="1"/>
    <col min="4866" max="4866" width="17.33203125" style="606" customWidth="1"/>
    <col min="4867" max="4867" width="2.109375" style="606" customWidth="1"/>
    <col min="4868" max="4868" width="7.5546875" style="606" customWidth="1"/>
    <col min="4869" max="4869" width="12.109375" style="606" customWidth="1"/>
    <col min="4870" max="4870" width="14.33203125" style="606" customWidth="1"/>
    <col min="4871" max="4871" width="42.5546875" style="606" customWidth="1"/>
    <col min="4872" max="5115" width="8.88671875" style="606"/>
    <col min="5116" max="5116" width="15.88671875" style="606" customWidth="1"/>
    <col min="5117" max="5117" width="2.109375" style="606" customWidth="1"/>
    <col min="5118" max="5118" width="7.5546875" style="606" customWidth="1"/>
    <col min="5119" max="5119" width="12.109375" style="606" customWidth="1"/>
    <col min="5120" max="5120" width="14.33203125" style="606" customWidth="1"/>
    <col min="5121" max="5121" width="3.44140625" style="606" customWidth="1"/>
    <col min="5122" max="5122" width="17.33203125" style="606" customWidth="1"/>
    <col min="5123" max="5123" width="2.109375" style="606" customWidth="1"/>
    <col min="5124" max="5124" width="7.5546875" style="606" customWidth="1"/>
    <col min="5125" max="5125" width="12.109375" style="606" customWidth="1"/>
    <col min="5126" max="5126" width="14.33203125" style="606" customWidth="1"/>
    <col min="5127" max="5127" width="42.5546875" style="606" customWidth="1"/>
    <col min="5128" max="5371" width="8.88671875" style="606"/>
    <col min="5372" max="5372" width="15.88671875" style="606" customWidth="1"/>
    <col min="5373" max="5373" width="2.109375" style="606" customWidth="1"/>
    <col min="5374" max="5374" width="7.5546875" style="606" customWidth="1"/>
    <col min="5375" max="5375" width="12.109375" style="606" customWidth="1"/>
    <col min="5376" max="5376" width="14.33203125" style="606" customWidth="1"/>
    <col min="5377" max="5377" width="3.44140625" style="606" customWidth="1"/>
    <col min="5378" max="5378" width="17.33203125" style="606" customWidth="1"/>
    <col min="5379" max="5379" width="2.109375" style="606" customWidth="1"/>
    <col min="5380" max="5380" width="7.5546875" style="606" customWidth="1"/>
    <col min="5381" max="5381" width="12.109375" style="606" customWidth="1"/>
    <col min="5382" max="5382" width="14.33203125" style="606" customWidth="1"/>
    <col min="5383" max="5383" width="42.5546875" style="606" customWidth="1"/>
    <col min="5384" max="5627" width="8.88671875" style="606"/>
    <col min="5628" max="5628" width="15.88671875" style="606" customWidth="1"/>
    <col min="5629" max="5629" width="2.109375" style="606" customWidth="1"/>
    <col min="5630" max="5630" width="7.5546875" style="606" customWidth="1"/>
    <col min="5631" max="5631" width="12.109375" style="606" customWidth="1"/>
    <col min="5632" max="5632" width="14.33203125" style="606" customWidth="1"/>
    <col min="5633" max="5633" width="3.44140625" style="606" customWidth="1"/>
    <col min="5634" max="5634" width="17.33203125" style="606" customWidth="1"/>
    <col min="5635" max="5635" width="2.109375" style="606" customWidth="1"/>
    <col min="5636" max="5636" width="7.5546875" style="606" customWidth="1"/>
    <col min="5637" max="5637" width="12.109375" style="606" customWidth="1"/>
    <col min="5638" max="5638" width="14.33203125" style="606" customWidth="1"/>
    <col min="5639" max="5639" width="42.5546875" style="606" customWidth="1"/>
    <col min="5640" max="5883" width="8.88671875" style="606"/>
    <col min="5884" max="5884" width="15.88671875" style="606" customWidth="1"/>
    <col min="5885" max="5885" width="2.109375" style="606" customWidth="1"/>
    <col min="5886" max="5886" width="7.5546875" style="606" customWidth="1"/>
    <col min="5887" max="5887" width="12.109375" style="606" customWidth="1"/>
    <col min="5888" max="5888" width="14.33203125" style="606" customWidth="1"/>
    <col min="5889" max="5889" width="3.44140625" style="606" customWidth="1"/>
    <col min="5890" max="5890" width="17.33203125" style="606" customWidth="1"/>
    <col min="5891" max="5891" width="2.109375" style="606" customWidth="1"/>
    <col min="5892" max="5892" width="7.5546875" style="606" customWidth="1"/>
    <col min="5893" max="5893" width="12.109375" style="606" customWidth="1"/>
    <col min="5894" max="5894" width="14.33203125" style="606" customWidth="1"/>
    <col min="5895" max="5895" width="42.5546875" style="606" customWidth="1"/>
    <col min="5896" max="6139" width="8.88671875" style="606"/>
    <col min="6140" max="6140" width="15.88671875" style="606" customWidth="1"/>
    <col min="6141" max="6141" width="2.109375" style="606" customWidth="1"/>
    <col min="6142" max="6142" width="7.5546875" style="606" customWidth="1"/>
    <col min="6143" max="6143" width="12.109375" style="606" customWidth="1"/>
    <col min="6144" max="6144" width="14.33203125" style="606" customWidth="1"/>
    <col min="6145" max="6145" width="3.44140625" style="606" customWidth="1"/>
    <col min="6146" max="6146" width="17.33203125" style="606" customWidth="1"/>
    <col min="6147" max="6147" width="2.109375" style="606" customWidth="1"/>
    <col min="6148" max="6148" width="7.5546875" style="606" customWidth="1"/>
    <col min="6149" max="6149" width="12.109375" style="606" customWidth="1"/>
    <col min="6150" max="6150" width="14.33203125" style="606" customWidth="1"/>
    <col min="6151" max="6151" width="42.5546875" style="606" customWidth="1"/>
    <col min="6152" max="6395" width="8.88671875" style="606"/>
    <col min="6396" max="6396" width="15.88671875" style="606" customWidth="1"/>
    <col min="6397" max="6397" width="2.109375" style="606" customWidth="1"/>
    <col min="6398" max="6398" width="7.5546875" style="606" customWidth="1"/>
    <col min="6399" max="6399" width="12.109375" style="606" customWidth="1"/>
    <col min="6400" max="6400" width="14.33203125" style="606" customWidth="1"/>
    <col min="6401" max="6401" width="3.44140625" style="606" customWidth="1"/>
    <col min="6402" max="6402" width="17.33203125" style="606" customWidth="1"/>
    <col min="6403" max="6403" width="2.109375" style="606" customWidth="1"/>
    <col min="6404" max="6404" width="7.5546875" style="606" customWidth="1"/>
    <col min="6405" max="6405" width="12.109375" style="606" customWidth="1"/>
    <col min="6406" max="6406" width="14.33203125" style="606" customWidth="1"/>
    <col min="6407" max="6407" width="42.5546875" style="606" customWidth="1"/>
    <col min="6408" max="6651" width="8.88671875" style="606"/>
    <col min="6652" max="6652" width="15.88671875" style="606" customWidth="1"/>
    <col min="6653" max="6653" width="2.109375" style="606" customWidth="1"/>
    <col min="6654" max="6654" width="7.5546875" style="606" customWidth="1"/>
    <col min="6655" max="6655" width="12.109375" style="606" customWidth="1"/>
    <col min="6656" max="6656" width="14.33203125" style="606" customWidth="1"/>
    <col min="6657" max="6657" width="3.44140625" style="606" customWidth="1"/>
    <col min="6658" max="6658" width="17.33203125" style="606" customWidth="1"/>
    <col min="6659" max="6659" width="2.109375" style="606" customWidth="1"/>
    <col min="6660" max="6660" width="7.5546875" style="606" customWidth="1"/>
    <col min="6661" max="6661" width="12.109375" style="606" customWidth="1"/>
    <col min="6662" max="6662" width="14.33203125" style="606" customWidth="1"/>
    <col min="6663" max="6663" width="42.5546875" style="606" customWidth="1"/>
    <col min="6664" max="6907" width="8.88671875" style="606"/>
    <col min="6908" max="6908" width="15.88671875" style="606" customWidth="1"/>
    <col min="6909" max="6909" width="2.109375" style="606" customWidth="1"/>
    <col min="6910" max="6910" width="7.5546875" style="606" customWidth="1"/>
    <col min="6911" max="6911" width="12.109375" style="606" customWidth="1"/>
    <col min="6912" max="6912" width="14.33203125" style="606" customWidth="1"/>
    <col min="6913" max="6913" width="3.44140625" style="606" customWidth="1"/>
    <col min="6914" max="6914" width="17.33203125" style="606" customWidth="1"/>
    <col min="6915" max="6915" width="2.109375" style="606" customWidth="1"/>
    <col min="6916" max="6916" width="7.5546875" style="606" customWidth="1"/>
    <col min="6917" max="6917" width="12.109375" style="606" customWidth="1"/>
    <col min="6918" max="6918" width="14.33203125" style="606" customWidth="1"/>
    <col min="6919" max="6919" width="42.5546875" style="606" customWidth="1"/>
    <col min="6920" max="7163" width="8.88671875" style="606"/>
    <col min="7164" max="7164" width="15.88671875" style="606" customWidth="1"/>
    <col min="7165" max="7165" width="2.109375" style="606" customWidth="1"/>
    <col min="7166" max="7166" width="7.5546875" style="606" customWidth="1"/>
    <col min="7167" max="7167" width="12.109375" style="606" customWidth="1"/>
    <col min="7168" max="7168" width="14.33203125" style="606" customWidth="1"/>
    <col min="7169" max="7169" width="3.44140625" style="606" customWidth="1"/>
    <col min="7170" max="7170" width="17.33203125" style="606" customWidth="1"/>
    <col min="7171" max="7171" width="2.109375" style="606" customWidth="1"/>
    <col min="7172" max="7172" width="7.5546875" style="606" customWidth="1"/>
    <col min="7173" max="7173" width="12.109375" style="606" customWidth="1"/>
    <col min="7174" max="7174" width="14.33203125" style="606" customWidth="1"/>
    <col min="7175" max="7175" width="42.5546875" style="606" customWidth="1"/>
    <col min="7176" max="7419" width="8.88671875" style="606"/>
    <col min="7420" max="7420" width="15.88671875" style="606" customWidth="1"/>
    <col min="7421" max="7421" width="2.109375" style="606" customWidth="1"/>
    <col min="7422" max="7422" width="7.5546875" style="606" customWidth="1"/>
    <col min="7423" max="7423" width="12.109375" style="606" customWidth="1"/>
    <col min="7424" max="7424" width="14.33203125" style="606" customWidth="1"/>
    <col min="7425" max="7425" width="3.44140625" style="606" customWidth="1"/>
    <col min="7426" max="7426" width="17.33203125" style="606" customWidth="1"/>
    <col min="7427" max="7427" width="2.109375" style="606" customWidth="1"/>
    <col min="7428" max="7428" width="7.5546875" style="606" customWidth="1"/>
    <col min="7429" max="7429" width="12.109375" style="606" customWidth="1"/>
    <col min="7430" max="7430" width="14.33203125" style="606" customWidth="1"/>
    <col min="7431" max="7431" width="42.5546875" style="606" customWidth="1"/>
    <col min="7432" max="7675" width="8.88671875" style="606"/>
    <col min="7676" max="7676" width="15.88671875" style="606" customWidth="1"/>
    <col min="7677" max="7677" width="2.109375" style="606" customWidth="1"/>
    <col min="7678" max="7678" width="7.5546875" style="606" customWidth="1"/>
    <col min="7679" max="7679" width="12.109375" style="606" customWidth="1"/>
    <col min="7680" max="7680" width="14.33203125" style="606" customWidth="1"/>
    <col min="7681" max="7681" width="3.44140625" style="606" customWidth="1"/>
    <col min="7682" max="7682" width="17.33203125" style="606" customWidth="1"/>
    <col min="7683" max="7683" width="2.109375" style="606" customWidth="1"/>
    <col min="7684" max="7684" width="7.5546875" style="606" customWidth="1"/>
    <col min="7685" max="7685" width="12.109375" style="606" customWidth="1"/>
    <col min="7686" max="7686" width="14.33203125" style="606" customWidth="1"/>
    <col min="7687" max="7687" width="42.5546875" style="606" customWidth="1"/>
    <col min="7688" max="7931" width="8.88671875" style="606"/>
    <col min="7932" max="7932" width="15.88671875" style="606" customWidth="1"/>
    <col min="7933" max="7933" width="2.109375" style="606" customWidth="1"/>
    <col min="7934" max="7934" width="7.5546875" style="606" customWidth="1"/>
    <col min="7935" max="7935" width="12.109375" style="606" customWidth="1"/>
    <col min="7936" max="7936" width="14.33203125" style="606" customWidth="1"/>
    <col min="7937" max="7937" width="3.44140625" style="606" customWidth="1"/>
    <col min="7938" max="7938" width="17.33203125" style="606" customWidth="1"/>
    <col min="7939" max="7939" width="2.109375" style="606" customWidth="1"/>
    <col min="7940" max="7940" width="7.5546875" style="606" customWidth="1"/>
    <col min="7941" max="7941" width="12.109375" style="606" customWidth="1"/>
    <col min="7942" max="7942" width="14.33203125" style="606" customWidth="1"/>
    <col min="7943" max="7943" width="42.5546875" style="606" customWidth="1"/>
    <col min="7944" max="8187" width="8.88671875" style="606"/>
    <col min="8188" max="8188" width="15.88671875" style="606" customWidth="1"/>
    <col min="8189" max="8189" width="2.109375" style="606" customWidth="1"/>
    <col min="8190" max="8190" width="7.5546875" style="606" customWidth="1"/>
    <col min="8191" max="8191" width="12.109375" style="606" customWidth="1"/>
    <col min="8192" max="8192" width="14.33203125" style="606" customWidth="1"/>
    <col min="8193" max="8193" width="3.44140625" style="606" customWidth="1"/>
    <col min="8194" max="8194" width="17.33203125" style="606" customWidth="1"/>
    <col min="8195" max="8195" width="2.109375" style="606" customWidth="1"/>
    <col min="8196" max="8196" width="7.5546875" style="606" customWidth="1"/>
    <col min="8197" max="8197" width="12.109375" style="606" customWidth="1"/>
    <col min="8198" max="8198" width="14.33203125" style="606" customWidth="1"/>
    <col min="8199" max="8199" width="42.5546875" style="606" customWidth="1"/>
    <col min="8200" max="8443" width="8.88671875" style="606"/>
    <col min="8444" max="8444" width="15.88671875" style="606" customWidth="1"/>
    <col min="8445" max="8445" width="2.109375" style="606" customWidth="1"/>
    <col min="8446" max="8446" width="7.5546875" style="606" customWidth="1"/>
    <col min="8447" max="8447" width="12.109375" style="606" customWidth="1"/>
    <col min="8448" max="8448" width="14.33203125" style="606" customWidth="1"/>
    <col min="8449" max="8449" width="3.44140625" style="606" customWidth="1"/>
    <col min="8450" max="8450" width="17.33203125" style="606" customWidth="1"/>
    <col min="8451" max="8451" width="2.109375" style="606" customWidth="1"/>
    <col min="8452" max="8452" width="7.5546875" style="606" customWidth="1"/>
    <col min="8453" max="8453" width="12.109375" style="606" customWidth="1"/>
    <col min="8454" max="8454" width="14.33203125" style="606" customWidth="1"/>
    <col min="8455" max="8455" width="42.5546875" style="606" customWidth="1"/>
    <col min="8456" max="8699" width="8.88671875" style="606"/>
    <col min="8700" max="8700" width="15.88671875" style="606" customWidth="1"/>
    <col min="8701" max="8701" width="2.109375" style="606" customWidth="1"/>
    <col min="8702" max="8702" width="7.5546875" style="606" customWidth="1"/>
    <col min="8703" max="8703" width="12.109375" style="606" customWidth="1"/>
    <col min="8704" max="8704" width="14.33203125" style="606" customWidth="1"/>
    <col min="8705" max="8705" width="3.44140625" style="606" customWidth="1"/>
    <col min="8706" max="8706" width="17.33203125" style="606" customWidth="1"/>
    <col min="8707" max="8707" width="2.109375" style="606" customWidth="1"/>
    <col min="8708" max="8708" width="7.5546875" style="606" customWidth="1"/>
    <col min="8709" max="8709" width="12.109375" style="606" customWidth="1"/>
    <col min="8710" max="8710" width="14.33203125" style="606" customWidth="1"/>
    <col min="8711" max="8711" width="42.5546875" style="606" customWidth="1"/>
    <col min="8712" max="8955" width="8.88671875" style="606"/>
    <col min="8956" max="8956" width="15.88671875" style="606" customWidth="1"/>
    <col min="8957" max="8957" width="2.109375" style="606" customWidth="1"/>
    <col min="8958" max="8958" width="7.5546875" style="606" customWidth="1"/>
    <col min="8959" max="8959" width="12.109375" style="606" customWidth="1"/>
    <col min="8960" max="8960" width="14.33203125" style="606" customWidth="1"/>
    <col min="8961" max="8961" width="3.44140625" style="606" customWidth="1"/>
    <col min="8962" max="8962" width="17.33203125" style="606" customWidth="1"/>
    <col min="8963" max="8963" width="2.109375" style="606" customWidth="1"/>
    <col min="8964" max="8964" width="7.5546875" style="606" customWidth="1"/>
    <col min="8965" max="8965" width="12.109375" style="606" customWidth="1"/>
    <col min="8966" max="8966" width="14.33203125" style="606" customWidth="1"/>
    <col min="8967" max="8967" width="42.5546875" style="606" customWidth="1"/>
    <col min="8968" max="9211" width="8.88671875" style="606"/>
    <col min="9212" max="9212" width="15.88671875" style="606" customWidth="1"/>
    <col min="9213" max="9213" width="2.109375" style="606" customWidth="1"/>
    <col min="9214" max="9214" width="7.5546875" style="606" customWidth="1"/>
    <col min="9215" max="9215" width="12.109375" style="606" customWidth="1"/>
    <col min="9216" max="9216" width="14.33203125" style="606" customWidth="1"/>
    <col min="9217" max="9217" width="3.44140625" style="606" customWidth="1"/>
    <col min="9218" max="9218" width="17.33203125" style="606" customWidth="1"/>
    <col min="9219" max="9219" width="2.109375" style="606" customWidth="1"/>
    <col min="9220" max="9220" width="7.5546875" style="606" customWidth="1"/>
    <col min="9221" max="9221" width="12.109375" style="606" customWidth="1"/>
    <col min="9222" max="9222" width="14.33203125" style="606" customWidth="1"/>
    <col min="9223" max="9223" width="42.5546875" style="606" customWidth="1"/>
    <col min="9224" max="9467" width="8.88671875" style="606"/>
    <col min="9468" max="9468" width="15.88671875" style="606" customWidth="1"/>
    <col min="9469" max="9469" width="2.109375" style="606" customWidth="1"/>
    <col min="9470" max="9470" width="7.5546875" style="606" customWidth="1"/>
    <col min="9471" max="9471" width="12.109375" style="606" customWidth="1"/>
    <col min="9472" max="9472" width="14.33203125" style="606" customWidth="1"/>
    <col min="9473" max="9473" width="3.44140625" style="606" customWidth="1"/>
    <col min="9474" max="9474" width="17.33203125" style="606" customWidth="1"/>
    <col min="9475" max="9475" width="2.109375" style="606" customWidth="1"/>
    <col min="9476" max="9476" width="7.5546875" style="606" customWidth="1"/>
    <col min="9477" max="9477" width="12.109375" style="606" customWidth="1"/>
    <col min="9478" max="9478" width="14.33203125" style="606" customWidth="1"/>
    <col min="9479" max="9479" width="42.5546875" style="606" customWidth="1"/>
    <col min="9480" max="9723" width="8.88671875" style="606"/>
    <col min="9724" max="9724" width="15.88671875" style="606" customWidth="1"/>
    <col min="9725" max="9725" width="2.109375" style="606" customWidth="1"/>
    <col min="9726" max="9726" width="7.5546875" style="606" customWidth="1"/>
    <col min="9727" max="9727" width="12.109375" style="606" customWidth="1"/>
    <col min="9728" max="9728" width="14.33203125" style="606" customWidth="1"/>
    <col min="9729" max="9729" width="3.44140625" style="606" customWidth="1"/>
    <col min="9730" max="9730" width="17.33203125" style="606" customWidth="1"/>
    <col min="9731" max="9731" width="2.109375" style="606" customWidth="1"/>
    <col min="9732" max="9732" width="7.5546875" style="606" customWidth="1"/>
    <col min="9733" max="9733" width="12.109375" style="606" customWidth="1"/>
    <col min="9734" max="9734" width="14.33203125" style="606" customWidth="1"/>
    <col min="9735" max="9735" width="42.5546875" style="606" customWidth="1"/>
    <col min="9736" max="9979" width="8.88671875" style="606"/>
    <col min="9980" max="9980" width="15.88671875" style="606" customWidth="1"/>
    <col min="9981" max="9981" width="2.109375" style="606" customWidth="1"/>
    <col min="9982" max="9982" width="7.5546875" style="606" customWidth="1"/>
    <col min="9983" max="9983" width="12.109375" style="606" customWidth="1"/>
    <col min="9984" max="9984" width="14.33203125" style="606" customWidth="1"/>
    <col min="9985" max="9985" width="3.44140625" style="606" customWidth="1"/>
    <col min="9986" max="9986" width="17.33203125" style="606" customWidth="1"/>
    <col min="9987" max="9987" width="2.109375" style="606" customWidth="1"/>
    <col min="9988" max="9988" width="7.5546875" style="606" customWidth="1"/>
    <col min="9989" max="9989" width="12.109375" style="606" customWidth="1"/>
    <col min="9990" max="9990" width="14.33203125" style="606" customWidth="1"/>
    <col min="9991" max="9991" width="42.5546875" style="606" customWidth="1"/>
    <col min="9992" max="10235" width="8.88671875" style="606"/>
    <col min="10236" max="10236" width="15.88671875" style="606" customWidth="1"/>
    <col min="10237" max="10237" width="2.109375" style="606" customWidth="1"/>
    <col min="10238" max="10238" width="7.5546875" style="606" customWidth="1"/>
    <col min="10239" max="10239" width="12.109375" style="606" customWidth="1"/>
    <col min="10240" max="10240" width="14.33203125" style="606" customWidth="1"/>
    <col min="10241" max="10241" width="3.44140625" style="606" customWidth="1"/>
    <col min="10242" max="10242" width="17.33203125" style="606" customWidth="1"/>
    <col min="10243" max="10243" width="2.109375" style="606" customWidth="1"/>
    <col min="10244" max="10244" width="7.5546875" style="606" customWidth="1"/>
    <col min="10245" max="10245" width="12.109375" style="606" customWidth="1"/>
    <col min="10246" max="10246" width="14.33203125" style="606" customWidth="1"/>
    <col min="10247" max="10247" width="42.5546875" style="606" customWidth="1"/>
    <col min="10248" max="10491" width="8.88671875" style="606"/>
    <col min="10492" max="10492" width="15.88671875" style="606" customWidth="1"/>
    <col min="10493" max="10493" width="2.109375" style="606" customWidth="1"/>
    <col min="10494" max="10494" width="7.5546875" style="606" customWidth="1"/>
    <col min="10495" max="10495" width="12.109375" style="606" customWidth="1"/>
    <col min="10496" max="10496" width="14.33203125" style="606" customWidth="1"/>
    <col min="10497" max="10497" width="3.44140625" style="606" customWidth="1"/>
    <col min="10498" max="10498" width="17.33203125" style="606" customWidth="1"/>
    <col min="10499" max="10499" width="2.109375" style="606" customWidth="1"/>
    <col min="10500" max="10500" width="7.5546875" style="606" customWidth="1"/>
    <col min="10501" max="10501" width="12.109375" style="606" customWidth="1"/>
    <col min="10502" max="10502" width="14.33203125" style="606" customWidth="1"/>
    <col min="10503" max="10503" width="42.5546875" style="606" customWidth="1"/>
    <col min="10504" max="10747" width="8.88671875" style="606"/>
    <col min="10748" max="10748" width="15.88671875" style="606" customWidth="1"/>
    <col min="10749" max="10749" width="2.109375" style="606" customWidth="1"/>
    <col min="10750" max="10750" width="7.5546875" style="606" customWidth="1"/>
    <col min="10751" max="10751" width="12.109375" style="606" customWidth="1"/>
    <col min="10752" max="10752" width="14.33203125" style="606" customWidth="1"/>
    <col min="10753" max="10753" width="3.44140625" style="606" customWidth="1"/>
    <col min="10754" max="10754" width="17.33203125" style="606" customWidth="1"/>
    <col min="10755" max="10755" width="2.109375" style="606" customWidth="1"/>
    <col min="10756" max="10756" width="7.5546875" style="606" customWidth="1"/>
    <col min="10757" max="10757" width="12.109375" style="606" customWidth="1"/>
    <col min="10758" max="10758" width="14.33203125" style="606" customWidth="1"/>
    <col min="10759" max="10759" width="42.5546875" style="606" customWidth="1"/>
    <col min="10760" max="11003" width="8.88671875" style="606"/>
    <col min="11004" max="11004" width="15.88671875" style="606" customWidth="1"/>
    <col min="11005" max="11005" width="2.109375" style="606" customWidth="1"/>
    <col min="11006" max="11006" width="7.5546875" style="606" customWidth="1"/>
    <col min="11007" max="11007" width="12.109375" style="606" customWidth="1"/>
    <col min="11008" max="11008" width="14.33203125" style="606" customWidth="1"/>
    <col min="11009" max="11009" width="3.44140625" style="606" customWidth="1"/>
    <col min="11010" max="11010" width="17.33203125" style="606" customWidth="1"/>
    <col min="11011" max="11011" width="2.109375" style="606" customWidth="1"/>
    <col min="11012" max="11012" width="7.5546875" style="606" customWidth="1"/>
    <col min="11013" max="11013" width="12.109375" style="606" customWidth="1"/>
    <col min="11014" max="11014" width="14.33203125" style="606" customWidth="1"/>
    <col min="11015" max="11015" width="42.5546875" style="606" customWidth="1"/>
    <col min="11016" max="11259" width="8.88671875" style="606"/>
    <col min="11260" max="11260" width="15.88671875" style="606" customWidth="1"/>
    <col min="11261" max="11261" width="2.109375" style="606" customWidth="1"/>
    <col min="11262" max="11262" width="7.5546875" style="606" customWidth="1"/>
    <col min="11263" max="11263" width="12.109375" style="606" customWidth="1"/>
    <col min="11264" max="11264" width="14.33203125" style="606" customWidth="1"/>
    <col min="11265" max="11265" width="3.44140625" style="606" customWidth="1"/>
    <col min="11266" max="11266" width="17.33203125" style="606" customWidth="1"/>
    <col min="11267" max="11267" width="2.109375" style="606" customWidth="1"/>
    <col min="11268" max="11268" width="7.5546875" style="606" customWidth="1"/>
    <col min="11269" max="11269" width="12.109375" style="606" customWidth="1"/>
    <col min="11270" max="11270" width="14.33203125" style="606" customWidth="1"/>
    <col min="11271" max="11271" width="42.5546875" style="606" customWidth="1"/>
    <col min="11272" max="11515" width="8.88671875" style="606"/>
    <col min="11516" max="11516" width="15.88671875" style="606" customWidth="1"/>
    <col min="11517" max="11517" width="2.109375" style="606" customWidth="1"/>
    <col min="11518" max="11518" width="7.5546875" style="606" customWidth="1"/>
    <col min="11519" max="11519" width="12.109375" style="606" customWidth="1"/>
    <col min="11520" max="11520" width="14.33203125" style="606" customWidth="1"/>
    <col min="11521" max="11521" width="3.44140625" style="606" customWidth="1"/>
    <col min="11522" max="11522" width="17.33203125" style="606" customWidth="1"/>
    <col min="11523" max="11523" width="2.109375" style="606" customWidth="1"/>
    <col min="11524" max="11524" width="7.5546875" style="606" customWidth="1"/>
    <col min="11525" max="11525" width="12.109375" style="606" customWidth="1"/>
    <col min="11526" max="11526" width="14.33203125" style="606" customWidth="1"/>
    <col min="11527" max="11527" width="42.5546875" style="606" customWidth="1"/>
    <col min="11528" max="11771" width="8.88671875" style="606"/>
    <col min="11772" max="11772" width="15.88671875" style="606" customWidth="1"/>
    <col min="11773" max="11773" width="2.109375" style="606" customWidth="1"/>
    <col min="11774" max="11774" width="7.5546875" style="606" customWidth="1"/>
    <col min="11775" max="11775" width="12.109375" style="606" customWidth="1"/>
    <col min="11776" max="11776" width="14.33203125" style="606" customWidth="1"/>
    <col min="11777" max="11777" width="3.44140625" style="606" customWidth="1"/>
    <col min="11778" max="11778" width="17.33203125" style="606" customWidth="1"/>
    <col min="11779" max="11779" width="2.109375" style="606" customWidth="1"/>
    <col min="11780" max="11780" width="7.5546875" style="606" customWidth="1"/>
    <col min="11781" max="11781" width="12.109375" style="606" customWidth="1"/>
    <col min="11782" max="11782" width="14.33203125" style="606" customWidth="1"/>
    <col min="11783" max="11783" width="42.5546875" style="606" customWidth="1"/>
    <col min="11784" max="12027" width="8.88671875" style="606"/>
    <col min="12028" max="12028" width="15.88671875" style="606" customWidth="1"/>
    <col min="12029" max="12029" width="2.109375" style="606" customWidth="1"/>
    <col min="12030" max="12030" width="7.5546875" style="606" customWidth="1"/>
    <col min="12031" max="12031" width="12.109375" style="606" customWidth="1"/>
    <col min="12032" max="12032" width="14.33203125" style="606" customWidth="1"/>
    <col min="12033" max="12033" width="3.44140625" style="606" customWidth="1"/>
    <col min="12034" max="12034" width="17.33203125" style="606" customWidth="1"/>
    <col min="12035" max="12035" width="2.109375" style="606" customWidth="1"/>
    <col min="12036" max="12036" width="7.5546875" style="606" customWidth="1"/>
    <col min="12037" max="12037" width="12.109375" style="606" customWidth="1"/>
    <col min="12038" max="12038" width="14.33203125" style="606" customWidth="1"/>
    <col min="12039" max="12039" width="42.5546875" style="606" customWidth="1"/>
    <col min="12040" max="12283" width="8.88671875" style="606"/>
    <col min="12284" max="12284" width="15.88671875" style="606" customWidth="1"/>
    <col min="12285" max="12285" width="2.109375" style="606" customWidth="1"/>
    <col min="12286" max="12286" width="7.5546875" style="606" customWidth="1"/>
    <col min="12287" max="12287" width="12.109375" style="606" customWidth="1"/>
    <col min="12288" max="12288" width="14.33203125" style="606" customWidth="1"/>
    <col min="12289" max="12289" width="3.44140625" style="606" customWidth="1"/>
    <col min="12290" max="12290" width="17.33203125" style="606" customWidth="1"/>
    <col min="12291" max="12291" width="2.109375" style="606" customWidth="1"/>
    <col min="12292" max="12292" width="7.5546875" style="606" customWidth="1"/>
    <col min="12293" max="12293" width="12.109375" style="606" customWidth="1"/>
    <col min="12294" max="12294" width="14.33203125" style="606" customWidth="1"/>
    <col min="12295" max="12295" width="42.5546875" style="606" customWidth="1"/>
    <col min="12296" max="12539" width="8.88671875" style="606"/>
    <col min="12540" max="12540" width="15.88671875" style="606" customWidth="1"/>
    <col min="12541" max="12541" width="2.109375" style="606" customWidth="1"/>
    <col min="12542" max="12542" width="7.5546875" style="606" customWidth="1"/>
    <col min="12543" max="12543" width="12.109375" style="606" customWidth="1"/>
    <col min="12544" max="12544" width="14.33203125" style="606" customWidth="1"/>
    <col min="12545" max="12545" width="3.44140625" style="606" customWidth="1"/>
    <col min="12546" max="12546" width="17.33203125" style="606" customWidth="1"/>
    <col min="12547" max="12547" width="2.109375" style="606" customWidth="1"/>
    <col min="12548" max="12548" width="7.5546875" style="606" customWidth="1"/>
    <col min="12549" max="12549" width="12.109375" style="606" customWidth="1"/>
    <col min="12550" max="12550" width="14.33203125" style="606" customWidth="1"/>
    <col min="12551" max="12551" width="42.5546875" style="606" customWidth="1"/>
    <col min="12552" max="12795" width="8.88671875" style="606"/>
    <col min="12796" max="12796" width="15.88671875" style="606" customWidth="1"/>
    <col min="12797" max="12797" width="2.109375" style="606" customWidth="1"/>
    <col min="12798" max="12798" width="7.5546875" style="606" customWidth="1"/>
    <col min="12799" max="12799" width="12.109375" style="606" customWidth="1"/>
    <col min="12800" max="12800" width="14.33203125" style="606" customWidth="1"/>
    <col min="12801" max="12801" width="3.44140625" style="606" customWidth="1"/>
    <col min="12802" max="12802" width="17.33203125" style="606" customWidth="1"/>
    <col min="12803" max="12803" width="2.109375" style="606" customWidth="1"/>
    <col min="12804" max="12804" width="7.5546875" style="606" customWidth="1"/>
    <col min="12805" max="12805" width="12.109375" style="606" customWidth="1"/>
    <col min="12806" max="12806" width="14.33203125" style="606" customWidth="1"/>
    <col min="12807" max="12807" width="42.5546875" style="606" customWidth="1"/>
    <col min="12808" max="13051" width="8.88671875" style="606"/>
    <col min="13052" max="13052" width="15.88671875" style="606" customWidth="1"/>
    <col min="13053" max="13053" width="2.109375" style="606" customWidth="1"/>
    <col min="13054" max="13054" width="7.5546875" style="606" customWidth="1"/>
    <col min="13055" max="13055" width="12.109375" style="606" customWidth="1"/>
    <col min="13056" max="13056" width="14.33203125" style="606" customWidth="1"/>
    <col min="13057" max="13057" width="3.44140625" style="606" customWidth="1"/>
    <col min="13058" max="13058" width="17.33203125" style="606" customWidth="1"/>
    <col min="13059" max="13059" width="2.109375" style="606" customWidth="1"/>
    <col min="13060" max="13060" width="7.5546875" style="606" customWidth="1"/>
    <col min="13061" max="13061" width="12.109375" style="606" customWidth="1"/>
    <col min="13062" max="13062" width="14.33203125" style="606" customWidth="1"/>
    <col min="13063" max="13063" width="42.5546875" style="606" customWidth="1"/>
    <col min="13064" max="13307" width="8.88671875" style="606"/>
    <col min="13308" max="13308" width="15.88671875" style="606" customWidth="1"/>
    <col min="13309" max="13309" width="2.109375" style="606" customWidth="1"/>
    <col min="13310" max="13310" width="7.5546875" style="606" customWidth="1"/>
    <col min="13311" max="13311" width="12.109375" style="606" customWidth="1"/>
    <col min="13312" max="13312" width="14.33203125" style="606" customWidth="1"/>
    <col min="13313" max="13313" width="3.44140625" style="606" customWidth="1"/>
    <col min="13314" max="13314" width="17.33203125" style="606" customWidth="1"/>
    <col min="13315" max="13315" width="2.109375" style="606" customWidth="1"/>
    <col min="13316" max="13316" width="7.5546875" style="606" customWidth="1"/>
    <col min="13317" max="13317" width="12.109375" style="606" customWidth="1"/>
    <col min="13318" max="13318" width="14.33203125" style="606" customWidth="1"/>
    <col min="13319" max="13319" width="42.5546875" style="606" customWidth="1"/>
    <col min="13320" max="13563" width="8.88671875" style="606"/>
    <col min="13564" max="13564" width="15.88671875" style="606" customWidth="1"/>
    <col min="13565" max="13565" width="2.109375" style="606" customWidth="1"/>
    <col min="13566" max="13566" width="7.5546875" style="606" customWidth="1"/>
    <col min="13567" max="13567" width="12.109375" style="606" customWidth="1"/>
    <col min="13568" max="13568" width="14.33203125" style="606" customWidth="1"/>
    <col min="13569" max="13569" width="3.44140625" style="606" customWidth="1"/>
    <col min="13570" max="13570" width="17.33203125" style="606" customWidth="1"/>
    <col min="13571" max="13571" width="2.109375" style="606" customWidth="1"/>
    <col min="13572" max="13572" width="7.5546875" style="606" customWidth="1"/>
    <col min="13573" max="13573" width="12.109375" style="606" customWidth="1"/>
    <col min="13574" max="13574" width="14.33203125" style="606" customWidth="1"/>
    <col min="13575" max="13575" width="42.5546875" style="606" customWidth="1"/>
    <col min="13576" max="13819" width="8.88671875" style="606"/>
    <col min="13820" max="13820" width="15.88671875" style="606" customWidth="1"/>
    <col min="13821" max="13821" width="2.109375" style="606" customWidth="1"/>
    <col min="13822" max="13822" width="7.5546875" style="606" customWidth="1"/>
    <col min="13823" max="13823" width="12.109375" style="606" customWidth="1"/>
    <col min="13824" max="13824" width="14.33203125" style="606" customWidth="1"/>
    <col min="13825" max="13825" width="3.44140625" style="606" customWidth="1"/>
    <col min="13826" max="13826" width="17.33203125" style="606" customWidth="1"/>
    <col min="13827" max="13827" width="2.109375" style="606" customWidth="1"/>
    <col min="13828" max="13828" width="7.5546875" style="606" customWidth="1"/>
    <col min="13829" max="13829" width="12.109375" style="606" customWidth="1"/>
    <col min="13830" max="13830" width="14.33203125" style="606" customWidth="1"/>
    <col min="13831" max="13831" width="42.5546875" style="606" customWidth="1"/>
    <col min="13832" max="14075" width="8.88671875" style="606"/>
    <col min="14076" max="14076" width="15.88671875" style="606" customWidth="1"/>
    <col min="14077" max="14077" width="2.109375" style="606" customWidth="1"/>
    <col min="14078" max="14078" width="7.5546875" style="606" customWidth="1"/>
    <col min="14079" max="14079" width="12.109375" style="606" customWidth="1"/>
    <col min="14080" max="14080" width="14.33203125" style="606" customWidth="1"/>
    <col min="14081" max="14081" width="3.44140625" style="606" customWidth="1"/>
    <col min="14082" max="14082" width="17.33203125" style="606" customWidth="1"/>
    <col min="14083" max="14083" width="2.109375" style="606" customWidth="1"/>
    <col min="14084" max="14084" width="7.5546875" style="606" customWidth="1"/>
    <col min="14085" max="14085" width="12.109375" style="606" customWidth="1"/>
    <col min="14086" max="14086" width="14.33203125" style="606" customWidth="1"/>
    <col min="14087" max="14087" width="42.5546875" style="606" customWidth="1"/>
    <col min="14088" max="14331" width="8.88671875" style="606"/>
    <col min="14332" max="14332" width="15.88671875" style="606" customWidth="1"/>
    <col min="14333" max="14333" width="2.109375" style="606" customWidth="1"/>
    <col min="14334" max="14334" width="7.5546875" style="606" customWidth="1"/>
    <col min="14335" max="14335" width="12.109375" style="606" customWidth="1"/>
    <col min="14336" max="14336" width="14.33203125" style="606" customWidth="1"/>
    <col min="14337" max="14337" width="3.44140625" style="606" customWidth="1"/>
    <col min="14338" max="14338" width="17.33203125" style="606" customWidth="1"/>
    <col min="14339" max="14339" width="2.109375" style="606" customWidth="1"/>
    <col min="14340" max="14340" width="7.5546875" style="606" customWidth="1"/>
    <col min="14341" max="14341" width="12.109375" style="606" customWidth="1"/>
    <col min="14342" max="14342" width="14.33203125" style="606" customWidth="1"/>
    <col min="14343" max="14343" width="42.5546875" style="606" customWidth="1"/>
    <col min="14344" max="14587" width="8.88671875" style="606"/>
    <col min="14588" max="14588" width="15.88671875" style="606" customWidth="1"/>
    <col min="14589" max="14589" width="2.109375" style="606" customWidth="1"/>
    <col min="14590" max="14590" width="7.5546875" style="606" customWidth="1"/>
    <col min="14591" max="14591" width="12.109375" style="606" customWidth="1"/>
    <col min="14592" max="14592" width="14.33203125" style="606" customWidth="1"/>
    <col min="14593" max="14593" width="3.44140625" style="606" customWidth="1"/>
    <col min="14594" max="14594" width="17.33203125" style="606" customWidth="1"/>
    <col min="14595" max="14595" width="2.109375" style="606" customWidth="1"/>
    <col min="14596" max="14596" width="7.5546875" style="606" customWidth="1"/>
    <col min="14597" max="14597" width="12.109375" style="606" customWidth="1"/>
    <col min="14598" max="14598" width="14.33203125" style="606" customWidth="1"/>
    <col min="14599" max="14599" width="42.5546875" style="606" customWidth="1"/>
    <col min="14600" max="14843" width="8.88671875" style="606"/>
    <col min="14844" max="14844" width="15.88671875" style="606" customWidth="1"/>
    <col min="14845" max="14845" width="2.109375" style="606" customWidth="1"/>
    <col min="14846" max="14846" width="7.5546875" style="606" customWidth="1"/>
    <col min="14847" max="14847" width="12.109375" style="606" customWidth="1"/>
    <col min="14848" max="14848" width="14.33203125" style="606" customWidth="1"/>
    <col min="14849" max="14849" width="3.44140625" style="606" customWidth="1"/>
    <col min="14850" max="14850" width="17.33203125" style="606" customWidth="1"/>
    <col min="14851" max="14851" width="2.109375" style="606" customWidth="1"/>
    <col min="14852" max="14852" width="7.5546875" style="606" customWidth="1"/>
    <col min="14853" max="14853" width="12.109375" style="606" customWidth="1"/>
    <col min="14854" max="14854" width="14.33203125" style="606" customWidth="1"/>
    <col min="14855" max="14855" width="42.5546875" style="606" customWidth="1"/>
    <col min="14856" max="15099" width="8.88671875" style="606"/>
    <col min="15100" max="15100" width="15.88671875" style="606" customWidth="1"/>
    <col min="15101" max="15101" width="2.109375" style="606" customWidth="1"/>
    <col min="15102" max="15102" width="7.5546875" style="606" customWidth="1"/>
    <col min="15103" max="15103" width="12.109375" style="606" customWidth="1"/>
    <col min="15104" max="15104" width="14.33203125" style="606" customWidth="1"/>
    <col min="15105" max="15105" width="3.44140625" style="606" customWidth="1"/>
    <col min="15106" max="15106" width="17.33203125" style="606" customWidth="1"/>
    <col min="15107" max="15107" width="2.109375" style="606" customWidth="1"/>
    <col min="15108" max="15108" width="7.5546875" style="606" customWidth="1"/>
    <col min="15109" max="15109" width="12.109375" style="606" customWidth="1"/>
    <col min="15110" max="15110" width="14.33203125" style="606" customWidth="1"/>
    <col min="15111" max="15111" width="42.5546875" style="606" customWidth="1"/>
    <col min="15112" max="15355" width="8.88671875" style="606"/>
    <col min="15356" max="15356" width="15.88671875" style="606" customWidth="1"/>
    <col min="15357" max="15357" width="2.109375" style="606" customWidth="1"/>
    <col min="15358" max="15358" width="7.5546875" style="606" customWidth="1"/>
    <col min="15359" max="15359" width="12.109375" style="606" customWidth="1"/>
    <col min="15360" max="15360" width="14.33203125" style="606" customWidth="1"/>
    <col min="15361" max="15361" width="3.44140625" style="606" customWidth="1"/>
    <col min="15362" max="15362" width="17.33203125" style="606" customWidth="1"/>
    <col min="15363" max="15363" width="2.109375" style="606" customWidth="1"/>
    <col min="15364" max="15364" width="7.5546875" style="606" customWidth="1"/>
    <col min="15365" max="15365" width="12.109375" style="606" customWidth="1"/>
    <col min="15366" max="15366" width="14.33203125" style="606" customWidth="1"/>
    <col min="15367" max="15367" width="42.5546875" style="606" customWidth="1"/>
    <col min="15368" max="15611" width="8.88671875" style="606"/>
    <col min="15612" max="15612" width="15.88671875" style="606" customWidth="1"/>
    <col min="15613" max="15613" width="2.109375" style="606" customWidth="1"/>
    <col min="15614" max="15614" width="7.5546875" style="606" customWidth="1"/>
    <col min="15615" max="15615" width="12.109375" style="606" customWidth="1"/>
    <col min="15616" max="15616" width="14.33203125" style="606" customWidth="1"/>
    <col min="15617" max="15617" width="3.44140625" style="606" customWidth="1"/>
    <col min="15618" max="15618" width="17.33203125" style="606" customWidth="1"/>
    <col min="15619" max="15619" width="2.109375" style="606" customWidth="1"/>
    <col min="15620" max="15620" width="7.5546875" style="606" customWidth="1"/>
    <col min="15621" max="15621" width="12.109375" style="606" customWidth="1"/>
    <col min="15622" max="15622" width="14.33203125" style="606" customWidth="1"/>
    <col min="15623" max="15623" width="42.5546875" style="606" customWidth="1"/>
    <col min="15624" max="15867" width="8.88671875" style="606"/>
    <col min="15868" max="15868" width="15.88671875" style="606" customWidth="1"/>
    <col min="15869" max="15869" width="2.109375" style="606" customWidth="1"/>
    <col min="15870" max="15870" width="7.5546875" style="606" customWidth="1"/>
    <col min="15871" max="15871" width="12.109375" style="606" customWidth="1"/>
    <col min="15872" max="15872" width="14.33203125" style="606" customWidth="1"/>
    <col min="15873" max="15873" width="3.44140625" style="606" customWidth="1"/>
    <col min="15874" max="15874" width="17.33203125" style="606" customWidth="1"/>
    <col min="15875" max="15875" width="2.109375" style="606" customWidth="1"/>
    <col min="15876" max="15876" width="7.5546875" style="606" customWidth="1"/>
    <col min="15877" max="15877" width="12.109375" style="606" customWidth="1"/>
    <col min="15878" max="15878" width="14.33203125" style="606" customWidth="1"/>
    <col min="15879" max="15879" width="42.5546875" style="606" customWidth="1"/>
    <col min="15880" max="16123" width="8.88671875" style="606"/>
    <col min="16124" max="16124" width="15.88671875" style="606" customWidth="1"/>
    <col min="16125" max="16125" width="2.109375" style="606" customWidth="1"/>
    <col min="16126" max="16126" width="7.5546875" style="606" customWidth="1"/>
    <col min="16127" max="16127" width="12.109375" style="606" customWidth="1"/>
    <col min="16128" max="16128" width="14.33203125" style="606" customWidth="1"/>
    <col min="16129" max="16129" width="3.44140625" style="606" customWidth="1"/>
    <col min="16130" max="16130" width="17.33203125" style="606" customWidth="1"/>
    <col min="16131" max="16131" width="2.109375" style="606" customWidth="1"/>
    <col min="16132" max="16132" width="7.5546875" style="606" customWidth="1"/>
    <col min="16133" max="16133" width="12.109375" style="606" customWidth="1"/>
    <col min="16134" max="16134" width="14.33203125" style="606" customWidth="1"/>
    <col min="16135" max="16135" width="42.5546875" style="606" customWidth="1"/>
    <col min="16136" max="16384" width="8.88671875" style="606"/>
  </cols>
  <sheetData>
    <row r="1" spans="1:13" x14ac:dyDescent="0.3">
      <c r="A1" s="787" t="s">
        <v>1666</v>
      </c>
      <c r="B1" s="787"/>
      <c r="C1" s="787"/>
      <c r="D1" s="787"/>
      <c r="E1" s="787"/>
      <c r="F1" s="787"/>
      <c r="G1" s="787"/>
      <c r="H1" s="787"/>
      <c r="I1" s="787"/>
      <c r="J1" s="1040" t="s">
        <v>1965</v>
      </c>
      <c r="K1" s="1040"/>
      <c r="L1" s="787"/>
      <c r="M1" s="787"/>
    </row>
    <row r="2" spans="1:13" x14ac:dyDescent="0.3">
      <c r="A2" s="787" t="s">
        <v>604</v>
      </c>
      <c r="B2" s="787"/>
      <c r="C2" s="787"/>
      <c r="D2" s="787"/>
      <c r="E2" s="787"/>
      <c r="F2" s="787"/>
      <c r="G2" s="787"/>
      <c r="H2" s="787"/>
      <c r="I2" s="787"/>
      <c r="J2" s="787"/>
      <c r="K2" s="787"/>
      <c r="L2" s="787"/>
      <c r="M2" s="787"/>
    </row>
    <row r="3" spans="1:13" x14ac:dyDescent="0.3">
      <c r="A3" s="787" t="s">
        <v>605</v>
      </c>
      <c r="B3" s="787"/>
      <c r="C3" s="787"/>
      <c r="D3" s="787"/>
      <c r="E3" s="787"/>
      <c r="F3" s="787"/>
      <c r="G3" s="787"/>
      <c r="H3" s="787"/>
      <c r="I3" s="787"/>
      <c r="J3" s="787"/>
      <c r="K3" s="787"/>
      <c r="L3" s="787"/>
    </row>
    <row r="4" spans="1:13" x14ac:dyDescent="0.3">
      <c r="A4" s="787"/>
      <c r="B4" s="787"/>
      <c r="C4" s="788"/>
      <c r="D4" s="789"/>
      <c r="E4" s="789"/>
      <c r="F4" s="787"/>
      <c r="G4" s="180"/>
      <c r="H4" s="180"/>
      <c r="I4" s="180"/>
      <c r="J4" s="180"/>
      <c r="K4" s="180"/>
      <c r="L4" s="180"/>
    </row>
    <row r="5" spans="1:13" x14ac:dyDescent="0.3">
      <c r="A5" s="787"/>
      <c r="B5" s="787"/>
      <c r="C5" s="788"/>
      <c r="D5" s="789" t="s">
        <v>606</v>
      </c>
      <c r="E5" s="789" t="s">
        <v>607</v>
      </c>
      <c r="F5" s="787"/>
      <c r="G5" s="180"/>
      <c r="H5" s="180"/>
      <c r="I5" s="180"/>
      <c r="J5" s="180"/>
      <c r="K5" s="180"/>
      <c r="L5" s="180"/>
      <c r="M5" s="787"/>
    </row>
    <row r="6" spans="1:13" x14ac:dyDescent="0.3">
      <c r="A6" s="787"/>
      <c r="B6" s="787"/>
      <c r="C6" s="788" t="s">
        <v>608</v>
      </c>
      <c r="D6" s="789" t="s">
        <v>609</v>
      </c>
      <c r="E6" s="789" t="s">
        <v>610</v>
      </c>
      <c r="F6" s="787"/>
      <c r="G6" s="180"/>
      <c r="H6" s="180"/>
      <c r="I6" s="180"/>
      <c r="J6" s="180"/>
      <c r="K6" s="180"/>
      <c r="L6" s="180"/>
      <c r="M6" s="787"/>
    </row>
    <row r="7" spans="1:13" x14ac:dyDescent="0.3">
      <c r="A7" s="787" t="s">
        <v>611</v>
      </c>
      <c r="B7" s="787"/>
      <c r="C7" s="788" t="s">
        <v>612</v>
      </c>
      <c r="D7" s="789" t="s">
        <v>613</v>
      </c>
      <c r="E7" s="789" t="s">
        <v>613</v>
      </c>
      <c r="F7" s="787"/>
      <c r="G7" s="180"/>
      <c r="H7" s="180"/>
      <c r="I7" s="180"/>
      <c r="J7" s="180"/>
      <c r="K7" s="180"/>
      <c r="L7" s="180"/>
      <c r="M7" s="787"/>
    </row>
    <row r="8" spans="1:13" hidden="1" x14ac:dyDescent="0.3">
      <c r="A8" s="787" t="s">
        <v>1696</v>
      </c>
      <c r="B8" s="787" t="s">
        <v>1697</v>
      </c>
      <c r="C8" s="790">
        <v>0.66</v>
      </c>
      <c r="D8" s="789">
        <v>2017</v>
      </c>
      <c r="E8" s="789">
        <v>2023</v>
      </c>
      <c r="F8" s="787"/>
      <c r="G8" s="180"/>
      <c r="H8" s="180"/>
      <c r="I8" s="180"/>
      <c r="J8" s="180"/>
      <c r="K8" s="180"/>
      <c r="L8" s="180"/>
    </row>
    <row r="9" spans="1:13" hidden="1" x14ac:dyDescent="0.3">
      <c r="A9" s="787" t="s">
        <v>1698</v>
      </c>
      <c r="B9" s="787" t="s">
        <v>1699</v>
      </c>
      <c r="C9" s="790">
        <v>0.79</v>
      </c>
      <c r="D9" s="789">
        <v>2015</v>
      </c>
      <c r="E9" s="789">
        <v>2023</v>
      </c>
      <c r="F9" s="787"/>
      <c r="G9" s="180"/>
      <c r="H9" s="180"/>
      <c r="I9" s="180"/>
      <c r="J9" s="180"/>
      <c r="K9" s="180"/>
      <c r="L9" s="180"/>
    </row>
    <row r="10" spans="1:13" hidden="1" x14ac:dyDescent="0.3">
      <c r="A10" s="787" t="s">
        <v>1700</v>
      </c>
      <c r="B10" s="787" t="s">
        <v>1701</v>
      </c>
      <c r="C10" s="790">
        <v>0.59699999999999998</v>
      </c>
      <c r="D10" s="789">
        <v>2021</v>
      </c>
      <c r="E10" s="789">
        <v>2027</v>
      </c>
      <c r="F10" s="787"/>
      <c r="G10" s="180"/>
      <c r="H10" s="180"/>
      <c r="I10" s="180"/>
      <c r="J10" s="180"/>
      <c r="K10" s="180"/>
      <c r="L10" s="180"/>
      <c r="M10" s="787"/>
    </row>
    <row r="11" spans="1:13" hidden="1" x14ac:dyDescent="0.3">
      <c r="A11" s="787" t="s">
        <v>1702</v>
      </c>
      <c r="B11" s="787" t="s">
        <v>472</v>
      </c>
      <c r="C11" s="790">
        <v>0.77700000000000002</v>
      </c>
      <c r="D11" s="789">
        <v>2018</v>
      </c>
      <c r="E11" s="789">
        <v>2026</v>
      </c>
      <c r="F11" s="787"/>
      <c r="G11" s="180"/>
      <c r="H11" s="180"/>
      <c r="I11" s="180"/>
      <c r="J11" s="180"/>
      <c r="K11" s="180"/>
      <c r="L11" s="180"/>
      <c r="M11" s="787"/>
    </row>
    <row r="12" spans="1:13" hidden="1" x14ac:dyDescent="0.3">
      <c r="A12" s="787" t="s">
        <v>1703</v>
      </c>
      <c r="B12" s="787" t="s">
        <v>1704</v>
      </c>
      <c r="C12" s="790">
        <v>0.51</v>
      </c>
      <c r="D12" s="789">
        <v>2019</v>
      </c>
      <c r="E12" s="789">
        <v>2023</v>
      </c>
      <c r="F12" s="787"/>
      <c r="G12" s="180"/>
      <c r="H12" s="180"/>
      <c r="I12" s="180"/>
      <c r="J12" s="180"/>
      <c r="K12" s="180"/>
      <c r="L12" s="180"/>
      <c r="M12" s="787"/>
    </row>
    <row r="13" spans="1:13" hidden="1" x14ac:dyDescent="0.3">
      <c r="A13" s="787" t="s">
        <v>1705</v>
      </c>
      <c r="B13" s="787" t="s">
        <v>1706</v>
      </c>
      <c r="C13" s="790">
        <v>0.55000000000000004</v>
      </c>
      <c r="D13" s="789">
        <v>2018</v>
      </c>
      <c r="E13" s="789">
        <v>2022</v>
      </c>
      <c r="F13" s="787"/>
      <c r="G13" s="180"/>
      <c r="H13" s="180"/>
      <c r="I13" s="180"/>
      <c r="J13" s="180"/>
      <c r="K13" s="180"/>
      <c r="L13" s="180"/>
      <c r="M13" s="787"/>
    </row>
    <row r="14" spans="1:13" hidden="1" x14ac:dyDescent="0.3">
      <c r="A14" s="787" t="s">
        <v>1707</v>
      </c>
      <c r="B14" s="787" t="s">
        <v>1708</v>
      </c>
      <c r="C14" s="790">
        <v>0.625</v>
      </c>
      <c r="D14" s="789">
        <v>2018</v>
      </c>
      <c r="E14" s="789">
        <v>2026</v>
      </c>
      <c r="F14" s="787"/>
      <c r="G14" s="180"/>
      <c r="H14" s="180"/>
      <c r="I14" s="180"/>
      <c r="J14" s="180"/>
      <c r="K14" s="180"/>
      <c r="L14" s="180"/>
      <c r="M14" s="787"/>
    </row>
    <row r="15" spans="1:13" hidden="1" x14ac:dyDescent="0.3">
      <c r="A15" s="787" t="s">
        <v>1709</v>
      </c>
      <c r="B15" s="787" t="s">
        <v>478</v>
      </c>
      <c r="C15" s="790">
        <v>0.86499999999999999</v>
      </c>
      <c r="D15" s="789">
        <v>2020</v>
      </c>
      <c r="E15" s="789">
        <v>2028</v>
      </c>
      <c r="F15" s="787"/>
      <c r="G15" s="180"/>
      <c r="H15" s="180"/>
      <c r="I15" s="180"/>
      <c r="J15" s="180"/>
      <c r="K15" s="180"/>
      <c r="L15" s="180"/>
      <c r="M15" s="787"/>
    </row>
    <row r="16" spans="1:13" hidden="1" x14ac:dyDescent="0.3">
      <c r="A16" s="787" t="s">
        <v>1710</v>
      </c>
      <c r="B16" s="787" t="s">
        <v>1711</v>
      </c>
      <c r="C16" s="790">
        <v>0.82</v>
      </c>
      <c r="D16" s="789">
        <v>2015</v>
      </c>
      <c r="E16" s="789">
        <v>2022</v>
      </c>
      <c r="F16" s="787"/>
      <c r="G16" s="180"/>
      <c r="H16" s="180"/>
      <c r="I16" s="180"/>
      <c r="J16" s="180"/>
      <c r="K16" s="180"/>
      <c r="L16" s="180"/>
      <c r="M16" s="787"/>
    </row>
    <row r="17" spans="1:13" hidden="1" x14ac:dyDescent="0.3">
      <c r="A17" s="787" t="s">
        <v>1712</v>
      </c>
      <c r="B17" s="787" t="s">
        <v>1713</v>
      </c>
      <c r="C17" s="790">
        <v>0.48499999999999999</v>
      </c>
      <c r="D17" s="789">
        <v>2019</v>
      </c>
      <c r="E17" s="789">
        <v>2023</v>
      </c>
      <c r="F17" s="787"/>
      <c r="G17" s="180"/>
      <c r="H17" s="180"/>
      <c r="I17" s="180"/>
      <c r="J17" s="180"/>
      <c r="K17" s="180"/>
      <c r="L17" s="180"/>
      <c r="M17" s="787"/>
    </row>
    <row r="18" spans="1:13" x14ac:dyDescent="0.3">
      <c r="A18" s="787" t="s">
        <v>1714</v>
      </c>
      <c r="B18" s="787" t="s">
        <v>1715</v>
      </c>
      <c r="C18" s="790">
        <v>0.48799999999999999</v>
      </c>
      <c r="D18" s="789">
        <v>2021</v>
      </c>
      <c r="E18" s="789">
        <v>2025</v>
      </c>
      <c r="F18" s="787"/>
      <c r="G18" s="180"/>
      <c r="H18" s="180"/>
      <c r="I18" s="180"/>
      <c r="J18" s="180"/>
      <c r="K18" s="180"/>
      <c r="L18" s="180"/>
      <c r="M18" s="787"/>
    </row>
    <row r="19" spans="1:13" hidden="1" x14ac:dyDescent="0.3">
      <c r="A19" s="787" t="s">
        <v>1716</v>
      </c>
      <c r="B19" s="787" t="s">
        <v>1717</v>
      </c>
      <c r="C19" s="790">
        <v>0.69499999999999995</v>
      </c>
      <c r="D19" s="789">
        <v>2019</v>
      </c>
      <c r="E19" s="789">
        <v>2023</v>
      </c>
      <c r="F19" s="787"/>
      <c r="G19" s="180"/>
      <c r="H19" s="180"/>
      <c r="I19" s="180"/>
      <c r="J19" s="180"/>
      <c r="K19" s="180"/>
      <c r="L19" s="180"/>
      <c r="M19" s="787"/>
    </row>
    <row r="20" spans="1:13" hidden="1" x14ac:dyDescent="0.3">
      <c r="A20" s="787" t="s">
        <v>1667</v>
      </c>
      <c r="B20" s="787" t="s">
        <v>1668</v>
      </c>
      <c r="C20" s="790">
        <v>0.74</v>
      </c>
      <c r="D20" s="789">
        <v>2020</v>
      </c>
      <c r="E20" s="789">
        <v>2024</v>
      </c>
      <c r="F20" s="787"/>
      <c r="G20" s="180"/>
      <c r="H20" s="180"/>
      <c r="I20" s="180"/>
      <c r="J20" s="180"/>
      <c r="K20" s="180"/>
      <c r="L20" s="180"/>
      <c r="M20" s="787"/>
    </row>
    <row r="21" spans="1:13" hidden="1" x14ac:dyDescent="0.3">
      <c r="A21" s="787" t="s">
        <v>1718</v>
      </c>
      <c r="B21" s="787" t="s">
        <v>1719</v>
      </c>
      <c r="C21" s="790">
        <v>0.63</v>
      </c>
      <c r="D21" s="789">
        <v>2021</v>
      </c>
      <c r="E21" s="789">
        <v>2029</v>
      </c>
      <c r="F21" s="787"/>
      <c r="G21" s="180"/>
      <c r="H21" s="180"/>
      <c r="I21" s="180"/>
      <c r="J21" s="180"/>
      <c r="K21" s="180"/>
      <c r="L21" s="180"/>
      <c r="M21" s="787"/>
    </row>
    <row r="22" spans="1:13" hidden="1" x14ac:dyDescent="0.3">
      <c r="A22" s="787" t="s">
        <v>1720</v>
      </c>
      <c r="B22" s="787" t="s">
        <v>1721</v>
      </c>
      <c r="C22" s="790">
        <v>0.87</v>
      </c>
      <c r="D22" s="789">
        <v>2015</v>
      </c>
      <c r="E22" s="789">
        <v>2023</v>
      </c>
      <c r="F22" s="787"/>
      <c r="G22" s="180"/>
      <c r="H22" s="180"/>
      <c r="I22" s="180"/>
      <c r="J22" s="180"/>
      <c r="K22" s="180"/>
      <c r="L22" s="180"/>
      <c r="M22" s="787"/>
    </row>
    <row r="23" spans="1:13" hidden="1" x14ac:dyDescent="0.3">
      <c r="A23" s="787" t="s">
        <v>1669</v>
      </c>
      <c r="B23" s="787" t="s">
        <v>1670</v>
      </c>
      <c r="C23" s="790">
        <v>0.33</v>
      </c>
      <c r="D23" s="789">
        <v>2020</v>
      </c>
      <c r="E23" s="789">
        <v>2024</v>
      </c>
      <c r="F23" s="787"/>
      <c r="G23" s="180"/>
      <c r="H23" s="180"/>
      <c r="I23" s="180"/>
      <c r="J23" s="180"/>
      <c r="K23" s="180"/>
      <c r="L23" s="180"/>
      <c r="M23" s="787"/>
    </row>
    <row r="24" spans="1:13" hidden="1" x14ac:dyDescent="0.3">
      <c r="A24" s="787" t="s">
        <v>1722</v>
      </c>
      <c r="B24" s="787" t="s">
        <v>842</v>
      </c>
      <c r="C24" s="790">
        <v>0.73499999999999999</v>
      </c>
      <c r="D24" s="789">
        <v>2016</v>
      </c>
      <c r="E24" s="789">
        <v>2023</v>
      </c>
      <c r="F24" s="787"/>
      <c r="G24" s="180"/>
      <c r="H24" s="180"/>
      <c r="I24" s="180"/>
      <c r="J24" s="180"/>
      <c r="K24" s="180"/>
      <c r="L24" s="180"/>
      <c r="M24" s="787"/>
    </row>
    <row r="25" spans="1:13" hidden="1" x14ac:dyDescent="0.3">
      <c r="A25" s="787" t="s">
        <v>1723</v>
      </c>
      <c r="B25" s="787" t="s">
        <v>1724</v>
      </c>
      <c r="C25" s="790">
        <v>0.57499999999999996</v>
      </c>
      <c r="D25" s="789">
        <v>2019</v>
      </c>
      <c r="E25" s="789">
        <v>2023</v>
      </c>
      <c r="F25" s="787"/>
      <c r="G25" s="180"/>
      <c r="H25" s="180"/>
      <c r="I25" s="180"/>
      <c r="J25" s="180"/>
      <c r="K25" s="180"/>
      <c r="L25" s="180"/>
      <c r="M25" s="787"/>
    </row>
    <row r="26" spans="1:13" x14ac:dyDescent="0.3">
      <c r="A26" s="787" t="s">
        <v>1725</v>
      </c>
      <c r="B26" s="787" t="s">
        <v>1726</v>
      </c>
      <c r="C26" s="790">
        <v>0.66500000000000004</v>
      </c>
      <c r="D26" s="789">
        <v>2021</v>
      </c>
      <c r="E26" s="789">
        <v>2025</v>
      </c>
      <c r="F26" s="787"/>
      <c r="G26" s="180"/>
      <c r="H26" s="180"/>
      <c r="I26" s="180"/>
      <c r="J26" s="180"/>
      <c r="K26" s="180"/>
      <c r="L26" s="180"/>
      <c r="M26" s="787"/>
    </row>
    <row r="27" spans="1:13" hidden="1" x14ac:dyDescent="0.3">
      <c r="A27" s="787" t="s">
        <v>1727</v>
      </c>
      <c r="B27" s="787" t="s">
        <v>843</v>
      </c>
      <c r="C27" s="790">
        <v>0.5</v>
      </c>
      <c r="D27" s="789">
        <v>2020</v>
      </c>
      <c r="E27" s="789">
        <v>2028</v>
      </c>
      <c r="F27" s="787"/>
      <c r="G27" s="180"/>
      <c r="H27" s="180"/>
      <c r="I27" s="180"/>
      <c r="J27" s="180"/>
      <c r="K27" s="180"/>
      <c r="L27" s="180"/>
      <c r="M27" s="787"/>
    </row>
    <row r="28" spans="1:13" hidden="1" x14ac:dyDescent="0.3">
      <c r="A28" s="787" t="s">
        <v>1728</v>
      </c>
      <c r="B28" s="787" t="s">
        <v>1729</v>
      </c>
      <c r="C28" s="790">
        <v>0.755</v>
      </c>
      <c r="D28" s="789">
        <v>2014</v>
      </c>
      <c r="E28" s="789">
        <v>2022</v>
      </c>
      <c r="G28" s="180"/>
      <c r="H28" s="180"/>
      <c r="I28" s="180"/>
      <c r="J28" s="180"/>
      <c r="K28" s="180"/>
      <c r="L28" s="180"/>
      <c r="M28" s="787"/>
    </row>
    <row r="29" spans="1:13" hidden="1" x14ac:dyDescent="0.3">
      <c r="A29" s="787" t="s">
        <v>1730</v>
      </c>
      <c r="B29" s="787" t="s">
        <v>1731</v>
      </c>
      <c r="C29" s="790">
        <v>0.43</v>
      </c>
      <c r="D29" s="789">
        <v>2018</v>
      </c>
      <c r="E29" s="789">
        <v>2026</v>
      </c>
      <c r="G29" s="180"/>
      <c r="H29" s="180"/>
      <c r="I29" s="180"/>
      <c r="J29" s="180"/>
      <c r="K29" s="180"/>
      <c r="L29" s="180"/>
      <c r="M29" s="787"/>
    </row>
    <row r="30" spans="1:13" x14ac:dyDescent="0.3">
      <c r="A30" s="787" t="s">
        <v>1732</v>
      </c>
      <c r="B30" s="787" t="s">
        <v>1733</v>
      </c>
      <c r="C30" s="790">
        <v>0.6875</v>
      </c>
      <c r="D30" s="789">
        <v>2021</v>
      </c>
      <c r="E30" s="789">
        <v>2025</v>
      </c>
      <c r="F30" s="787"/>
      <c r="G30" s="180"/>
      <c r="H30" s="180"/>
      <c r="I30" s="180"/>
      <c r="J30" s="180"/>
      <c r="K30" s="180"/>
      <c r="L30" s="180"/>
      <c r="M30" s="787"/>
    </row>
    <row r="31" spans="1:13" hidden="1" x14ac:dyDescent="0.3">
      <c r="A31" s="787" t="s">
        <v>1734</v>
      </c>
      <c r="B31" s="787" t="s">
        <v>844</v>
      </c>
      <c r="C31" s="790">
        <v>0.80500000000000005</v>
      </c>
      <c r="D31" s="789">
        <v>2021</v>
      </c>
      <c r="E31" s="789">
        <v>2029</v>
      </c>
      <c r="F31" s="787"/>
      <c r="G31" s="180"/>
      <c r="H31" s="180"/>
      <c r="I31" s="180"/>
      <c r="J31" s="180"/>
      <c r="K31" s="180"/>
      <c r="L31" s="180"/>
      <c r="M31" s="787"/>
    </row>
    <row r="32" spans="1:13" hidden="1" x14ac:dyDescent="0.3">
      <c r="A32" s="787" t="s">
        <v>1735</v>
      </c>
      <c r="B32" s="787" t="s">
        <v>1736</v>
      </c>
      <c r="C32" s="790">
        <v>0.56000000000000005</v>
      </c>
      <c r="D32" s="789">
        <v>2016</v>
      </c>
      <c r="E32" s="789">
        <v>2023</v>
      </c>
      <c r="F32" s="787"/>
      <c r="G32" s="180"/>
      <c r="H32" s="180"/>
      <c r="I32" s="180"/>
      <c r="J32" s="180"/>
      <c r="K32" s="180"/>
      <c r="L32" s="180"/>
      <c r="M32" s="787"/>
    </row>
    <row r="33" spans="1:13" x14ac:dyDescent="0.3">
      <c r="A33" s="787" t="s">
        <v>1737</v>
      </c>
      <c r="B33" s="787" t="s">
        <v>1738</v>
      </c>
      <c r="C33" s="790">
        <v>0.79900000000000004</v>
      </c>
      <c r="D33" s="789">
        <v>2017</v>
      </c>
      <c r="E33" s="789">
        <v>2025</v>
      </c>
      <c r="F33" s="787"/>
      <c r="G33" s="180"/>
      <c r="H33" s="180"/>
      <c r="I33" s="180"/>
      <c r="J33" s="180"/>
      <c r="K33" s="180"/>
      <c r="L33" s="180"/>
      <c r="M33" s="787"/>
    </row>
    <row r="34" spans="1:13" hidden="1" x14ac:dyDescent="0.3">
      <c r="A34" s="787" t="s">
        <v>1739</v>
      </c>
      <c r="B34" s="787" t="s">
        <v>1740</v>
      </c>
      <c r="C34" s="790">
        <v>0.46</v>
      </c>
      <c r="D34" s="789">
        <v>2021</v>
      </c>
      <c r="E34" s="789">
        <v>2029</v>
      </c>
      <c r="F34" s="787"/>
      <c r="G34" s="180"/>
      <c r="H34" s="180"/>
      <c r="I34" s="180"/>
      <c r="J34" s="180"/>
      <c r="K34" s="180"/>
      <c r="L34" s="180"/>
      <c r="M34" s="787"/>
    </row>
    <row r="35" spans="1:13" x14ac:dyDescent="0.3">
      <c r="A35" s="787" t="s">
        <v>1741</v>
      </c>
      <c r="B35" s="787" t="s">
        <v>1742</v>
      </c>
      <c r="C35" s="790">
        <v>0.40050000000000002</v>
      </c>
      <c r="D35" s="789">
        <v>2020</v>
      </c>
      <c r="E35" s="789">
        <v>2025</v>
      </c>
      <c r="F35" s="787"/>
      <c r="G35" s="180"/>
      <c r="H35" s="180"/>
      <c r="I35" s="180"/>
      <c r="J35" s="180"/>
      <c r="K35" s="180"/>
      <c r="L35" s="180"/>
      <c r="M35" s="787"/>
    </row>
    <row r="36" spans="1:13" hidden="1" x14ac:dyDescent="0.3">
      <c r="A36" s="787" t="s">
        <v>1743</v>
      </c>
      <c r="B36" s="787" t="s">
        <v>1744</v>
      </c>
      <c r="C36" s="790">
        <v>0.54</v>
      </c>
      <c r="D36" s="789">
        <v>2021</v>
      </c>
      <c r="E36" s="789">
        <v>2027</v>
      </c>
      <c r="F36" s="787"/>
      <c r="G36" s="180"/>
      <c r="H36" s="180"/>
      <c r="I36" s="180"/>
      <c r="J36" s="180"/>
      <c r="K36" s="180"/>
      <c r="L36" s="180"/>
      <c r="M36" s="787"/>
    </row>
    <row r="37" spans="1:13" x14ac:dyDescent="0.3">
      <c r="A37" s="787" t="s">
        <v>1745</v>
      </c>
      <c r="B37" s="787" t="s">
        <v>1746</v>
      </c>
      <c r="C37" s="790">
        <v>0.73299999999999998</v>
      </c>
      <c r="D37" s="789">
        <v>2021</v>
      </c>
      <c r="E37" s="789">
        <v>2025</v>
      </c>
      <c r="F37" s="787"/>
      <c r="G37" s="180"/>
      <c r="H37" s="180"/>
      <c r="I37" s="180"/>
      <c r="J37" s="180"/>
      <c r="K37" s="180"/>
      <c r="L37" s="180"/>
      <c r="M37" s="787"/>
    </row>
    <row r="38" spans="1:13" hidden="1" x14ac:dyDescent="0.3">
      <c r="A38" s="787" t="s">
        <v>1747</v>
      </c>
      <c r="B38" s="787" t="s">
        <v>1748</v>
      </c>
      <c r="C38" s="790">
        <v>0.73499999999999999</v>
      </c>
      <c r="D38" s="789">
        <v>2017</v>
      </c>
      <c r="E38" s="789">
        <v>2022</v>
      </c>
      <c r="F38" s="787"/>
      <c r="G38" s="180"/>
      <c r="H38" s="180"/>
      <c r="I38" s="180"/>
      <c r="J38" s="180"/>
      <c r="K38" s="180"/>
      <c r="L38" s="180"/>
      <c r="M38" s="787"/>
    </row>
    <row r="39" spans="1:13" hidden="1" x14ac:dyDescent="0.3">
      <c r="A39" s="787" t="s">
        <v>1749</v>
      </c>
      <c r="B39" s="787" t="s">
        <v>1750</v>
      </c>
      <c r="C39" s="790">
        <v>0.72219999999999995</v>
      </c>
      <c r="D39" s="789">
        <v>2019</v>
      </c>
      <c r="E39" s="789">
        <v>2026</v>
      </c>
      <c r="F39" s="787"/>
      <c r="G39" s="180"/>
      <c r="H39" s="180"/>
      <c r="I39" s="180"/>
      <c r="J39" s="180"/>
      <c r="K39" s="180"/>
      <c r="L39" s="180"/>
      <c r="M39" s="787"/>
    </row>
    <row r="40" spans="1:13" hidden="1" x14ac:dyDescent="0.3">
      <c r="A40" s="787" t="s">
        <v>1671</v>
      </c>
      <c r="B40" s="787" t="s">
        <v>494</v>
      </c>
      <c r="C40" s="790">
        <v>0.95</v>
      </c>
      <c r="D40" s="789">
        <v>2017</v>
      </c>
      <c r="E40" s="789">
        <v>2024</v>
      </c>
      <c r="F40" s="787"/>
      <c r="G40" s="180"/>
      <c r="H40" s="180"/>
      <c r="I40" s="180"/>
      <c r="J40" s="180"/>
      <c r="K40" s="180"/>
      <c r="L40" s="180"/>
      <c r="M40" s="787"/>
    </row>
    <row r="41" spans="1:13" x14ac:dyDescent="0.3">
      <c r="A41" s="787" t="s">
        <v>1751</v>
      </c>
      <c r="B41" s="787" t="s">
        <v>1752</v>
      </c>
      <c r="C41" s="790">
        <v>0.67779999999999996</v>
      </c>
      <c r="D41" s="789">
        <v>2021</v>
      </c>
      <c r="E41" s="789">
        <v>2025</v>
      </c>
      <c r="F41" s="787"/>
      <c r="G41" s="180"/>
      <c r="H41" s="180"/>
      <c r="I41" s="180"/>
      <c r="J41" s="180"/>
      <c r="K41" s="180"/>
      <c r="L41" s="180"/>
      <c r="M41" s="787"/>
    </row>
    <row r="42" spans="1:13" hidden="1" x14ac:dyDescent="0.3">
      <c r="A42" s="787" t="s">
        <v>1672</v>
      </c>
      <c r="B42" s="787" t="s">
        <v>1673</v>
      </c>
      <c r="C42" s="790">
        <v>0.79500000000000004</v>
      </c>
      <c r="D42" s="789">
        <v>2018</v>
      </c>
      <c r="E42" s="789">
        <v>2024</v>
      </c>
      <c r="F42" s="787"/>
      <c r="G42" s="180"/>
      <c r="H42" s="180"/>
      <c r="I42" s="180"/>
      <c r="J42" s="180"/>
      <c r="K42" s="180"/>
      <c r="L42" s="180"/>
      <c r="M42" s="787"/>
    </row>
    <row r="43" spans="1:13" hidden="1" x14ac:dyDescent="0.3">
      <c r="A43" s="787" t="s">
        <v>1753</v>
      </c>
      <c r="B43" s="787" t="s">
        <v>1754</v>
      </c>
      <c r="C43" s="790">
        <v>0.83</v>
      </c>
      <c r="D43" s="789">
        <v>2019</v>
      </c>
      <c r="E43" s="789">
        <v>2023</v>
      </c>
      <c r="F43" s="787"/>
      <c r="G43" s="180"/>
      <c r="H43" s="180"/>
      <c r="I43" s="180"/>
      <c r="J43" s="180"/>
      <c r="K43" s="180"/>
      <c r="L43" s="180"/>
      <c r="M43" s="787"/>
    </row>
    <row r="44" spans="1:13" x14ac:dyDescent="0.3">
      <c r="A44" s="787" t="s">
        <v>1755</v>
      </c>
      <c r="B44" s="787" t="s">
        <v>1756</v>
      </c>
      <c r="C44" s="790">
        <v>0.79</v>
      </c>
      <c r="D44" s="789">
        <v>2017</v>
      </c>
      <c r="E44" s="789">
        <v>2025</v>
      </c>
      <c r="F44" s="787"/>
      <c r="G44" s="180"/>
      <c r="H44" s="180"/>
      <c r="I44" s="180"/>
      <c r="J44" s="180"/>
      <c r="K44" s="180"/>
      <c r="L44" s="180"/>
      <c r="M44" s="787"/>
    </row>
    <row r="45" spans="1:13" hidden="1" x14ac:dyDescent="0.3">
      <c r="A45" s="787" t="s">
        <v>1757</v>
      </c>
      <c r="B45" s="787" t="s">
        <v>1758</v>
      </c>
      <c r="C45" s="790">
        <v>0.65</v>
      </c>
      <c r="D45" s="789">
        <v>2019</v>
      </c>
      <c r="E45" s="789">
        <v>2023</v>
      </c>
      <c r="F45" s="787"/>
      <c r="G45" s="180"/>
      <c r="H45" s="180"/>
      <c r="I45" s="180"/>
      <c r="J45" s="180"/>
      <c r="K45" s="180"/>
      <c r="L45" s="180"/>
      <c r="M45" s="787"/>
    </row>
    <row r="46" spans="1:13" hidden="1" x14ac:dyDescent="0.3">
      <c r="A46" s="787" t="s">
        <v>1674</v>
      </c>
      <c r="B46" s="787" t="s">
        <v>1675</v>
      </c>
      <c r="C46" s="790">
        <v>0.84</v>
      </c>
      <c r="D46" s="789">
        <v>2018</v>
      </c>
      <c r="E46" s="789">
        <v>2024</v>
      </c>
      <c r="F46" s="787"/>
      <c r="G46" s="180"/>
      <c r="H46" s="180"/>
      <c r="I46" s="180"/>
      <c r="J46" s="180"/>
      <c r="K46" s="180"/>
      <c r="L46" s="180"/>
      <c r="M46" s="787"/>
    </row>
    <row r="47" spans="1:13" hidden="1" x14ac:dyDescent="0.3">
      <c r="A47" s="787" t="s">
        <v>1759</v>
      </c>
      <c r="B47" s="787" t="s">
        <v>1760</v>
      </c>
      <c r="C47" s="790">
        <v>0.78600000000000003</v>
      </c>
      <c r="D47" s="789">
        <v>2021</v>
      </c>
      <c r="E47" s="789">
        <v>2029</v>
      </c>
      <c r="F47" s="787"/>
      <c r="G47" s="180"/>
      <c r="H47" s="180"/>
      <c r="I47" s="180"/>
      <c r="J47" s="180"/>
      <c r="K47" s="180"/>
      <c r="L47" s="180"/>
      <c r="M47" s="787"/>
    </row>
    <row r="48" spans="1:13" hidden="1" x14ac:dyDescent="0.3">
      <c r="A48" s="787" t="s">
        <v>1761</v>
      </c>
      <c r="B48" s="787" t="s">
        <v>1762</v>
      </c>
      <c r="C48" s="790">
        <v>0.73050000000000004</v>
      </c>
      <c r="D48" s="789">
        <v>2017</v>
      </c>
      <c r="E48" s="789">
        <v>2022</v>
      </c>
      <c r="F48" s="787"/>
      <c r="G48" s="180"/>
      <c r="H48" s="180"/>
      <c r="I48" s="180"/>
      <c r="J48" s="180"/>
      <c r="K48" s="180"/>
      <c r="L48" s="180"/>
      <c r="M48" s="787"/>
    </row>
    <row r="49" spans="1:13" hidden="1" x14ac:dyDescent="0.3">
      <c r="A49" s="787" t="s">
        <v>1676</v>
      </c>
      <c r="B49" s="787" t="s">
        <v>1677</v>
      </c>
      <c r="C49" s="790">
        <v>0.76</v>
      </c>
      <c r="D49" s="789">
        <v>2020</v>
      </c>
      <c r="E49" s="789">
        <v>2024</v>
      </c>
      <c r="F49" s="787"/>
      <c r="G49" s="180"/>
      <c r="H49" s="180"/>
      <c r="I49" s="180"/>
      <c r="J49" s="180"/>
      <c r="K49" s="180"/>
      <c r="L49" s="180"/>
      <c r="M49" s="787"/>
    </row>
    <row r="50" spans="1:13" hidden="1" x14ac:dyDescent="0.3">
      <c r="A50" s="787" t="s">
        <v>1763</v>
      </c>
      <c r="B50" s="787" t="s">
        <v>1764</v>
      </c>
      <c r="C50" s="790">
        <v>0.75</v>
      </c>
      <c r="D50" s="789">
        <v>2017</v>
      </c>
      <c r="E50" s="789">
        <v>2022</v>
      </c>
      <c r="F50" s="787"/>
      <c r="G50" s="180"/>
      <c r="H50" s="180"/>
      <c r="I50" s="180"/>
      <c r="J50" s="180"/>
      <c r="K50" s="180"/>
      <c r="L50" s="180"/>
      <c r="M50" s="787"/>
    </row>
    <row r="51" spans="1:13" x14ac:dyDescent="0.3">
      <c r="A51" s="787" t="s">
        <v>1765</v>
      </c>
      <c r="B51" s="787" t="s">
        <v>1766</v>
      </c>
      <c r="C51" s="790">
        <v>0.53500000000000003</v>
      </c>
      <c r="D51" s="789">
        <v>2021</v>
      </c>
      <c r="E51" s="789">
        <v>2025</v>
      </c>
      <c r="F51" s="787"/>
      <c r="G51" s="180"/>
      <c r="H51" s="180"/>
      <c r="I51" s="180"/>
      <c r="J51" s="180"/>
      <c r="K51" s="180"/>
      <c r="L51" s="180"/>
      <c r="M51" s="787"/>
    </row>
    <row r="52" spans="1:13" hidden="1" x14ac:dyDescent="0.3">
      <c r="A52" s="787" t="s">
        <v>1767</v>
      </c>
      <c r="B52" s="787" t="s">
        <v>1768</v>
      </c>
      <c r="C52" s="790">
        <v>0.56100000000000005</v>
      </c>
      <c r="D52" s="789">
        <v>2019</v>
      </c>
      <c r="E52" s="789">
        <v>2023</v>
      </c>
      <c r="F52" s="787"/>
      <c r="G52" s="180"/>
      <c r="H52" s="180"/>
      <c r="I52" s="180"/>
      <c r="J52" s="180"/>
      <c r="K52" s="180"/>
      <c r="L52" s="180"/>
      <c r="M52" s="787"/>
    </row>
    <row r="53" spans="1:13" hidden="1" x14ac:dyDescent="0.3">
      <c r="A53" s="787" t="s">
        <v>1769</v>
      </c>
      <c r="B53" s="787" t="s">
        <v>1770</v>
      </c>
      <c r="C53" s="790">
        <v>0.84</v>
      </c>
      <c r="D53" s="789">
        <v>2019</v>
      </c>
      <c r="E53" s="789">
        <v>2027</v>
      </c>
      <c r="F53" s="787"/>
      <c r="G53" s="180"/>
      <c r="H53" s="180"/>
      <c r="I53" s="180"/>
      <c r="J53" s="180"/>
      <c r="K53" s="180"/>
      <c r="L53" s="180"/>
      <c r="M53" s="787"/>
    </row>
    <row r="54" spans="1:13" hidden="1" x14ac:dyDescent="0.3">
      <c r="A54" s="787" t="s">
        <v>1771</v>
      </c>
      <c r="B54" s="787" t="s">
        <v>1772</v>
      </c>
      <c r="C54" s="790">
        <v>0.75</v>
      </c>
      <c r="D54" s="789">
        <v>2014</v>
      </c>
      <c r="E54" s="789">
        <v>2022</v>
      </c>
      <c r="F54" s="787"/>
      <c r="G54" s="180"/>
      <c r="H54" s="180"/>
      <c r="I54" s="180"/>
      <c r="J54" s="180"/>
      <c r="K54" s="180"/>
      <c r="L54" s="180"/>
      <c r="M54" s="787"/>
    </row>
    <row r="55" spans="1:13" hidden="1" x14ac:dyDescent="0.3">
      <c r="A55" s="787" t="s">
        <v>1773</v>
      </c>
      <c r="B55" s="787" t="s">
        <v>515</v>
      </c>
      <c r="C55" s="790">
        <v>0.79500000000000004</v>
      </c>
      <c r="D55" s="789">
        <v>2017</v>
      </c>
      <c r="E55" s="789">
        <v>2023</v>
      </c>
      <c r="F55" s="787"/>
      <c r="G55" s="180"/>
      <c r="H55" s="180"/>
      <c r="I55" s="180"/>
      <c r="J55" s="180"/>
      <c r="K55" s="180"/>
      <c r="L55" s="180"/>
      <c r="M55" s="787"/>
    </row>
    <row r="56" spans="1:13" hidden="1" x14ac:dyDescent="0.3">
      <c r="A56" s="787" t="s">
        <v>1774</v>
      </c>
      <c r="B56" s="787" t="s">
        <v>1775</v>
      </c>
      <c r="C56" s="790">
        <v>0.53749999999999998</v>
      </c>
      <c r="D56" s="789">
        <v>2019</v>
      </c>
      <c r="E56" s="789">
        <v>2023</v>
      </c>
      <c r="F56" s="787"/>
      <c r="G56" s="180"/>
      <c r="H56" s="180"/>
      <c r="I56" s="180"/>
      <c r="J56" s="180"/>
      <c r="K56" s="180"/>
      <c r="L56" s="180"/>
      <c r="M56" s="787"/>
    </row>
    <row r="57" spans="1:13" x14ac:dyDescent="0.3">
      <c r="A57" s="787" t="s">
        <v>1776</v>
      </c>
      <c r="B57" s="787" t="s">
        <v>1777</v>
      </c>
      <c r="C57" s="790">
        <v>0.36</v>
      </c>
      <c r="D57" s="789">
        <v>2021</v>
      </c>
      <c r="E57" s="789">
        <v>2025</v>
      </c>
      <c r="F57" s="787"/>
      <c r="G57" s="180"/>
      <c r="H57" s="180"/>
      <c r="I57" s="180"/>
      <c r="J57" s="180"/>
      <c r="K57" s="180"/>
      <c r="L57" s="180"/>
      <c r="M57" s="787"/>
    </row>
    <row r="58" spans="1:13" x14ac:dyDescent="0.3">
      <c r="A58" s="787" t="s">
        <v>1778</v>
      </c>
      <c r="B58" s="787" t="s">
        <v>1779</v>
      </c>
      <c r="C58" s="788">
        <v>0.73</v>
      </c>
      <c r="D58" s="789">
        <v>2019</v>
      </c>
      <c r="E58" s="789">
        <v>2025</v>
      </c>
      <c r="F58" s="787"/>
      <c r="G58" s="180"/>
      <c r="H58" s="180"/>
      <c r="I58" s="180"/>
      <c r="J58" s="180"/>
      <c r="K58" s="180"/>
      <c r="L58" s="180"/>
      <c r="M58" s="787"/>
    </row>
    <row r="59" spans="1:13" hidden="1" x14ac:dyDescent="0.3">
      <c r="A59" s="787" t="s">
        <v>1780</v>
      </c>
      <c r="B59" s="787" t="s">
        <v>1781</v>
      </c>
      <c r="C59" s="788">
        <v>0.75</v>
      </c>
      <c r="D59" s="789">
        <v>2014</v>
      </c>
      <c r="E59" s="789">
        <v>2022</v>
      </c>
      <c r="F59" s="787"/>
      <c r="G59" s="180"/>
      <c r="H59" s="180"/>
      <c r="I59" s="180"/>
      <c r="J59" s="180"/>
      <c r="K59" s="180"/>
      <c r="L59" s="180"/>
      <c r="M59" s="787"/>
    </row>
    <row r="60" spans="1:13" hidden="1" x14ac:dyDescent="0.3">
      <c r="A60" s="787" t="s">
        <v>1782</v>
      </c>
      <c r="B60" s="787" t="s">
        <v>1783</v>
      </c>
      <c r="C60" s="788">
        <v>0.76</v>
      </c>
      <c r="D60" s="789">
        <v>2019</v>
      </c>
      <c r="E60" s="789">
        <v>2023</v>
      </c>
      <c r="F60" s="787"/>
      <c r="G60" s="180"/>
      <c r="H60" s="180"/>
      <c r="I60" s="180"/>
      <c r="J60" s="180"/>
      <c r="K60" s="180"/>
      <c r="L60" s="180"/>
      <c r="M60" s="787"/>
    </row>
    <row r="61" spans="1:13" x14ac:dyDescent="0.3">
      <c r="A61" s="787" t="s">
        <v>1784</v>
      </c>
      <c r="B61" s="787" t="s">
        <v>1785</v>
      </c>
      <c r="C61" s="788">
        <v>0.84499999999999997</v>
      </c>
      <c r="D61" s="789">
        <v>2017</v>
      </c>
      <c r="E61" s="789">
        <v>2025</v>
      </c>
      <c r="F61" s="787"/>
      <c r="G61" s="180"/>
      <c r="H61" s="180"/>
      <c r="I61" s="180"/>
      <c r="J61" s="180"/>
      <c r="K61" s="180"/>
      <c r="L61" s="180"/>
      <c r="M61" s="787"/>
    </row>
    <row r="62" spans="1:13" hidden="1" x14ac:dyDescent="0.3">
      <c r="A62" s="787" t="s">
        <v>1786</v>
      </c>
      <c r="B62" s="787" t="s">
        <v>1787</v>
      </c>
      <c r="C62" s="788">
        <v>0.61899999999999999</v>
      </c>
      <c r="D62" s="789">
        <v>2019</v>
      </c>
      <c r="E62" s="789">
        <v>2023</v>
      </c>
      <c r="F62" s="787"/>
      <c r="G62" s="180"/>
      <c r="H62" s="180"/>
      <c r="I62" s="180"/>
      <c r="J62" s="180"/>
      <c r="K62" s="180"/>
      <c r="L62" s="180"/>
      <c r="M62" s="787"/>
    </row>
    <row r="63" spans="1:13" hidden="1" x14ac:dyDescent="0.3">
      <c r="A63" s="787" t="s">
        <v>1788</v>
      </c>
      <c r="B63" s="787" t="s">
        <v>1789</v>
      </c>
      <c r="C63" s="788">
        <v>0.4</v>
      </c>
      <c r="D63" s="789">
        <v>2019</v>
      </c>
      <c r="E63" s="789">
        <v>2023</v>
      </c>
      <c r="F63" s="787"/>
      <c r="G63" s="180"/>
      <c r="H63" s="180"/>
      <c r="I63" s="180"/>
      <c r="J63" s="180"/>
      <c r="K63" s="180"/>
      <c r="L63" s="180"/>
      <c r="M63" s="787"/>
    </row>
    <row r="64" spans="1:13" hidden="1" x14ac:dyDescent="0.3">
      <c r="A64" s="787" t="s">
        <v>1790</v>
      </c>
      <c r="B64" s="787" t="s">
        <v>1791</v>
      </c>
      <c r="C64" s="788">
        <v>0.5</v>
      </c>
      <c r="D64" s="789">
        <v>2020</v>
      </c>
      <c r="E64" s="789">
        <v>2028</v>
      </c>
      <c r="F64" s="787"/>
      <c r="G64" s="180"/>
      <c r="H64" s="180"/>
      <c r="I64" s="180"/>
      <c r="J64" s="180"/>
      <c r="K64" s="180"/>
      <c r="L64" s="180"/>
      <c r="M64" s="787"/>
    </row>
    <row r="65" spans="1:13" x14ac:dyDescent="0.3">
      <c r="A65" s="787" t="s">
        <v>1792</v>
      </c>
      <c r="B65" s="787" t="s">
        <v>845</v>
      </c>
      <c r="C65" s="788">
        <v>0.81</v>
      </c>
      <c r="D65" s="789">
        <v>2017</v>
      </c>
      <c r="E65" s="789">
        <v>2025</v>
      </c>
      <c r="F65" s="787"/>
      <c r="G65" s="180"/>
      <c r="H65" s="180"/>
      <c r="I65" s="180"/>
      <c r="J65" s="180"/>
      <c r="K65" s="180"/>
      <c r="L65" s="180"/>
      <c r="M65" s="787"/>
    </row>
    <row r="66" spans="1:13" hidden="1" x14ac:dyDescent="0.3">
      <c r="A66" s="787" t="s">
        <v>1793</v>
      </c>
      <c r="B66" s="787" t="s">
        <v>1794</v>
      </c>
      <c r="C66" s="788">
        <v>0.57750000000000001</v>
      </c>
      <c r="D66" s="789">
        <v>2019</v>
      </c>
      <c r="E66" s="789">
        <v>2023</v>
      </c>
      <c r="F66" s="787"/>
      <c r="G66" s="180"/>
      <c r="H66" s="180"/>
      <c r="I66" s="180"/>
      <c r="J66" s="180"/>
      <c r="K66" s="180"/>
      <c r="L66" s="180"/>
      <c r="M66" s="787"/>
    </row>
    <row r="67" spans="1:13" hidden="1" x14ac:dyDescent="0.3">
      <c r="A67" s="787" t="s">
        <v>1795</v>
      </c>
      <c r="B67" s="787" t="s">
        <v>1796</v>
      </c>
      <c r="C67" s="788">
        <v>0.6169</v>
      </c>
      <c r="D67" s="789">
        <v>2019</v>
      </c>
      <c r="E67" s="789">
        <v>2023</v>
      </c>
      <c r="F67" s="787"/>
      <c r="G67" s="180"/>
      <c r="H67" s="180"/>
      <c r="I67" s="180"/>
      <c r="J67" s="180"/>
      <c r="K67" s="180"/>
      <c r="L67" s="180"/>
      <c r="M67" s="787"/>
    </row>
    <row r="68" spans="1:13" hidden="1" x14ac:dyDescent="0.3">
      <c r="A68" s="787" t="s">
        <v>1797</v>
      </c>
      <c r="B68" s="787" t="s">
        <v>1798</v>
      </c>
      <c r="C68" s="788">
        <v>0.57999999999999996</v>
      </c>
      <c r="D68" s="789">
        <v>2018</v>
      </c>
      <c r="E68" s="789">
        <v>2022</v>
      </c>
      <c r="F68" s="787"/>
      <c r="G68" s="180"/>
      <c r="H68" s="180"/>
      <c r="I68" s="180"/>
      <c r="J68" s="180"/>
      <c r="K68" s="180"/>
      <c r="L68" s="180"/>
      <c r="M68" s="787"/>
    </row>
    <row r="69" spans="1:13" hidden="1" x14ac:dyDescent="0.3">
      <c r="A69" s="787" t="s">
        <v>1799</v>
      </c>
      <c r="B69" s="787" t="s">
        <v>1800</v>
      </c>
      <c r="C69" s="788">
        <v>0.61499999999999999</v>
      </c>
      <c r="D69" s="789">
        <v>2020</v>
      </c>
      <c r="E69" s="789">
        <v>2028</v>
      </c>
      <c r="F69" s="787"/>
      <c r="G69" s="180"/>
      <c r="H69" s="180"/>
      <c r="I69" s="180"/>
      <c r="J69" s="180"/>
      <c r="K69" s="180"/>
      <c r="L69" s="180"/>
      <c r="M69" s="787"/>
    </row>
    <row r="70" spans="1:13" hidden="1" x14ac:dyDescent="0.3">
      <c r="A70" s="787" t="s">
        <v>1801</v>
      </c>
      <c r="B70" s="787" t="s">
        <v>1802</v>
      </c>
      <c r="C70" s="788">
        <v>0.51</v>
      </c>
      <c r="D70" s="789">
        <v>2019</v>
      </c>
      <c r="E70" s="789">
        <v>2023</v>
      </c>
      <c r="F70" s="787"/>
      <c r="G70" s="180"/>
      <c r="H70" s="180"/>
      <c r="I70" s="180"/>
      <c r="J70" s="180"/>
      <c r="K70" s="180"/>
      <c r="L70" s="180"/>
      <c r="M70" s="787"/>
    </row>
    <row r="71" spans="1:13" hidden="1" x14ac:dyDescent="0.3">
      <c r="A71" s="787" t="s">
        <v>1678</v>
      </c>
      <c r="B71" s="787" t="s">
        <v>1679</v>
      </c>
      <c r="C71" s="788">
        <v>0.67</v>
      </c>
      <c r="D71" s="789">
        <v>2017</v>
      </c>
      <c r="E71" s="789">
        <v>2024</v>
      </c>
      <c r="F71" s="787"/>
      <c r="G71" s="180"/>
      <c r="H71" s="180"/>
      <c r="I71" s="180"/>
      <c r="J71" s="180"/>
      <c r="K71" s="180"/>
      <c r="L71" s="180"/>
      <c r="M71" s="787"/>
    </row>
    <row r="72" spans="1:13" x14ac:dyDescent="0.3">
      <c r="A72" s="787" t="s">
        <v>1803</v>
      </c>
      <c r="B72" s="787" t="s">
        <v>1804</v>
      </c>
      <c r="C72" s="788">
        <v>0.47499999999999998</v>
      </c>
      <c r="D72" s="789">
        <v>2021</v>
      </c>
      <c r="E72" s="789">
        <v>2025</v>
      </c>
      <c r="F72" s="787"/>
      <c r="G72" s="180"/>
      <c r="H72" s="180"/>
      <c r="I72" s="180"/>
      <c r="J72" s="180"/>
      <c r="K72" s="180"/>
      <c r="L72" s="180"/>
      <c r="M72" s="787"/>
    </row>
    <row r="73" spans="1:13" hidden="1" x14ac:dyDescent="0.3">
      <c r="A73" s="606" t="s">
        <v>1805</v>
      </c>
      <c r="B73" s="606" t="s">
        <v>524</v>
      </c>
      <c r="C73" s="791">
        <v>0.90500000000000003</v>
      </c>
      <c r="D73" s="607">
        <v>2015</v>
      </c>
      <c r="E73" s="607">
        <v>2023</v>
      </c>
      <c r="G73" s="180"/>
      <c r="H73" s="180"/>
      <c r="I73" s="180"/>
      <c r="J73" s="180"/>
      <c r="K73" s="180"/>
      <c r="L73" s="180"/>
    </row>
    <row r="74" spans="1:13" hidden="1" x14ac:dyDescent="0.3">
      <c r="A74" s="606" t="s">
        <v>1806</v>
      </c>
      <c r="B74" s="606" t="s">
        <v>1807</v>
      </c>
      <c r="C74" s="791">
        <v>0.70499999999999996</v>
      </c>
      <c r="D74" s="607">
        <v>2018</v>
      </c>
      <c r="E74" s="607">
        <v>2022</v>
      </c>
      <c r="G74" s="180"/>
      <c r="H74" s="180"/>
      <c r="I74" s="180"/>
      <c r="J74" s="180"/>
      <c r="K74" s="180"/>
      <c r="L74" s="180"/>
    </row>
    <row r="75" spans="1:13" x14ac:dyDescent="0.3">
      <c r="A75" s="606" t="s">
        <v>1808</v>
      </c>
      <c r="B75" s="606" t="s">
        <v>1809</v>
      </c>
      <c r="C75" s="791">
        <v>0.81869999999999998</v>
      </c>
      <c r="D75" s="607">
        <v>2021</v>
      </c>
      <c r="E75" s="607">
        <v>2025</v>
      </c>
      <c r="G75" s="180"/>
      <c r="H75" s="180"/>
      <c r="I75" s="180"/>
      <c r="J75" s="180"/>
      <c r="K75" s="180"/>
      <c r="L75" s="180"/>
    </row>
    <row r="76" spans="1:13" hidden="1" x14ac:dyDescent="0.3">
      <c r="A76" s="606" t="s">
        <v>1810</v>
      </c>
      <c r="B76" s="606" t="s">
        <v>1811</v>
      </c>
      <c r="C76" s="791">
        <v>0.625</v>
      </c>
      <c r="D76" s="607">
        <v>2020</v>
      </c>
      <c r="E76" s="607">
        <v>2028</v>
      </c>
      <c r="G76" s="180"/>
      <c r="H76" s="180"/>
      <c r="I76" s="180"/>
      <c r="J76" s="180"/>
      <c r="K76" s="180"/>
      <c r="L76" s="180"/>
    </row>
    <row r="77" spans="1:13" hidden="1" x14ac:dyDescent="0.3">
      <c r="A77" s="606" t="s">
        <v>1812</v>
      </c>
      <c r="B77" s="606" t="s">
        <v>1813</v>
      </c>
      <c r="C77" s="791">
        <v>0.77</v>
      </c>
      <c r="D77" s="607">
        <v>2014</v>
      </c>
      <c r="E77" s="607">
        <v>2022</v>
      </c>
      <c r="G77" s="180"/>
      <c r="H77" s="180"/>
      <c r="I77" s="180"/>
      <c r="J77" s="180"/>
      <c r="K77" s="180"/>
      <c r="L77" s="180"/>
    </row>
    <row r="78" spans="1:13" hidden="1" x14ac:dyDescent="0.3">
      <c r="A78" s="606" t="s">
        <v>1814</v>
      </c>
      <c r="B78" s="606" t="s">
        <v>527</v>
      </c>
      <c r="C78" s="791">
        <v>0.64500000000000002</v>
      </c>
      <c r="D78" s="607">
        <v>2019</v>
      </c>
      <c r="E78" s="607">
        <v>2027</v>
      </c>
      <c r="G78" s="180"/>
      <c r="H78" s="180"/>
      <c r="I78" s="180"/>
      <c r="J78" s="180"/>
      <c r="K78" s="180"/>
      <c r="L78" s="180"/>
    </row>
    <row r="79" spans="1:13" hidden="1" x14ac:dyDescent="0.3">
      <c r="A79" s="606" t="s">
        <v>1680</v>
      </c>
      <c r="B79" s="606" t="s">
        <v>1681</v>
      </c>
      <c r="C79" s="791">
        <v>0.61</v>
      </c>
      <c r="D79" s="607">
        <v>2016</v>
      </c>
      <c r="E79" s="607">
        <v>2024</v>
      </c>
      <c r="G79" s="180"/>
      <c r="H79" s="180"/>
      <c r="I79" s="180"/>
      <c r="J79" s="180"/>
      <c r="K79" s="180"/>
      <c r="L79" s="180"/>
    </row>
    <row r="80" spans="1:13" x14ac:dyDescent="0.3">
      <c r="A80" s="606" t="s">
        <v>1815</v>
      </c>
      <c r="B80" s="606" t="s">
        <v>1816</v>
      </c>
      <c r="C80" s="791">
        <v>0.72</v>
      </c>
      <c r="D80" s="607">
        <v>2021</v>
      </c>
      <c r="E80" s="607">
        <v>2025</v>
      </c>
      <c r="G80" s="180"/>
      <c r="H80" s="180"/>
      <c r="I80" s="180"/>
      <c r="J80" s="180"/>
      <c r="K80" s="180"/>
      <c r="L80" s="180"/>
    </row>
    <row r="81" spans="1:12" hidden="1" x14ac:dyDescent="0.3">
      <c r="A81" s="606" t="s">
        <v>1682</v>
      </c>
      <c r="B81" s="606" t="s">
        <v>1683</v>
      </c>
      <c r="C81" s="791">
        <v>0.68410000000000004</v>
      </c>
      <c r="D81" s="607">
        <v>2020</v>
      </c>
      <c r="E81" s="607">
        <v>2024</v>
      </c>
      <c r="G81" s="180"/>
      <c r="H81" s="180"/>
      <c r="I81" s="180"/>
      <c r="J81" s="180"/>
      <c r="K81" s="180"/>
      <c r="L81" s="180"/>
    </row>
    <row r="82" spans="1:12" x14ac:dyDescent="0.3">
      <c r="A82" s="606" t="s">
        <v>1817</v>
      </c>
      <c r="B82" s="606" t="s">
        <v>1818</v>
      </c>
      <c r="C82" s="791">
        <v>0.51429999999999998</v>
      </c>
      <c r="D82" s="607">
        <v>2021</v>
      </c>
      <c r="E82" s="607">
        <v>2025</v>
      </c>
      <c r="G82" s="180"/>
      <c r="H82" s="180"/>
      <c r="I82" s="180"/>
      <c r="J82" s="180"/>
      <c r="K82" s="180"/>
      <c r="L82" s="180"/>
    </row>
    <row r="83" spans="1:12" hidden="1" x14ac:dyDescent="0.3">
      <c r="A83" s="606" t="s">
        <v>1819</v>
      </c>
      <c r="B83" s="606" t="s">
        <v>1820</v>
      </c>
      <c r="C83" s="791">
        <v>0.63270000000000004</v>
      </c>
      <c r="D83" s="607">
        <v>2019</v>
      </c>
      <c r="E83" s="607">
        <v>2023</v>
      </c>
      <c r="G83" s="180"/>
      <c r="H83" s="180"/>
      <c r="I83" s="180"/>
      <c r="J83" s="180"/>
      <c r="K83" s="180"/>
      <c r="L83" s="180"/>
    </row>
    <row r="84" spans="1:12" hidden="1" x14ac:dyDescent="0.3">
      <c r="A84" s="606" t="s">
        <v>1684</v>
      </c>
      <c r="B84" s="606" t="s">
        <v>1685</v>
      </c>
      <c r="C84" s="791">
        <v>0.83</v>
      </c>
      <c r="D84" s="607">
        <v>2016</v>
      </c>
      <c r="E84" s="607">
        <v>2024</v>
      </c>
      <c r="G84" s="180"/>
      <c r="H84" s="180"/>
      <c r="I84" s="180"/>
      <c r="J84" s="180"/>
      <c r="K84" s="180"/>
      <c r="L84" s="180"/>
    </row>
    <row r="85" spans="1:12" hidden="1" x14ac:dyDescent="0.3">
      <c r="A85" s="606" t="s">
        <v>1686</v>
      </c>
      <c r="B85" s="606" t="s">
        <v>1687</v>
      </c>
      <c r="C85" s="791">
        <v>0.77</v>
      </c>
      <c r="D85" s="607">
        <v>2018</v>
      </c>
      <c r="E85" s="607">
        <v>2024</v>
      </c>
      <c r="G85" s="180"/>
      <c r="H85" s="180"/>
      <c r="I85" s="180"/>
      <c r="J85" s="180"/>
      <c r="K85" s="180"/>
      <c r="L85" s="180"/>
    </row>
    <row r="86" spans="1:12" hidden="1" x14ac:dyDescent="0.3">
      <c r="A86" s="606" t="s">
        <v>1688</v>
      </c>
      <c r="B86" s="606" t="s">
        <v>1689</v>
      </c>
      <c r="C86" s="791">
        <v>0.69499999999999995</v>
      </c>
      <c r="D86" s="607">
        <v>2019</v>
      </c>
      <c r="E86" s="607">
        <v>2024</v>
      </c>
      <c r="G86" s="180"/>
      <c r="H86" s="180"/>
      <c r="I86" s="180"/>
      <c r="J86" s="180"/>
      <c r="K86" s="180"/>
      <c r="L86" s="180"/>
    </row>
    <row r="87" spans="1:12" hidden="1" x14ac:dyDescent="0.3">
      <c r="A87" s="606" t="s">
        <v>1821</v>
      </c>
      <c r="B87" s="606" t="s">
        <v>1822</v>
      </c>
      <c r="C87" s="791">
        <v>0.65749999999999997</v>
      </c>
      <c r="D87" s="607">
        <v>2019</v>
      </c>
      <c r="E87" s="607">
        <v>2023</v>
      </c>
      <c r="G87" s="180"/>
      <c r="H87" s="180"/>
      <c r="I87" s="180"/>
      <c r="J87" s="180"/>
      <c r="K87" s="180"/>
      <c r="L87" s="180"/>
    </row>
    <row r="88" spans="1:12" hidden="1" x14ac:dyDescent="0.3">
      <c r="A88" s="606" t="s">
        <v>1823</v>
      </c>
      <c r="B88" s="606" t="s">
        <v>1824</v>
      </c>
      <c r="C88" s="791">
        <v>0.59699999999999998</v>
      </c>
      <c r="D88" s="607">
        <v>2019</v>
      </c>
      <c r="E88" s="607">
        <v>2023</v>
      </c>
      <c r="G88" s="180"/>
      <c r="H88" s="180"/>
      <c r="I88" s="180"/>
      <c r="J88" s="180"/>
      <c r="K88" s="180"/>
      <c r="L88" s="180"/>
    </row>
    <row r="89" spans="1:12" hidden="1" x14ac:dyDescent="0.3">
      <c r="A89" s="606" t="s">
        <v>1825</v>
      </c>
      <c r="B89" s="606" t="s">
        <v>1826</v>
      </c>
      <c r="C89" s="791">
        <v>0.82499999999999996</v>
      </c>
      <c r="D89" s="607">
        <v>2019</v>
      </c>
      <c r="E89" s="607">
        <v>2027</v>
      </c>
      <c r="G89" s="180"/>
      <c r="H89" s="180"/>
      <c r="I89" s="180"/>
      <c r="J89" s="180"/>
      <c r="K89" s="180"/>
      <c r="L89" s="180"/>
    </row>
    <row r="90" spans="1:12" hidden="1" x14ac:dyDescent="0.3">
      <c r="A90" s="606" t="s">
        <v>1827</v>
      </c>
      <c r="B90" s="606" t="s">
        <v>541</v>
      </c>
      <c r="C90" s="791">
        <v>1</v>
      </c>
      <c r="D90" s="607">
        <v>2019</v>
      </c>
      <c r="E90" s="607">
        <v>2027</v>
      </c>
      <c r="G90" s="180"/>
      <c r="H90" s="180"/>
      <c r="I90" s="180"/>
      <c r="J90" s="180"/>
      <c r="K90" s="180"/>
      <c r="L90" s="180"/>
    </row>
    <row r="91" spans="1:12" x14ac:dyDescent="0.3">
      <c r="A91" s="606" t="s">
        <v>1828</v>
      </c>
      <c r="B91" s="606" t="s">
        <v>1829</v>
      </c>
      <c r="C91" s="791">
        <v>0.61</v>
      </c>
      <c r="D91" s="607">
        <v>2021</v>
      </c>
      <c r="E91" s="607">
        <v>2025</v>
      </c>
      <c r="G91" s="180"/>
      <c r="H91" s="180"/>
      <c r="I91" s="180"/>
      <c r="J91" s="180"/>
      <c r="K91" s="180"/>
      <c r="L91" s="180"/>
    </row>
    <row r="92" spans="1:12" x14ac:dyDescent="0.3">
      <c r="A92" s="606" t="s">
        <v>1830</v>
      </c>
      <c r="B92" s="606" t="s">
        <v>1831</v>
      </c>
      <c r="C92" s="791">
        <v>0.66</v>
      </c>
      <c r="D92" s="607">
        <v>2021</v>
      </c>
      <c r="E92" s="607">
        <v>2025</v>
      </c>
      <c r="G92" s="180"/>
      <c r="H92" s="180"/>
      <c r="I92" s="180"/>
      <c r="J92" s="180"/>
      <c r="K92" s="180"/>
      <c r="L92" s="180"/>
    </row>
    <row r="93" spans="1:12" x14ac:dyDescent="0.3">
      <c r="A93" s="606" t="s">
        <v>1832</v>
      </c>
      <c r="B93" s="606" t="s">
        <v>1833</v>
      </c>
      <c r="C93" s="791">
        <v>0.55200000000000005</v>
      </c>
      <c r="D93" s="607">
        <v>2021</v>
      </c>
      <c r="E93" s="607">
        <v>2025</v>
      </c>
      <c r="G93" s="180"/>
      <c r="H93" s="180"/>
      <c r="I93" s="180"/>
      <c r="J93" s="180"/>
      <c r="K93" s="180"/>
      <c r="L93" s="180"/>
    </row>
    <row r="94" spans="1:12" hidden="1" x14ac:dyDescent="0.3">
      <c r="A94" s="606" t="s">
        <v>1834</v>
      </c>
      <c r="B94" s="606" t="s">
        <v>1835</v>
      </c>
      <c r="C94" s="791">
        <v>0.36</v>
      </c>
      <c r="D94" s="607">
        <v>2021</v>
      </c>
      <c r="E94" s="607">
        <v>2029</v>
      </c>
      <c r="G94" s="180"/>
      <c r="H94" s="180"/>
      <c r="I94" s="180"/>
      <c r="J94" s="180"/>
      <c r="K94" s="180"/>
      <c r="L94" s="180"/>
    </row>
    <row r="95" spans="1:12" x14ac:dyDescent="0.3">
      <c r="A95" s="606" t="s">
        <v>1836</v>
      </c>
      <c r="B95" s="606" t="s">
        <v>1837</v>
      </c>
      <c r="C95" s="791">
        <v>0.60329999999999995</v>
      </c>
      <c r="D95" s="607">
        <v>2021</v>
      </c>
      <c r="E95" s="607">
        <v>2025</v>
      </c>
      <c r="G95" s="180"/>
      <c r="H95" s="180"/>
      <c r="I95" s="180"/>
      <c r="J95" s="180"/>
      <c r="K95" s="180"/>
      <c r="L95" s="180"/>
    </row>
    <row r="96" spans="1:12" x14ac:dyDescent="0.3">
      <c r="A96" s="606" t="s">
        <v>1838</v>
      </c>
      <c r="B96" s="606" t="s">
        <v>550</v>
      </c>
      <c r="C96" s="791">
        <v>0.95</v>
      </c>
      <c r="D96" s="607">
        <v>2017</v>
      </c>
      <c r="E96" s="607">
        <v>2025</v>
      </c>
      <c r="G96" s="180"/>
      <c r="H96" s="180"/>
      <c r="I96" s="180"/>
      <c r="J96" s="180"/>
      <c r="K96" s="180"/>
      <c r="L96" s="180"/>
    </row>
    <row r="97" spans="1:12" x14ac:dyDescent="0.3">
      <c r="A97" s="606" t="s">
        <v>1839</v>
      </c>
      <c r="B97" s="606" t="s">
        <v>1840</v>
      </c>
      <c r="C97" s="791">
        <v>0.58799999999999997</v>
      </c>
      <c r="D97" s="607">
        <v>2021</v>
      </c>
      <c r="E97" s="607">
        <v>2025</v>
      </c>
      <c r="G97" s="180"/>
      <c r="H97" s="180"/>
      <c r="I97" s="180"/>
      <c r="J97" s="180"/>
      <c r="K97" s="180"/>
      <c r="L97" s="180"/>
    </row>
    <row r="98" spans="1:12" hidden="1" x14ac:dyDescent="0.3">
      <c r="A98" s="606" t="s">
        <v>1690</v>
      </c>
      <c r="B98" s="606" t="s">
        <v>1691</v>
      </c>
      <c r="C98" s="791">
        <v>0.89</v>
      </c>
      <c r="D98" s="607">
        <v>2016</v>
      </c>
      <c r="E98" s="607">
        <v>2024</v>
      </c>
    </row>
    <row r="99" spans="1:12" hidden="1" x14ac:dyDescent="0.3">
      <c r="A99" s="606" t="s">
        <v>1692</v>
      </c>
      <c r="B99" s="606" t="s">
        <v>1693</v>
      </c>
      <c r="C99" s="791">
        <v>0.6</v>
      </c>
      <c r="D99" s="607">
        <v>2020</v>
      </c>
      <c r="E99" s="607">
        <v>2024</v>
      </c>
    </row>
    <row r="100" spans="1:12" x14ac:dyDescent="0.3">
      <c r="A100" s="606" t="s">
        <v>1841</v>
      </c>
      <c r="B100" s="606" t="s">
        <v>1842</v>
      </c>
      <c r="C100" s="791">
        <v>0.81</v>
      </c>
      <c r="D100" s="607">
        <v>2017</v>
      </c>
      <c r="E100" s="607">
        <v>2025</v>
      </c>
    </row>
    <row r="101" spans="1:12" hidden="1" x14ac:dyDescent="0.3">
      <c r="A101" s="606" t="s">
        <v>1843</v>
      </c>
      <c r="B101" s="606" t="s">
        <v>1844</v>
      </c>
      <c r="C101" s="791">
        <v>0.85</v>
      </c>
      <c r="D101" s="607">
        <v>2021</v>
      </c>
      <c r="E101" s="607">
        <v>2029</v>
      </c>
    </row>
    <row r="102" spans="1:12" hidden="1" x14ac:dyDescent="0.3">
      <c r="A102" s="606" t="s">
        <v>1845</v>
      </c>
      <c r="B102" s="606" t="s">
        <v>1846</v>
      </c>
      <c r="C102" s="791">
        <v>0.40300000000000002</v>
      </c>
      <c r="D102" s="607">
        <v>2014</v>
      </c>
      <c r="E102" s="607">
        <v>2022</v>
      </c>
    </row>
    <row r="103" spans="1:12" hidden="1" x14ac:dyDescent="0.3">
      <c r="A103" s="606" t="s">
        <v>1847</v>
      </c>
      <c r="B103" s="606" t="s">
        <v>1848</v>
      </c>
      <c r="C103" s="791">
        <v>0.70750000000000002</v>
      </c>
      <c r="D103" s="607">
        <v>2019</v>
      </c>
      <c r="E103" s="607">
        <v>2027</v>
      </c>
    </row>
    <row r="104" spans="1:12" hidden="1" x14ac:dyDescent="0.3">
      <c r="A104" s="606" t="s">
        <v>1849</v>
      </c>
      <c r="B104" s="606" t="s">
        <v>1850</v>
      </c>
      <c r="C104" s="791">
        <v>0.66</v>
      </c>
      <c r="D104" s="607">
        <v>2019</v>
      </c>
      <c r="E104" s="607">
        <v>2023</v>
      </c>
    </row>
    <row r="105" spans="1:12" hidden="1" x14ac:dyDescent="0.3">
      <c r="A105" s="606" t="s">
        <v>1694</v>
      </c>
      <c r="B105" s="606" t="s">
        <v>1695</v>
      </c>
      <c r="C105" s="791">
        <v>0.73</v>
      </c>
      <c r="D105" s="607">
        <v>2016</v>
      </c>
      <c r="E105" s="607">
        <v>2024</v>
      </c>
    </row>
    <row r="106" spans="1:12" hidden="1" x14ac:dyDescent="0.3">
      <c r="A106" s="606" t="s">
        <v>1851</v>
      </c>
      <c r="B106" s="606" t="s">
        <v>1852</v>
      </c>
      <c r="C106" s="791">
        <v>0.66</v>
      </c>
      <c r="D106" s="607">
        <v>2017</v>
      </c>
      <c r="E106" s="607">
        <v>2023</v>
      </c>
    </row>
    <row r="107" spans="1:12" hidden="1" x14ac:dyDescent="0.3">
      <c r="A107" s="606" t="s">
        <v>1853</v>
      </c>
      <c r="B107" s="606" t="s">
        <v>1854</v>
      </c>
      <c r="C107" s="791">
        <v>0.6</v>
      </c>
      <c r="D107" s="607">
        <v>2016</v>
      </c>
      <c r="E107" s="607">
        <v>2024</v>
      </c>
    </row>
    <row r="109" spans="1:12" x14ac:dyDescent="0.3">
      <c r="C109" s="791">
        <f>SUM(C8:C108)</f>
        <v>67.168499999999995</v>
      </c>
    </row>
    <row r="113" spans="1:4" x14ac:dyDescent="0.3">
      <c r="A113" s="606" t="s">
        <v>1962</v>
      </c>
    </row>
    <row r="114" spans="1:4" x14ac:dyDescent="0.3">
      <c r="A114" s="606" t="s">
        <v>1964</v>
      </c>
    </row>
    <row r="115" spans="1:4" x14ac:dyDescent="0.3">
      <c r="A115" s="606" t="s">
        <v>605</v>
      </c>
    </row>
    <row r="117" spans="1:4" x14ac:dyDescent="0.3">
      <c r="C117" s="791" t="s">
        <v>606</v>
      </c>
      <c r="D117" s="607" t="s">
        <v>607</v>
      </c>
    </row>
    <row r="118" spans="1:4" x14ac:dyDescent="0.3">
      <c r="B118" s="606" t="s">
        <v>608</v>
      </c>
      <c r="C118" s="791" t="s">
        <v>609</v>
      </c>
      <c r="D118" s="607" t="s">
        <v>610</v>
      </c>
    </row>
    <row r="119" spans="1:4" x14ac:dyDescent="0.3">
      <c r="A119" s="606" t="s">
        <v>611</v>
      </c>
      <c r="B119" s="606" t="s">
        <v>612</v>
      </c>
      <c r="C119" s="791" t="s">
        <v>1963</v>
      </c>
      <c r="D119" s="607" t="s">
        <v>1963</v>
      </c>
    </row>
    <row r="120" spans="1:4" x14ac:dyDescent="0.3">
      <c r="A120" s="606" t="s">
        <v>1707</v>
      </c>
      <c r="B120" s="606">
        <v>0.625</v>
      </c>
      <c r="C120" s="1039">
        <v>2018</v>
      </c>
      <c r="D120" s="607">
        <v>2025</v>
      </c>
    </row>
    <row r="121" spans="1:4" x14ac:dyDescent="0.3">
      <c r="A121" s="606" t="s">
        <v>1714</v>
      </c>
      <c r="B121" s="606">
        <v>0.51759999999999995</v>
      </c>
      <c r="C121" s="1039">
        <v>2021</v>
      </c>
      <c r="D121" s="607">
        <v>2025</v>
      </c>
    </row>
    <row r="122" spans="1:4" x14ac:dyDescent="0.3">
      <c r="A122" s="606" t="s">
        <v>1718</v>
      </c>
      <c r="B122" s="606">
        <v>0.63</v>
      </c>
      <c r="C122" s="1039">
        <v>2021</v>
      </c>
      <c r="D122" s="607">
        <v>2025</v>
      </c>
    </row>
    <row r="123" spans="1:4" x14ac:dyDescent="0.3">
      <c r="A123" s="606" t="s">
        <v>1669</v>
      </c>
      <c r="B123" s="606">
        <v>0.34</v>
      </c>
      <c r="C123" s="1039">
        <v>2020</v>
      </c>
      <c r="D123" s="607">
        <v>2025</v>
      </c>
    </row>
    <row r="124" spans="1:4" x14ac:dyDescent="0.3">
      <c r="A124" s="606" t="s">
        <v>1725</v>
      </c>
      <c r="B124" s="606">
        <v>0.72499999999999998</v>
      </c>
      <c r="C124" s="1039">
        <v>2021</v>
      </c>
      <c r="D124" s="607">
        <v>2025</v>
      </c>
    </row>
    <row r="125" spans="1:4" x14ac:dyDescent="0.3">
      <c r="A125" s="606" t="s">
        <v>1732</v>
      </c>
      <c r="B125" s="606">
        <v>0.6875</v>
      </c>
      <c r="C125" s="1039">
        <v>2021</v>
      </c>
      <c r="D125" s="607">
        <v>2025</v>
      </c>
    </row>
    <row r="126" spans="1:4" x14ac:dyDescent="0.3">
      <c r="A126" s="606" t="s">
        <v>1737</v>
      </c>
      <c r="B126" s="606">
        <v>0.79900000000000004</v>
      </c>
      <c r="C126" s="1039">
        <v>2017</v>
      </c>
      <c r="D126" s="607">
        <v>2025</v>
      </c>
    </row>
    <row r="127" spans="1:4" x14ac:dyDescent="0.3">
      <c r="A127" s="606" t="s">
        <v>1741</v>
      </c>
      <c r="B127" s="606">
        <v>0.40050000000000002</v>
      </c>
      <c r="C127" s="1039">
        <v>2020</v>
      </c>
      <c r="D127" s="607">
        <v>2025</v>
      </c>
    </row>
    <row r="128" spans="1:4" x14ac:dyDescent="0.3">
      <c r="A128" s="606" t="s">
        <v>1745</v>
      </c>
      <c r="B128" s="606">
        <v>0.73299999999999998</v>
      </c>
      <c r="C128" s="1039">
        <v>2021</v>
      </c>
      <c r="D128" s="607">
        <v>2025</v>
      </c>
    </row>
    <row r="129" spans="1:4" x14ac:dyDescent="0.3">
      <c r="A129" s="606" t="s">
        <v>1747</v>
      </c>
      <c r="B129" s="606">
        <v>0.73499999999999999</v>
      </c>
      <c r="C129" s="1039">
        <v>2017</v>
      </c>
      <c r="D129" s="607">
        <v>2025</v>
      </c>
    </row>
    <row r="130" spans="1:4" x14ac:dyDescent="0.3">
      <c r="A130" s="606" t="s">
        <v>1749</v>
      </c>
      <c r="B130" s="606">
        <v>0.79869999999999997</v>
      </c>
      <c r="C130" s="1039">
        <v>2019</v>
      </c>
      <c r="D130" s="607">
        <v>2025</v>
      </c>
    </row>
    <row r="131" spans="1:4" x14ac:dyDescent="0.3">
      <c r="A131" s="606" t="s">
        <v>1751</v>
      </c>
      <c r="B131" s="606">
        <v>0.67779999999999996</v>
      </c>
      <c r="C131" s="1039">
        <v>2021</v>
      </c>
      <c r="D131" s="607">
        <v>2025</v>
      </c>
    </row>
    <row r="132" spans="1:4" x14ac:dyDescent="0.3">
      <c r="A132" s="606" t="s">
        <v>1755</v>
      </c>
      <c r="B132" s="606">
        <v>0.84</v>
      </c>
      <c r="C132" s="1039">
        <v>2017</v>
      </c>
      <c r="D132" s="607">
        <v>2025</v>
      </c>
    </row>
    <row r="133" spans="1:4" x14ac:dyDescent="0.3">
      <c r="A133" s="606" t="s">
        <v>1765</v>
      </c>
      <c r="B133" s="606">
        <v>0.55000000000000004</v>
      </c>
      <c r="C133" s="1039">
        <v>2021</v>
      </c>
      <c r="D133" s="607">
        <v>2025</v>
      </c>
    </row>
    <row r="134" spans="1:4" x14ac:dyDescent="0.3">
      <c r="A134" s="606" t="s">
        <v>1776</v>
      </c>
      <c r="B134" s="606">
        <v>0.38</v>
      </c>
      <c r="C134" s="1039">
        <v>2021</v>
      </c>
      <c r="D134" s="607">
        <v>2025</v>
      </c>
    </row>
    <row r="135" spans="1:4" x14ac:dyDescent="0.3">
      <c r="A135" s="606" t="s">
        <v>1778</v>
      </c>
      <c r="B135" s="606">
        <v>0.67</v>
      </c>
      <c r="C135" s="1039">
        <v>2019</v>
      </c>
      <c r="D135" s="607">
        <v>2025</v>
      </c>
    </row>
    <row r="136" spans="1:4" x14ac:dyDescent="0.3">
      <c r="A136" s="606" t="s">
        <v>1784</v>
      </c>
      <c r="B136" s="606">
        <v>0.84499999999999997</v>
      </c>
      <c r="C136" s="1039">
        <v>2017</v>
      </c>
      <c r="D136" s="607">
        <v>2025</v>
      </c>
    </row>
    <row r="137" spans="1:4" x14ac:dyDescent="0.3">
      <c r="A137" s="606" t="s">
        <v>1792</v>
      </c>
      <c r="B137" s="606">
        <v>0.81</v>
      </c>
      <c r="C137" s="1039">
        <v>2017</v>
      </c>
      <c r="D137" s="607">
        <v>2025</v>
      </c>
    </row>
    <row r="138" spans="1:4" x14ac:dyDescent="0.3">
      <c r="A138" s="606" t="s">
        <v>1803</v>
      </c>
      <c r="B138" s="606">
        <v>0.45</v>
      </c>
      <c r="C138" s="1039">
        <v>2021</v>
      </c>
      <c r="D138" s="607">
        <v>2025</v>
      </c>
    </row>
    <row r="139" spans="1:4" x14ac:dyDescent="0.3">
      <c r="A139" s="606" t="s">
        <v>1808</v>
      </c>
      <c r="B139" s="606">
        <v>0.8629</v>
      </c>
      <c r="C139" s="1039">
        <v>2021</v>
      </c>
      <c r="D139" s="607">
        <v>2025</v>
      </c>
    </row>
    <row r="140" spans="1:4" x14ac:dyDescent="0.3">
      <c r="A140" s="606" t="s">
        <v>1815</v>
      </c>
      <c r="B140" s="606">
        <v>0.72250000000000003</v>
      </c>
      <c r="C140" s="1039">
        <v>2021</v>
      </c>
      <c r="D140" s="607">
        <v>2025</v>
      </c>
    </row>
    <row r="141" spans="1:4" x14ac:dyDescent="0.3">
      <c r="A141" s="606" t="s">
        <v>1817</v>
      </c>
      <c r="B141" s="606">
        <v>0.5343</v>
      </c>
      <c r="C141" s="1039">
        <v>2021</v>
      </c>
      <c r="D141" s="607">
        <v>2025</v>
      </c>
    </row>
    <row r="142" spans="1:4" x14ac:dyDescent="0.3">
      <c r="A142" s="606" t="s">
        <v>1828</v>
      </c>
      <c r="B142" s="606">
        <v>0.61</v>
      </c>
      <c r="C142" s="1039">
        <v>2021</v>
      </c>
      <c r="D142" s="607">
        <v>2025</v>
      </c>
    </row>
    <row r="143" spans="1:4" x14ac:dyDescent="0.3">
      <c r="A143" s="606" t="s">
        <v>1830</v>
      </c>
      <c r="B143" s="606">
        <v>0.71</v>
      </c>
      <c r="C143" s="1039">
        <v>2021</v>
      </c>
      <c r="D143" s="607">
        <v>2025</v>
      </c>
    </row>
    <row r="144" spans="1:4" x14ac:dyDescent="0.3">
      <c r="A144" s="606" t="s">
        <v>1832</v>
      </c>
      <c r="B144" s="606">
        <v>0.55200000000000005</v>
      </c>
      <c r="C144" s="1039">
        <v>2021</v>
      </c>
      <c r="D144" s="607">
        <v>2025</v>
      </c>
    </row>
    <row r="145" spans="1:4" x14ac:dyDescent="0.3">
      <c r="A145" s="606" t="s">
        <v>1836</v>
      </c>
      <c r="B145" s="606">
        <v>0.60329999999999995</v>
      </c>
      <c r="C145" s="1039">
        <v>2021</v>
      </c>
      <c r="D145" s="607">
        <v>2025</v>
      </c>
    </row>
    <row r="146" spans="1:4" x14ac:dyDescent="0.3">
      <c r="A146" s="606" t="s">
        <v>1838</v>
      </c>
      <c r="B146" s="606">
        <v>0.95</v>
      </c>
      <c r="C146" s="1039">
        <v>2017</v>
      </c>
      <c r="D146" s="607">
        <v>2025</v>
      </c>
    </row>
    <row r="147" spans="1:4" x14ac:dyDescent="0.3">
      <c r="A147" s="606" t="s">
        <v>1839</v>
      </c>
      <c r="B147" s="606">
        <v>0.58799999999999997</v>
      </c>
      <c r="C147" s="1039">
        <v>2021</v>
      </c>
      <c r="D147" s="607">
        <v>2025</v>
      </c>
    </row>
    <row r="148" spans="1:4" x14ac:dyDescent="0.3">
      <c r="A148" s="606" t="s">
        <v>1841</v>
      </c>
      <c r="B148" s="606">
        <v>0.81</v>
      </c>
      <c r="C148" s="1039">
        <v>2017</v>
      </c>
      <c r="D148" s="607">
        <v>2025</v>
      </c>
    </row>
    <row r="149" spans="1:4" x14ac:dyDescent="0.3">
      <c r="A149" s="606" t="s">
        <v>1847</v>
      </c>
      <c r="B149" s="606">
        <v>0.76749999999999996</v>
      </c>
      <c r="C149" s="1039">
        <v>2019</v>
      </c>
      <c r="D149" s="607">
        <v>2025</v>
      </c>
    </row>
    <row r="150" spans="1:4" x14ac:dyDescent="0.3">
      <c r="A150" s="606" t="s">
        <v>1849</v>
      </c>
      <c r="B150" s="606">
        <v>0.66</v>
      </c>
      <c r="C150" s="1039">
        <v>2019</v>
      </c>
      <c r="D150" s="607">
        <v>2025</v>
      </c>
    </row>
  </sheetData>
  <sheetProtection algorithmName="SHA-512" hashValue="fgKPUUAOchgb39nd76BHFh2ziikiOIVsPaiDAxA5RIzx3z/UCX9l2d3ywmrRRqH5uz14xHcxDhRqR1WhR8xQTg==" saltValue="hl2DBt3v3Ta4K0jJLAM0JA==" spinCount="100000" sheet="1" objects="1" scenarios="1"/>
  <autoFilter ref="A7:E107" xr:uid="{C4C859C7-D101-4FF8-B13C-F4FADB068718}">
    <filterColumn colId="4">
      <filters>
        <filter val="2025"/>
      </filters>
    </filterColumn>
  </autoFilter>
  <sortState xmlns:xlrd2="http://schemas.microsoft.com/office/spreadsheetml/2017/richdata2" ref="A7:D106">
    <sortCondition ref="D7:D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45"/>
  <sheetViews>
    <sheetView workbookViewId="0">
      <pane xSplit="3" ySplit="2" topLeftCell="BJ3" activePane="bottomRight" state="frozen"/>
      <selection activeCell="D2" sqref="D2"/>
      <selection pane="topRight" activeCell="D2" sqref="D2"/>
      <selection pane="bottomLeft" activeCell="D2" sqref="D2"/>
      <selection pane="bottomRight" activeCell="BJ33" sqref="BJ33"/>
    </sheetView>
  </sheetViews>
  <sheetFormatPr defaultRowHeight="14.4" x14ac:dyDescent="0.3"/>
  <cols>
    <col min="1" max="1" width="13.44140625" style="155" customWidth="1"/>
    <col min="2" max="2" width="52.109375" customWidth="1"/>
    <col min="3" max="3" width="16.109375" customWidth="1"/>
    <col min="4" max="4" width="24" customWidth="1"/>
    <col min="5" max="97" width="20.6640625" customWidth="1"/>
    <col min="98" max="104" width="16.109375" customWidth="1"/>
  </cols>
  <sheetData>
    <row r="1" spans="1:79" x14ac:dyDescent="0.3">
      <c r="A1" t="s">
        <v>349</v>
      </c>
      <c r="B1" t="s">
        <v>349</v>
      </c>
      <c r="C1" t="s">
        <v>349</v>
      </c>
      <c r="D1" t="s">
        <v>433</v>
      </c>
      <c r="E1" t="s">
        <v>1240</v>
      </c>
      <c r="F1" t="s">
        <v>434</v>
      </c>
      <c r="G1" t="s">
        <v>1241</v>
      </c>
      <c r="H1" t="s">
        <v>1242</v>
      </c>
      <c r="I1" t="s">
        <v>1243</v>
      </c>
      <c r="J1" t="s">
        <v>1244</v>
      </c>
      <c r="K1" t="s">
        <v>1245</v>
      </c>
      <c r="L1" t="s">
        <v>1246</v>
      </c>
      <c r="M1" t="s">
        <v>1247</v>
      </c>
      <c r="N1" t="s">
        <v>1248</v>
      </c>
      <c r="O1" t="s">
        <v>1249</v>
      </c>
      <c r="P1" t="s">
        <v>1250</v>
      </c>
      <c r="Q1" t="s">
        <v>1251</v>
      </c>
      <c r="R1" t="s">
        <v>1252</v>
      </c>
      <c r="S1" t="s">
        <v>1253</v>
      </c>
      <c r="T1" t="s">
        <v>435</v>
      </c>
      <c r="U1" t="s">
        <v>1254</v>
      </c>
      <c r="V1" t="s">
        <v>1255</v>
      </c>
      <c r="W1" t="s">
        <v>1256</v>
      </c>
      <c r="X1" t="s">
        <v>1257</v>
      </c>
      <c r="Y1" t="s">
        <v>1258</v>
      </c>
      <c r="Z1" t="s">
        <v>1259</v>
      </c>
      <c r="AA1" t="s">
        <v>1260</v>
      </c>
      <c r="AB1" t="s">
        <v>1261</v>
      </c>
      <c r="AC1" t="s">
        <v>1262</v>
      </c>
      <c r="AD1" t="s">
        <v>1263</v>
      </c>
      <c r="AE1" t="s">
        <v>1264</v>
      </c>
      <c r="AF1" t="s">
        <v>1265</v>
      </c>
      <c r="AG1" t="s">
        <v>1266</v>
      </c>
      <c r="AH1" t="s">
        <v>1267</v>
      </c>
      <c r="AI1" t="s">
        <v>1268</v>
      </c>
      <c r="AJ1" t="s">
        <v>1269</v>
      </c>
      <c r="AK1" t="s">
        <v>1270</v>
      </c>
      <c r="AL1" t="s">
        <v>1271</v>
      </c>
      <c r="AM1" t="s">
        <v>1272</v>
      </c>
      <c r="AN1" t="s">
        <v>1273</v>
      </c>
      <c r="AO1" t="s">
        <v>1274</v>
      </c>
      <c r="AP1" t="s">
        <v>1275</v>
      </c>
      <c r="AQ1" t="s">
        <v>1276</v>
      </c>
      <c r="AR1" t="s">
        <v>1277</v>
      </c>
      <c r="AS1" t="s">
        <v>1278</v>
      </c>
      <c r="AT1" t="s">
        <v>1279</v>
      </c>
      <c r="AU1" t="s">
        <v>1280</v>
      </c>
      <c r="AV1" t="s">
        <v>1281</v>
      </c>
      <c r="AW1" t="s">
        <v>1282</v>
      </c>
      <c r="AX1" t="s">
        <v>1283</v>
      </c>
      <c r="AY1" t="s">
        <v>1284</v>
      </c>
      <c r="AZ1" t="s">
        <v>1285</v>
      </c>
      <c r="BA1" t="s">
        <v>436</v>
      </c>
      <c r="BB1" t="s">
        <v>1286</v>
      </c>
      <c r="BC1" t="s">
        <v>437</v>
      </c>
      <c r="BD1" t="s">
        <v>1287</v>
      </c>
      <c r="BE1" t="s">
        <v>438</v>
      </c>
      <c r="BF1" t="s">
        <v>439</v>
      </c>
      <c r="BG1" t="s">
        <v>390</v>
      </c>
      <c r="BH1" t="s">
        <v>1288</v>
      </c>
      <c r="BI1" t="s">
        <v>1289</v>
      </c>
      <c r="BJ1" t="s">
        <v>440</v>
      </c>
      <c r="BK1" t="s">
        <v>1290</v>
      </c>
      <c r="BL1" t="s">
        <v>1291</v>
      </c>
      <c r="BM1" t="s">
        <v>1292</v>
      </c>
      <c r="BN1" t="s">
        <v>1293</v>
      </c>
      <c r="BO1" t="s">
        <v>1294</v>
      </c>
      <c r="BP1" t="s">
        <v>1295</v>
      </c>
      <c r="BQ1" t="s">
        <v>1296</v>
      </c>
      <c r="BR1" t="s">
        <v>1297</v>
      </c>
      <c r="BS1" t="s">
        <v>1298</v>
      </c>
      <c r="BT1" t="s">
        <v>1299</v>
      </c>
      <c r="BU1" t="s">
        <v>1300</v>
      </c>
      <c r="BV1" t="s">
        <v>441</v>
      </c>
      <c r="BW1" t="s">
        <v>1301</v>
      </c>
      <c r="BX1" t="s">
        <v>1302</v>
      </c>
      <c r="BY1" t="s">
        <v>1303</v>
      </c>
      <c r="BZ1" t="s">
        <v>1304</v>
      </c>
      <c r="CA1" t="s">
        <v>1305</v>
      </c>
    </row>
    <row r="2" spans="1:79" x14ac:dyDescent="0.3">
      <c r="A2" t="s">
        <v>877</v>
      </c>
      <c r="B2" t="s">
        <v>41</v>
      </c>
      <c r="C2" t="s">
        <v>13</v>
      </c>
      <c r="D2" s="786">
        <v>50476</v>
      </c>
      <c r="E2" s="786">
        <v>50191</v>
      </c>
      <c r="F2" s="786">
        <v>50192</v>
      </c>
      <c r="G2" s="786">
        <v>50193</v>
      </c>
      <c r="H2" s="786">
        <v>50194</v>
      </c>
      <c r="I2" s="786">
        <v>50195</v>
      </c>
      <c r="J2" s="786">
        <v>50196</v>
      </c>
      <c r="K2" s="786">
        <v>50197</v>
      </c>
      <c r="L2" s="786">
        <v>50498</v>
      </c>
      <c r="M2" s="786">
        <v>50198</v>
      </c>
      <c r="N2" s="786">
        <v>50199</v>
      </c>
      <c r="O2" s="786">
        <v>50200</v>
      </c>
      <c r="P2" s="786">
        <v>50201</v>
      </c>
      <c r="Q2" s="786">
        <v>50202</v>
      </c>
      <c r="R2" s="786">
        <v>50493</v>
      </c>
      <c r="S2" s="786">
        <v>50203</v>
      </c>
      <c r="T2" s="786">
        <v>50518</v>
      </c>
      <c r="U2" s="786">
        <v>50204</v>
      </c>
      <c r="V2" s="786">
        <v>50205</v>
      </c>
      <c r="W2" s="786">
        <v>50206</v>
      </c>
      <c r="X2" s="786">
        <v>50207</v>
      </c>
      <c r="Y2" s="786">
        <v>50208</v>
      </c>
      <c r="Z2" s="786">
        <v>50209</v>
      </c>
      <c r="AA2" s="786">
        <v>50210</v>
      </c>
      <c r="AB2" s="786">
        <v>50519</v>
      </c>
      <c r="AC2" s="786">
        <v>50528</v>
      </c>
      <c r="AD2" s="786">
        <v>50211</v>
      </c>
      <c r="AE2" s="786">
        <v>50212</v>
      </c>
      <c r="AF2" s="786">
        <v>50213</v>
      </c>
      <c r="AG2" s="786">
        <v>50214</v>
      </c>
      <c r="AH2" s="786">
        <v>50215</v>
      </c>
      <c r="AI2" s="786">
        <v>50216</v>
      </c>
      <c r="AJ2" s="786">
        <v>50217</v>
      </c>
      <c r="AK2" s="786">
        <v>50218</v>
      </c>
      <c r="AL2" s="786">
        <v>50477</v>
      </c>
      <c r="AM2" s="786">
        <v>50520</v>
      </c>
      <c r="AN2" s="786">
        <v>50219</v>
      </c>
      <c r="AO2" s="786">
        <v>50220</v>
      </c>
      <c r="AP2" s="786">
        <v>50536</v>
      </c>
      <c r="AQ2" s="786">
        <v>50221</v>
      </c>
      <c r="AR2" s="786">
        <v>50222</v>
      </c>
      <c r="AS2" s="786">
        <v>50223</v>
      </c>
      <c r="AT2" s="786">
        <v>50224</v>
      </c>
      <c r="AU2" s="786">
        <v>50225</v>
      </c>
      <c r="AV2" s="786">
        <v>50226</v>
      </c>
      <c r="AW2" s="786">
        <v>50227</v>
      </c>
      <c r="AX2" s="786">
        <v>50455</v>
      </c>
      <c r="AY2" s="786">
        <v>50229</v>
      </c>
      <c r="AZ2" s="786">
        <v>50230</v>
      </c>
      <c r="BA2" s="786">
        <v>50231</v>
      </c>
      <c r="BB2" s="786">
        <v>50232</v>
      </c>
      <c r="BC2" s="786">
        <v>50233</v>
      </c>
      <c r="BD2" s="786">
        <v>50234</v>
      </c>
      <c r="BE2" s="786">
        <v>50235</v>
      </c>
      <c r="BF2" s="786">
        <v>50236</v>
      </c>
      <c r="BG2" s="786">
        <v>50237</v>
      </c>
      <c r="BH2" s="786">
        <v>50238</v>
      </c>
      <c r="BI2" s="786">
        <v>50444</v>
      </c>
      <c r="BJ2" s="786">
        <v>50239</v>
      </c>
      <c r="BK2" s="786">
        <v>50240</v>
      </c>
      <c r="BL2" s="786">
        <v>50241</v>
      </c>
      <c r="BM2" s="786">
        <v>50521</v>
      </c>
      <c r="BN2" s="786">
        <v>50242</v>
      </c>
      <c r="BO2" s="786">
        <v>50244</v>
      </c>
      <c r="BP2" s="786">
        <v>50243</v>
      </c>
      <c r="BQ2" s="786">
        <v>50245</v>
      </c>
      <c r="BR2" s="786">
        <v>50522</v>
      </c>
      <c r="BS2" s="786">
        <v>50246</v>
      </c>
      <c r="BT2" s="786">
        <v>50247</v>
      </c>
      <c r="BU2" s="786">
        <v>50248</v>
      </c>
      <c r="BV2" s="786">
        <v>50249</v>
      </c>
      <c r="BW2" s="786">
        <v>50250</v>
      </c>
      <c r="BX2" s="786">
        <v>50251</v>
      </c>
      <c r="BY2" s="786">
        <v>50252</v>
      </c>
      <c r="BZ2" s="786">
        <v>50253</v>
      </c>
      <c r="CA2" s="786">
        <v>50454</v>
      </c>
    </row>
    <row r="3" spans="1:79" x14ac:dyDescent="0.3">
      <c r="A3">
        <v>4</v>
      </c>
      <c r="B3" t="s">
        <v>111</v>
      </c>
      <c r="D3">
        <v>220999</v>
      </c>
      <c r="E3">
        <v>4050100</v>
      </c>
      <c r="G3">
        <v>2103389</v>
      </c>
      <c r="H3">
        <v>251474</v>
      </c>
      <c r="I3">
        <v>15994</v>
      </c>
      <c r="J3">
        <v>11128</v>
      </c>
      <c r="K3">
        <v>66257</v>
      </c>
      <c r="L3">
        <v>2959147</v>
      </c>
      <c r="N3">
        <v>36687</v>
      </c>
      <c r="P3">
        <v>3709283</v>
      </c>
      <c r="Q3">
        <v>930830</v>
      </c>
      <c r="R3">
        <v>474767</v>
      </c>
      <c r="S3">
        <v>595646</v>
      </c>
      <c r="T3">
        <v>8614</v>
      </c>
      <c r="U3">
        <v>1152458</v>
      </c>
      <c r="V3">
        <v>753</v>
      </c>
      <c r="W3">
        <v>444965</v>
      </c>
      <c r="X3">
        <v>1320050</v>
      </c>
      <c r="Y3">
        <v>589583</v>
      </c>
      <c r="Z3">
        <v>340414</v>
      </c>
      <c r="AB3">
        <v>20320</v>
      </c>
      <c r="AC3">
        <v>0</v>
      </c>
      <c r="AD3">
        <v>54269</v>
      </c>
      <c r="AE3">
        <v>134448</v>
      </c>
      <c r="AF3">
        <v>257440</v>
      </c>
      <c r="AG3">
        <v>1543</v>
      </c>
      <c r="AH3">
        <v>1114</v>
      </c>
      <c r="AI3">
        <v>121292</v>
      </c>
      <c r="AJ3">
        <v>183761</v>
      </c>
      <c r="AK3">
        <v>221979</v>
      </c>
      <c r="AL3">
        <v>4550</v>
      </c>
      <c r="AM3">
        <v>5834548</v>
      </c>
      <c r="AN3">
        <v>533215</v>
      </c>
      <c r="AP3">
        <v>549572</v>
      </c>
      <c r="AQ3">
        <v>1423240</v>
      </c>
      <c r="AR3">
        <v>24524</v>
      </c>
      <c r="AT3">
        <v>237556</v>
      </c>
      <c r="AU3">
        <v>2453108</v>
      </c>
      <c r="AV3">
        <v>58896</v>
      </c>
      <c r="AX3">
        <v>3393703</v>
      </c>
      <c r="AY3">
        <v>54920</v>
      </c>
      <c r="BA3">
        <v>0</v>
      </c>
      <c r="BB3">
        <v>82326</v>
      </c>
      <c r="BD3">
        <v>1152</v>
      </c>
      <c r="BE3">
        <v>1982241</v>
      </c>
      <c r="BH3">
        <v>63975</v>
      </c>
      <c r="BI3">
        <v>170061</v>
      </c>
      <c r="BJ3">
        <v>35560</v>
      </c>
      <c r="BK3">
        <v>182997</v>
      </c>
      <c r="BL3">
        <v>194929</v>
      </c>
      <c r="BM3">
        <v>0</v>
      </c>
      <c r="BN3">
        <v>280828</v>
      </c>
      <c r="BO3">
        <v>99626</v>
      </c>
      <c r="BP3">
        <v>15695</v>
      </c>
      <c r="BQ3">
        <v>56108</v>
      </c>
      <c r="BR3">
        <v>83044</v>
      </c>
      <c r="BS3">
        <v>1333829</v>
      </c>
      <c r="BT3">
        <v>112753</v>
      </c>
      <c r="BU3">
        <v>102114</v>
      </c>
      <c r="BW3">
        <v>1530</v>
      </c>
      <c r="BX3">
        <v>0</v>
      </c>
      <c r="BY3">
        <v>1772</v>
      </c>
      <c r="BZ3">
        <v>2631596</v>
      </c>
      <c r="CA3">
        <v>95</v>
      </c>
    </row>
    <row r="4" spans="1:79" x14ac:dyDescent="0.3">
      <c r="A4">
        <v>5</v>
      </c>
      <c r="B4" t="s">
        <v>112</v>
      </c>
      <c r="D4">
        <v>0</v>
      </c>
      <c r="E4">
        <v>174846</v>
      </c>
      <c r="G4">
        <v>90203</v>
      </c>
      <c r="H4">
        <v>2930</v>
      </c>
      <c r="I4">
        <v>25</v>
      </c>
      <c r="J4">
        <v>0</v>
      </c>
      <c r="K4">
        <v>0</v>
      </c>
      <c r="L4">
        <v>0</v>
      </c>
      <c r="N4">
        <v>0</v>
      </c>
      <c r="P4">
        <v>0</v>
      </c>
      <c r="Q4">
        <v>0</v>
      </c>
      <c r="R4">
        <v>0</v>
      </c>
      <c r="S4">
        <v>0</v>
      </c>
      <c r="T4">
        <v>0</v>
      </c>
      <c r="U4">
        <v>0</v>
      </c>
      <c r="V4">
        <v>29153</v>
      </c>
      <c r="W4">
        <v>0</v>
      </c>
      <c r="X4">
        <v>36308</v>
      </c>
      <c r="Y4">
        <v>0</v>
      </c>
      <c r="Z4">
        <v>0</v>
      </c>
      <c r="AB4">
        <v>0</v>
      </c>
      <c r="AC4">
        <v>0</v>
      </c>
      <c r="AD4">
        <v>0</v>
      </c>
      <c r="AE4">
        <v>0</v>
      </c>
      <c r="AF4">
        <v>0</v>
      </c>
      <c r="AG4">
        <v>0</v>
      </c>
      <c r="AH4">
        <v>0</v>
      </c>
      <c r="AI4">
        <v>0</v>
      </c>
      <c r="AJ4">
        <v>26920</v>
      </c>
      <c r="AK4">
        <v>0</v>
      </c>
      <c r="AL4">
        <v>0</v>
      </c>
      <c r="AM4">
        <v>0</v>
      </c>
      <c r="AN4">
        <v>0</v>
      </c>
      <c r="AP4">
        <v>0</v>
      </c>
      <c r="AQ4">
        <v>0</v>
      </c>
      <c r="AR4">
        <v>0</v>
      </c>
      <c r="AT4">
        <v>0</v>
      </c>
      <c r="AU4">
        <v>45686</v>
      </c>
      <c r="AV4">
        <v>0</v>
      </c>
      <c r="AX4">
        <v>0</v>
      </c>
      <c r="AY4">
        <v>0</v>
      </c>
      <c r="BA4">
        <v>0</v>
      </c>
      <c r="BB4">
        <v>0</v>
      </c>
      <c r="BD4">
        <v>20545</v>
      </c>
      <c r="BE4">
        <v>1129590</v>
      </c>
      <c r="BH4">
        <v>0</v>
      </c>
      <c r="BI4">
        <v>3504</v>
      </c>
      <c r="BJ4">
        <v>0</v>
      </c>
      <c r="BK4">
        <v>158</v>
      </c>
      <c r="BL4">
        <v>0</v>
      </c>
      <c r="BM4">
        <v>31500</v>
      </c>
      <c r="BN4">
        <v>5087</v>
      </c>
      <c r="BO4">
        <v>3270</v>
      </c>
      <c r="BP4">
        <v>0</v>
      </c>
      <c r="BQ4">
        <v>0</v>
      </c>
      <c r="BR4">
        <v>0</v>
      </c>
      <c r="BS4">
        <v>0</v>
      </c>
      <c r="BT4">
        <v>0</v>
      </c>
      <c r="BU4">
        <v>432177</v>
      </c>
      <c r="BW4">
        <v>0</v>
      </c>
      <c r="BX4">
        <v>0</v>
      </c>
      <c r="BY4">
        <v>0</v>
      </c>
      <c r="BZ4">
        <v>0</v>
      </c>
      <c r="CA4">
        <v>0</v>
      </c>
    </row>
    <row r="5" spans="1:79" x14ac:dyDescent="0.3">
      <c r="A5">
        <v>6</v>
      </c>
      <c r="B5" t="s">
        <v>251</v>
      </c>
      <c r="D5">
        <v>0</v>
      </c>
      <c r="E5">
        <v>4713692</v>
      </c>
      <c r="G5">
        <v>1814098</v>
      </c>
      <c r="H5">
        <v>0</v>
      </c>
      <c r="I5">
        <v>0</v>
      </c>
      <c r="J5">
        <v>0</v>
      </c>
      <c r="K5">
        <v>0</v>
      </c>
      <c r="L5">
        <v>0</v>
      </c>
      <c r="N5">
        <v>0</v>
      </c>
      <c r="P5">
        <v>0</v>
      </c>
      <c r="Q5">
        <v>2914095</v>
      </c>
      <c r="R5">
        <v>0</v>
      </c>
      <c r="S5">
        <v>0</v>
      </c>
      <c r="T5">
        <v>0</v>
      </c>
      <c r="U5">
        <v>538798</v>
      </c>
      <c r="V5">
        <v>0</v>
      </c>
      <c r="W5">
        <v>96717</v>
      </c>
      <c r="X5">
        <v>485634</v>
      </c>
      <c r="Y5">
        <v>0</v>
      </c>
      <c r="Z5">
        <v>0</v>
      </c>
      <c r="AB5">
        <v>0</v>
      </c>
      <c r="AC5">
        <v>0</v>
      </c>
      <c r="AD5">
        <v>0</v>
      </c>
      <c r="AE5">
        <v>0</v>
      </c>
      <c r="AF5">
        <v>0</v>
      </c>
      <c r="AG5">
        <v>0</v>
      </c>
      <c r="AH5">
        <v>0</v>
      </c>
      <c r="AI5">
        <v>0</v>
      </c>
      <c r="AJ5">
        <v>0</v>
      </c>
      <c r="AK5">
        <v>0</v>
      </c>
      <c r="AL5">
        <v>0</v>
      </c>
      <c r="AM5">
        <v>0</v>
      </c>
      <c r="AN5">
        <v>0</v>
      </c>
      <c r="AP5">
        <v>0</v>
      </c>
      <c r="AQ5">
        <v>2556511</v>
      </c>
      <c r="AR5">
        <v>0</v>
      </c>
      <c r="AT5">
        <v>0</v>
      </c>
      <c r="AU5">
        <v>0</v>
      </c>
      <c r="AV5">
        <v>0</v>
      </c>
      <c r="AX5">
        <v>0</v>
      </c>
      <c r="AY5">
        <v>0</v>
      </c>
      <c r="BA5">
        <v>0</v>
      </c>
      <c r="BB5">
        <v>0</v>
      </c>
      <c r="BD5">
        <v>0</v>
      </c>
      <c r="BE5">
        <v>0</v>
      </c>
      <c r="BH5">
        <v>0</v>
      </c>
      <c r="BI5">
        <v>360965</v>
      </c>
      <c r="BJ5">
        <v>0</v>
      </c>
      <c r="BK5">
        <v>0</v>
      </c>
      <c r="BL5">
        <v>0</v>
      </c>
      <c r="BM5">
        <v>0</v>
      </c>
      <c r="BN5">
        <v>342573</v>
      </c>
      <c r="BO5">
        <v>0</v>
      </c>
      <c r="BP5">
        <v>0</v>
      </c>
      <c r="BQ5">
        <v>0</v>
      </c>
      <c r="BR5">
        <v>0</v>
      </c>
      <c r="BS5">
        <v>0</v>
      </c>
      <c r="BT5">
        <v>0</v>
      </c>
      <c r="BU5">
        <v>0</v>
      </c>
      <c r="BW5">
        <v>332750</v>
      </c>
      <c r="BX5">
        <v>0</v>
      </c>
      <c r="BY5">
        <v>0</v>
      </c>
      <c r="BZ5">
        <v>3071030</v>
      </c>
      <c r="CA5">
        <v>0</v>
      </c>
    </row>
    <row r="6" spans="1:79" x14ac:dyDescent="0.3">
      <c r="A6">
        <v>7</v>
      </c>
      <c r="B6" t="s">
        <v>193</v>
      </c>
      <c r="D6">
        <v>13062</v>
      </c>
      <c r="E6">
        <v>13174</v>
      </c>
      <c r="G6">
        <v>2129668</v>
      </c>
      <c r="H6">
        <v>74166</v>
      </c>
      <c r="I6">
        <v>0</v>
      </c>
      <c r="J6">
        <v>0</v>
      </c>
      <c r="K6">
        <v>0</v>
      </c>
      <c r="L6">
        <v>1222087</v>
      </c>
      <c r="N6">
        <v>0</v>
      </c>
      <c r="P6">
        <v>69666</v>
      </c>
      <c r="Q6">
        <v>233072</v>
      </c>
      <c r="R6">
        <v>488475</v>
      </c>
      <c r="S6">
        <v>50163</v>
      </c>
      <c r="T6">
        <v>1618</v>
      </c>
      <c r="U6">
        <v>98928</v>
      </c>
      <c r="V6">
        <v>0</v>
      </c>
      <c r="W6">
        <v>32620</v>
      </c>
      <c r="X6">
        <v>18100</v>
      </c>
      <c r="Y6">
        <v>58037</v>
      </c>
      <c r="Z6">
        <v>60965</v>
      </c>
      <c r="AB6">
        <v>2500</v>
      </c>
      <c r="AC6">
        <v>0</v>
      </c>
      <c r="AD6">
        <v>0</v>
      </c>
      <c r="AE6">
        <v>24296</v>
      </c>
      <c r="AF6">
        <v>0</v>
      </c>
      <c r="AG6">
        <v>0</v>
      </c>
      <c r="AH6">
        <v>0</v>
      </c>
      <c r="AI6">
        <v>0</v>
      </c>
      <c r="AJ6">
        <v>66107</v>
      </c>
      <c r="AK6">
        <v>5045</v>
      </c>
      <c r="AL6">
        <v>552</v>
      </c>
      <c r="AM6">
        <v>6060</v>
      </c>
      <c r="AN6">
        <v>7064</v>
      </c>
      <c r="AP6">
        <v>0</v>
      </c>
      <c r="AQ6">
        <v>90094</v>
      </c>
      <c r="AR6">
        <v>0</v>
      </c>
      <c r="AT6">
        <v>16378</v>
      </c>
      <c r="AU6">
        <v>14800</v>
      </c>
      <c r="AV6">
        <v>0</v>
      </c>
      <c r="AX6">
        <v>0</v>
      </c>
      <c r="AY6">
        <v>16242</v>
      </c>
      <c r="BA6">
        <v>0</v>
      </c>
      <c r="BB6">
        <v>0</v>
      </c>
      <c r="BD6">
        <v>0</v>
      </c>
      <c r="BE6">
        <v>173699</v>
      </c>
      <c r="BH6">
        <v>0</v>
      </c>
      <c r="BI6">
        <v>36130</v>
      </c>
      <c r="BJ6">
        <v>0</v>
      </c>
      <c r="BK6">
        <v>0</v>
      </c>
      <c r="BL6">
        <v>0</v>
      </c>
      <c r="BM6">
        <v>0</v>
      </c>
      <c r="BN6">
        <v>6956</v>
      </c>
      <c r="BO6">
        <v>0</v>
      </c>
      <c r="BP6">
        <v>0</v>
      </c>
      <c r="BQ6">
        <v>0</v>
      </c>
      <c r="BR6">
        <v>1300</v>
      </c>
      <c r="BS6">
        <v>126161</v>
      </c>
      <c r="BT6">
        <v>0</v>
      </c>
      <c r="BU6">
        <v>11253</v>
      </c>
      <c r="BW6">
        <v>0</v>
      </c>
      <c r="BX6">
        <v>0</v>
      </c>
      <c r="BY6">
        <v>0</v>
      </c>
      <c r="BZ6">
        <v>0</v>
      </c>
      <c r="CA6">
        <v>0</v>
      </c>
    </row>
    <row r="7" spans="1:79" x14ac:dyDescent="0.3">
      <c r="A7">
        <v>9</v>
      </c>
      <c r="B7" t="s">
        <v>195</v>
      </c>
      <c r="D7">
        <v>1080800</v>
      </c>
      <c r="E7">
        <v>29655569</v>
      </c>
      <c r="G7">
        <v>40551684</v>
      </c>
      <c r="H7">
        <v>4468125</v>
      </c>
      <c r="I7">
        <v>609362</v>
      </c>
      <c r="J7">
        <v>3718341</v>
      </c>
      <c r="K7">
        <v>1745963</v>
      </c>
      <c r="L7">
        <v>58301203</v>
      </c>
      <c r="N7">
        <v>1010420</v>
      </c>
      <c r="P7">
        <v>19909312</v>
      </c>
      <c r="Q7">
        <v>30615424</v>
      </c>
      <c r="R7">
        <v>4754748</v>
      </c>
      <c r="S7">
        <v>13510306</v>
      </c>
      <c r="T7">
        <v>581143</v>
      </c>
      <c r="U7">
        <v>16288930</v>
      </c>
      <c r="V7">
        <v>244759</v>
      </c>
      <c r="W7">
        <v>12193799</v>
      </c>
      <c r="X7">
        <v>13579538</v>
      </c>
      <c r="Y7">
        <v>7458813</v>
      </c>
      <c r="Z7">
        <v>3167431</v>
      </c>
      <c r="AB7">
        <v>2260511</v>
      </c>
      <c r="AC7">
        <v>407955</v>
      </c>
      <c r="AD7">
        <v>1874515</v>
      </c>
      <c r="AE7">
        <v>4121655</v>
      </c>
      <c r="AF7">
        <v>121004</v>
      </c>
      <c r="AG7">
        <v>79962</v>
      </c>
      <c r="AH7">
        <v>304995</v>
      </c>
      <c r="AI7">
        <v>2863180</v>
      </c>
      <c r="AJ7">
        <v>5789026</v>
      </c>
      <c r="AK7">
        <v>437970</v>
      </c>
      <c r="AL7">
        <v>142827</v>
      </c>
      <c r="AM7">
        <v>16123852</v>
      </c>
      <c r="AN7">
        <v>19211846</v>
      </c>
      <c r="AP7">
        <v>6021923</v>
      </c>
      <c r="AQ7">
        <v>20257108</v>
      </c>
      <c r="AR7">
        <v>1474807</v>
      </c>
      <c r="AT7">
        <v>4207078</v>
      </c>
      <c r="AU7">
        <v>11490337</v>
      </c>
      <c r="AV7">
        <v>309302</v>
      </c>
      <c r="AX7">
        <v>5979858</v>
      </c>
      <c r="AY7">
        <v>5977890</v>
      </c>
      <c r="BA7">
        <v>255184</v>
      </c>
      <c r="BB7">
        <v>3737187</v>
      </c>
      <c r="BD7">
        <v>394669</v>
      </c>
      <c r="BE7">
        <v>10305779</v>
      </c>
      <c r="BH7">
        <v>4048571</v>
      </c>
      <c r="BI7">
        <v>4942632</v>
      </c>
      <c r="BJ7">
        <v>715823</v>
      </c>
      <c r="BK7">
        <v>5011678</v>
      </c>
      <c r="BL7">
        <v>8435213</v>
      </c>
      <c r="BM7">
        <v>200137</v>
      </c>
      <c r="BN7">
        <v>6362095</v>
      </c>
      <c r="BO7">
        <v>6078696</v>
      </c>
      <c r="BP7">
        <v>1777262</v>
      </c>
      <c r="BQ7">
        <v>4025169</v>
      </c>
      <c r="BR7">
        <v>3391758</v>
      </c>
      <c r="BS7">
        <v>26262905</v>
      </c>
      <c r="BT7">
        <v>2880274</v>
      </c>
      <c r="BU7">
        <v>3156559</v>
      </c>
      <c r="BW7">
        <v>1772796</v>
      </c>
      <c r="BX7">
        <v>235858</v>
      </c>
      <c r="BY7">
        <v>230985</v>
      </c>
      <c r="BZ7">
        <v>20978011</v>
      </c>
      <c r="CA7">
        <v>63524</v>
      </c>
    </row>
    <row r="8" spans="1:79" x14ac:dyDescent="0.3">
      <c r="A8">
        <v>11</v>
      </c>
      <c r="B8" t="s">
        <v>194</v>
      </c>
      <c r="D8">
        <v>0</v>
      </c>
      <c r="E8">
        <v>2137026</v>
      </c>
      <c r="G8">
        <v>788706</v>
      </c>
      <c r="H8">
        <v>157156</v>
      </c>
      <c r="I8">
        <v>124056</v>
      </c>
      <c r="J8">
        <v>77747</v>
      </c>
      <c r="K8">
        <v>35605</v>
      </c>
      <c r="L8">
        <v>2515598</v>
      </c>
      <c r="N8">
        <v>80123</v>
      </c>
      <c r="P8">
        <v>0</v>
      </c>
      <c r="Q8">
        <v>19001</v>
      </c>
      <c r="R8">
        <v>87939</v>
      </c>
      <c r="S8">
        <v>150370</v>
      </c>
      <c r="T8">
        <v>142510</v>
      </c>
      <c r="U8">
        <v>0</v>
      </c>
      <c r="V8">
        <v>77237</v>
      </c>
      <c r="W8">
        <v>227774</v>
      </c>
      <c r="X8">
        <v>810962</v>
      </c>
      <c r="Y8">
        <v>16754</v>
      </c>
      <c r="Z8">
        <v>367616</v>
      </c>
      <c r="AB8">
        <v>323842</v>
      </c>
      <c r="AC8">
        <v>0</v>
      </c>
      <c r="AD8">
        <v>108257</v>
      </c>
      <c r="AE8">
        <v>548207</v>
      </c>
      <c r="AF8">
        <v>16739</v>
      </c>
      <c r="AG8">
        <v>10030</v>
      </c>
      <c r="AH8">
        <v>100520</v>
      </c>
      <c r="AI8">
        <v>71083</v>
      </c>
      <c r="AJ8">
        <v>258958</v>
      </c>
      <c r="AK8">
        <v>60147</v>
      </c>
      <c r="AL8">
        <v>0</v>
      </c>
      <c r="AM8">
        <v>88894</v>
      </c>
      <c r="AN8">
        <v>0</v>
      </c>
      <c r="AP8">
        <v>861266</v>
      </c>
      <c r="AQ8">
        <v>578723</v>
      </c>
      <c r="AR8">
        <v>274594</v>
      </c>
      <c r="AT8">
        <v>311948</v>
      </c>
      <c r="AU8">
        <v>361415</v>
      </c>
      <c r="AV8">
        <v>12433</v>
      </c>
      <c r="AX8">
        <v>5794</v>
      </c>
      <c r="AY8">
        <v>636595</v>
      </c>
      <c r="BA8">
        <v>6132</v>
      </c>
      <c r="BB8">
        <v>537795</v>
      </c>
      <c r="BD8">
        <v>1400</v>
      </c>
      <c r="BE8">
        <v>70491</v>
      </c>
      <c r="BH8">
        <v>37246</v>
      </c>
      <c r="BI8">
        <v>87495</v>
      </c>
      <c r="BJ8">
        <v>169571</v>
      </c>
      <c r="BK8">
        <v>190732</v>
      </c>
      <c r="BL8">
        <v>104031</v>
      </c>
      <c r="BM8">
        <v>0</v>
      </c>
      <c r="BN8">
        <v>372177</v>
      </c>
      <c r="BO8">
        <v>213880</v>
      </c>
      <c r="BP8">
        <v>184886</v>
      </c>
      <c r="BQ8">
        <v>175558</v>
      </c>
      <c r="BR8">
        <v>193014</v>
      </c>
      <c r="BS8">
        <v>195276</v>
      </c>
      <c r="BT8">
        <v>123685</v>
      </c>
      <c r="BU8">
        <v>198915</v>
      </c>
      <c r="BW8">
        <v>101101</v>
      </c>
      <c r="BX8">
        <v>16831</v>
      </c>
      <c r="BY8">
        <v>25159</v>
      </c>
      <c r="BZ8">
        <v>0</v>
      </c>
      <c r="CA8">
        <v>4400</v>
      </c>
    </row>
    <row r="9" spans="1:79" x14ac:dyDescent="0.3">
      <c r="A9">
        <v>16</v>
      </c>
      <c r="B9" t="s">
        <v>197</v>
      </c>
      <c r="D9">
        <v>2456045</v>
      </c>
      <c r="E9">
        <v>20689005</v>
      </c>
      <c r="G9">
        <v>56224740</v>
      </c>
      <c r="H9">
        <v>6235933</v>
      </c>
      <c r="I9">
        <v>386406</v>
      </c>
      <c r="J9">
        <v>2071346</v>
      </c>
      <c r="K9">
        <v>2272885</v>
      </c>
      <c r="L9">
        <v>65884442</v>
      </c>
      <c r="N9">
        <v>999769</v>
      </c>
      <c r="P9">
        <v>42281377</v>
      </c>
      <c r="Q9">
        <v>24160792</v>
      </c>
      <c r="R9">
        <v>8720653</v>
      </c>
      <c r="S9">
        <v>18978184</v>
      </c>
      <c r="T9">
        <v>231084</v>
      </c>
      <c r="U9">
        <v>23528300</v>
      </c>
      <c r="V9">
        <v>29409</v>
      </c>
      <c r="W9">
        <v>12172273</v>
      </c>
      <c r="X9">
        <v>25136421</v>
      </c>
      <c r="Y9">
        <v>8399355</v>
      </c>
      <c r="Z9">
        <v>2022790</v>
      </c>
      <c r="AB9">
        <v>1700235</v>
      </c>
      <c r="AC9">
        <v>417542</v>
      </c>
      <c r="AD9">
        <v>1422155</v>
      </c>
      <c r="AE9">
        <v>4633438</v>
      </c>
      <c r="AF9">
        <v>133239</v>
      </c>
      <c r="AG9">
        <v>60940</v>
      </c>
      <c r="AH9">
        <v>112171</v>
      </c>
      <c r="AI9">
        <v>3565783</v>
      </c>
      <c r="AJ9">
        <v>8954030</v>
      </c>
      <c r="AK9">
        <v>454498</v>
      </c>
      <c r="AL9">
        <v>29618</v>
      </c>
      <c r="AM9">
        <v>32549922</v>
      </c>
      <c r="AN9">
        <v>23704724</v>
      </c>
      <c r="AP9">
        <v>5957994</v>
      </c>
      <c r="AQ9">
        <v>26753623</v>
      </c>
      <c r="AR9">
        <v>3393848</v>
      </c>
      <c r="AT9">
        <v>7256602</v>
      </c>
      <c r="AU9">
        <v>15228964</v>
      </c>
      <c r="AV9">
        <v>142922</v>
      </c>
      <c r="AX9">
        <v>5934171</v>
      </c>
      <c r="AY9">
        <v>5127762</v>
      </c>
      <c r="BA9">
        <v>113593</v>
      </c>
      <c r="BB9">
        <v>3379635</v>
      </c>
      <c r="BD9">
        <v>114614</v>
      </c>
      <c r="BE9">
        <v>27402697</v>
      </c>
      <c r="BH9">
        <v>3946213</v>
      </c>
      <c r="BI9">
        <v>3703821</v>
      </c>
      <c r="BJ9">
        <v>830004</v>
      </c>
      <c r="BK9">
        <v>11347308</v>
      </c>
      <c r="BL9">
        <v>5940553</v>
      </c>
      <c r="BM9">
        <v>46068</v>
      </c>
      <c r="BN9">
        <v>9331990</v>
      </c>
      <c r="BO9">
        <v>3734566</v>
      </c>
      <c r="BP9">
        <v>1359561</v>
      </c>
      <c r="BQ9">
        <v>3362938</v>
      </c>
      <c r="BR9">
        <v>2735873</v>
      </c>
      <c r="BS9">
        <v>29247447</v>
      </c>
      <c r="BT9">
        <v>2740775</v>
      </c>
      <c r="BU9">
        <v>4336751</v>
      </c>
      <c r="BW9">
        <v>1090010</v>
      </c>
      <c r="BX9">
        <v>63112</v>
      </c>
      <c r="BY9">
        <v>54047</v>
      </c>
      <c r="BZ9">
        <v>26554380</v>
      </c>
      <c r="CA9">
        <v>69927</v>
      </c>
    </row>
    <row r="10" spans="1:79" x14ac:dyDescent="0.3">
      <c r="A10">
        <v>17</v>
      </c>
      <c r="B10" t="s">
        <v>200</v>
      </c>
      <c r="D10">
        <v>0</v>
      </c>
      <c r="E10">
        <v>6325694</v>
      </c>
      <c r="G10">
        <v>2473142</v>
      </c>
      <c r="H10">
        <v>1466479</v>
      </c>
      <c r="I10">
        <v>0</v>
      </c>
      <c r="J10">
        <v>488564</v>
      </c>
      <c r="K10">
        <v>405915</v>
      </c>
      <c r="L10">
        <v>0</v>
      </c>
      <c r="N10">
        <v>0</v>
      </c>
      <c r="P10">
        <v>0</v>
      </c>
      <c r="Q10">
        <v>2363588</v>
      </c>
      <c r="R10">
        <v>493059</v>
      </c>
      <c r="S10">
        <v>2752659</v>
      </c>
      <c r="T10">
        <v>0</v>
      </c>
      <c r="U10">
        <v>3138290</v>
      </c>
      <c r="V10">
        <v>0</v>
      </c>
      <c r="W10">
        <v>0</v>
      </c>
      <c r="X10">
        <v>5100000</v>
      </c>
      <c r="Y10">
        <v>0</v>
      </c>
      <c r="Z10">
        <v>20000</v>
      </c>
      <c r="AB10">
        <v>448661</v>
      </c>
      <c r="AC10">
        <v>0</v>
      </c>
      <c r="AD10">
        <v>0</v>
      </c>
      <c r="AE10">
        <v>877420</v>
      </c>
      <c r="AF10">
        <v>24380</v>
      </c>
      <c r="AG10">
        <v>0</v>
      </c>
      <c r="AH10">
        <v>1883</v>
      </c>
      <c r="AI10">
        <v>0</v>
      </c>
      <c r="AJ10">
        <v>3084618</v>
      </c>
      <c r="AK10">
        <v>34554</v>
      </c>
      <c r="AL10">
        <v>17528</v>
      </c>
      <c r="AM10">
        <v>10488351</v>
      </c>
      <c r="AN10">
        <v>0</v>
      </c>
      <c r="AP10">
        <v>1105603</v>
      </c>
      <c r="AQ10">
        <v>2345372</v>
      </c>
      <c r="AR10">
        <v>198387</v>
      </c>
      <c r="AT10">
        <v>0</v>
      </c>
      <c r="AU10">
        <v>3204393</v>
      </c>
      <c r="AV10">
        <v>0</v>
      </c>
      <c r="AX10">
        <v>0</v>
      </c>
      <c r="AY10">
        <v>1635178</v>
      </c>
      <c r="BA10">
        <v>0</v>
      </c>
      <c r="BB10">
        <v>0</v>
      </c>
      <c r="BD10">
        <v>0</v>
      </c>
      <c r="BE10">
        <v>3483605</v>
      </c>
      <c r="BH10">
        <v>52</v>
      </c>
      <c r="BI10">
        <v>0</v>
      </c>
      <c r="BJ10">
        <v>0</v>
      </c>
      <c r="BK10">
        <v>700953</v>
      </c>
      <c r="BL10">
        <v>466764</v>
      </c>
      <c r="BM10">
        <v>0</v>
      </c>
      <c r="BN10">
        <v>555055</v>
      </c>
      <c r="BO10">
        <v>404135</v>
      </c>
      <c r="BP10">
        <v>0</v>
      </c>
      <c r="BQ10">
        <v>835886</v>
      </c>
      <c r="BR10">
        <v>0</v>
      </c>
      <c r="BS10">
        <v>5824249</v>
      </c>
      <c r="BT10">
        <v>0</v>
      </c>
      <c r="BU10">
        <v>0</v>
      </c>
      <c r="BW10">
        <v>107242</v>
      </c>
      <c r="BX10">
        <v>0</v>
      </c>
      <c r="BY10">
        <v>0</v>
      </c>
      <c r="BZ10">
        <v>0</v>
      </c>
      <c r="CA10">
        <v>0</v>
      </c>
    </row>
    <row r="11" spans="1:79" x14ac:dyDescent="0.3">
      <c r="A11">
        <v>20</v>
      </c>
      <c r="B11" t="s">
        <v>201</v>
      </c>
      <c r="D11">
        <v>0</v>
      </c>
      <c r="E11">
        <v>5040646</v>
      </c>
      <c r="G11">
        <v>12202326</v>
      </c>
      <c r="H11">
        <v>51985</v>
      </c>
      <c r="I11">
        <v>0</v>
      </c>
      <c r="J11">
        <v>16000</v>
      </c>
      <c r="K11">
        <v>0</v>
      </c>
      <c r="L11">
        <v>388777</v>
      </c>
      <c r="N11">
        <v>0</v>
      </c>
      <c r="P11">
        <v>523727</v>
      </c>
      <c r="Q11">
        <v>0</v>
      </c>
      <c r="R11">
        <v>0</v>
      </c>
      <c r="S11">
        <v>1350440</v>
      </c>
      <c r="T11">
        <v>0</v>
      </c>
      <c r="U11">
        <v>0</v>
      </c>
      <c r="V11">
        <v>0</v>
      </c>
      <c r="W11">
        <v>4491657</v>
      </c>
      <c r="X11">
        <v>5641212</v>
      </c>
      <c r="Y11">
        <v>321931</v>
      </c>
      <c r="Z11">
        <v>40650</v>
      </c>
      <c r="AB11">
        <v>0</v>
      </c>
      <c r="AC11">
        <v>44623</v>
      </c>
      <c r="AD11">
        <v>0</v>
      </c>
      <c r="AE11">
        <v>0</v>
      </c>
      <c r="AF11">
        <v>0</v>
      </c>
      <c r="AG11">
        <v>0</v>
      </c>
      <c r="AH11">
        <v>0</v>
      </c>
      <c r="AI11">
        <v>425000</v>
      </c>
      <c r="AJ11">
        <v>333012</v>
      </c>
      <c r="AK11">
        <v>0</v>
      </c>
      <c r="AL11">
        <v>0</v>
      </c>
      <c r="AM11">
        <v>11157870</v>
      </c>
      <c r="AN11">
        <v>0</v>
      </c>
      <c r="AP11">
        <v>2502914</v>
      </c>
      <c r="AQ11">
        <v>3040285</v>
      </c>
      <c r="AR11">
        <v>0</v>
      </c>
      <c r="AT11">
        <v>202718</v>
      </c>
      <c r="AU11">
        <v>0</v>
      </c>
      <c r="AV11">
        <v>0</v>
      </c>
      <c r="AX11">
        <v>0</v>
      </c>
      <c r="AY11">
        <v>0</v>
      </c>
      <c r="BA11">
        <v>12756</v>
      </c>
      <c r="BB11">
        <v>0</v>
      </c>
      <c r="BD11">
        <v>0</v>
      </c>
      <c r="BE11">
        <v>0</v>
      </c>
      <c r="BH11">
        <v>1984</v>
      </c>
      <c r="BI11">
        <v>0</v>
      </c>
      <c r="BJ11">
        <v>0</v>
      </c>
      <c r="BK11">
        <v>1604342</v>
      </c>
      <c r="BL11">
        <v>0</v>
      </c>
      <c r="BM11">
        <v>0</v>
      </c>
      <c r="BN11">
        <v>458070</v>
      </c>
      <c r="BO11">
        <v>47288</v>
      </c>
      <c r="BP11">
        <v>0</v>
      </c>
      <c r="BQ11">
        <v>0</v>
      </c>
      <c r="BR11">
        <v>0</v>
      </c>
      <c r="BS11">
        <v>908791</v>
      </c>
      <c r="BT11">
        <v>0</v>
      </c>
      <c r="BU11">
        <v>0</v>
      </c>
      <c r="BW11">
        <v>0</v>
      </c>
      <c r="BX11">
        <v>0</v>
      </c>
      <c r="BY11">
        <v>0</v>
      </c>
      <c r="BZ11">
        <v>1786840</v>
      </c>
      <c r="CA11">
        <v>0</v>
      </c>
    </row>
    <row r="12" spans="1:79" x14ac:dyDescent="0.3">
      <c r="A12">
        <v>22</v>
      </c>
      <c r="B12" t="s">
        <v>203</v>
      </c>
      <c r="D12">
        <v>0</v>
      </c>
      <c r="E12">
        <v>673930</v>
      </c>
      <c r="G12">
        <v>1243769</v>
      </c>
      <c r="H12">
        <v>3250</v>
      </c>
      <c r="I12">
        <v>0</v>
      </c>
      <c r="J12">
        <v>0</v>
      </c>
      <c r="K12">
        <v>0</v>
      </c>
      <c r="L12">
        <v>0</v>
      </c>
      <c r="N12">
        <v>0</v>
      </c>
      <c r="P12">
        <v>140113</v>
      </c>
      <c r="Q12">
        <v>115065</v>
      </c>
      <c r="R12">
        <v>58017</v>
      </c>
      <c r="S12">
        <v>0</v>
      </c>
      <c r="T12">
        <v>0</v>
      </c>
      <c r="U12">
        <v>0</v>
      </c>
      <c r="V12">
        <v>0</v>
      </c>
      <c r="W12">
        <v>0</v>
      </c>
      <c r="X12">
        <v>79601</v>
      </c>
      <c r="Y12">
        <v>0</v>
      </c>
      <c r="Z12">
        <v>175000</v>
      </c>
      <c r="AB12">
        <v>0</v>
      </c>
      <c r="AC12">
        <v>0</v>
      </c>
      <c r="AD12">
        <v>0</v>
      </c>
      <c r="AE12">
        <v>0</v>
      </c>
      <c r="AF12">
        <v>0</v>
      </c>
      <c r="AG12">
        <v>0</v>
      </c>
      <c r="AH12">
        <v>0</v>
      </c>
      <c r="AI12">
        <v>22042</v>
      </c>
      <c r="AJ12">
        <v>89960</v>
      </c>
      <c r="AK12">
        <v>0</v>
      </c>
      <c r="AL12">
        <v>0</v>
      </c>
      <c r="AM12">
        <v>1740722</v>
      </c>
      <c r="AN12">
        <v>0</v>
      </c>
      <c r="AP12">
        <v>0</v>
      </c>
      <c r="AQ12">
        <v>6935825</v>
      </c>
      <c r="AR12">
        <v>146995</v>
      </c>
      <c r="AT12">
        <v>0</v>
      </c>
      <c r="AU12">
        <v>0</v>
      </c>
      <c r="AV12">
        <v>0</v>
      </c>
      <c r="AX12">
        <v>0</v>
      </c>
      <c r="AY12">
        <v>0</v>
      </c>
      <c r="BA12">
        <v>0</v>
      </c>
      <c r="BB12">
        <v>465000</v>
      </c>
      <c r="BD12">
        <v>0</v>
      </c>
      <c r="BE12">
        <v>0</v>
      </c>
      <c r="BH12">
        <v>0</v>
      </c>
      <c r="BI12">
        <v>0</v>
      </c>
      <c r="BJ12">
        <v>0</v>
      </c>
      <c r="BK12">
        <v>421374</v>
      </c>
      <c r="BL12">
        <v>0</v>
      </c>
      <c r="BM12">
        <v>0</v>
      </c>
      <c r="BN12">
        <v>42689</v>
      </c>
      <c r="BO12">
        <v>7251</v>
      </c>
      <c r="BP12">
        <v>0</v>
      </c>
      <c r="BQ12">
        <v>31066</v>
      </c>
      <c r="BR12">
        <v>0</v>
      </c>
      <c r="BS12">
        <v>315726</v>
      </c>
      <c r="BT12">
        <v>0</v>
      </c>
      <c r="BU12">
        <v>0</v>
      </c>
      <c r="BW12">
        <v>0</v>
      </c>
      <c r="BX12">
        <v>0</v>
      </c>
      <c r="BY12">
        <v>0</v>
      </c>
      <c r="BZ12">
        <v>48129</v>
      </c>
      <c r="CA12">
        <v>0</v>
      </c>
    </row>
    <row r="13" spans="1:79" x14ac:dyDescent="0.3">
      <c r="A13">
        <v>23</v>
      </c>
      <c r="B13" t="s">
        <v>206</v>
      </c>
      <c r="D13">
        <v>204682</v>
      </c>
      <c r="E13">
        <v>2292783</v>
      </c>
      <c r="G13">
        <v>394926</v>
      </c>
      <c r="H13">
        <v>84699</v>
      </c>
      <c r="I13">
        <v>4227</v>
      </c>
      <c r="J13">
        <v>952997</v>
      </c>
      <c r="K13">
        <v>85439</v>
      </c>
      <c r="L13">
        <v>3686232</v>
      </c>
      <c r="N13">
        <v>93245</v>
      </c>
      <c r="P13">
        <v>-2837731</v>
      </c>
      <c r="Q13">
        <v>1499001</v>
      </c>
      <c r="R13">
        <v>889383</v>
      </c>
      <c r="S13">
        <v>1840549</v>
      </c>
      <c r="T13">
        <v>96274</v>
      </c>
      <c r="U13">
        <v>2556799</v>
      </c>
      <c r="V13">
        <v>-14063</v>
      </c>
      <c r="W13">
        <v>-2079111</v>
      </c>
      <c r="X13">
        <v>388540</v>
      </c>
      <c r="Y13">
        <v>446810</v>
      </c>
      <c r="Z13">
        <v>504241</v>
      </c>
      <c r="AB13">
        <v>557635</v>
      </c>
      <c r="AC13">
        <v>74878</v>
      </c>
      <c r="AD13">
        <v>27973</v>
      </c>
      <c r="AE13">
        <v>1460904</v>
      </c>
      <c r="AF13">
        <v>-25343</v>
      </c>
      <c r="AG13">
        <v>-8998</v>
      </c>
      <c r="AH13">
        <v>38350</v>
      </c>
      <c r="AI13">
        <v>115321</v>
      </c>
      <c r="AJ13">
        <v>1593148</v>
      </c>
      <c r="AK13">
        <v>4960</v>
      </c>
      <c r="AL13">
        <v>16707</v>
      </c>
      <c r="AM13">
        <v>1636370</v>
      </c>
      <c r="AN13">
        <v>2246250</v>
      </c>
      <c r="AP13">
        <v>-1921211</v>
      </c>
      <c r="AQ13">
        <v>6415650</v>
      </c>
      <c r="AR13">
        <v>-1316208</v>
      </c>
      <c r="AT13">
        <v>1077485</v>
      </c>
      <c r="AU13" s="566">
        <v>4506352</v>
      </c>
      <c r="AV13">
        <v>60062</v>
      </c>
      <c r="AX13">
        <v>1915189</v>
      </c>
      <c r="AY13">
        <v>2015547</v>
      </c>
      <c r="BA13">
        <v>42637</v>
      </c>
      <c r="BB13">
        <v>859948</v>
      </c>
      <c r="BD13">
        <v>-14055</v>
      </c>
      <c r="BE13">
        <v>2260011</v>
      </c>
      <c r="BH13">
        <v>524158</v>
      </c>
      <c r="BI13">
        <v>7106</v>
      </c>
      <c r="BJ13">
        <v>-34081</v>
      </c>
      <c r="BK13">
        <v>-160933</v>
      </c>
      <c r="BL13">
        <v>919841</v>
      </c>
      <c r="BM13">
        <v>17472</v>
      </c>
      <c r="BN13">
        <v>516413</v>
      </c>
      <c r="BO13">
        <v>826969</v>
      </c>
      <c r="BP13">
        <v>-66497</v>
      </c>
      <c r="BQ13">
        <v>1565586</v>
      </c>
      <c r="BR13">
        <v>646556</v>
      </c>
      <c r="BS13">
        <v>7143582</v>
      </c>
      <c r="BT13">
        <v>337149</v>
      </c>
      <c r="BU13">
        <v>440527</v>
      </c>
      <c r="BW13">
        <v>86385</v>
      </c>
      <c r="BX13">
        <v>16107</v>
      </c>
      <c r="BY13">
        <v>13884</v>
      </c>
      <c r="BZ13">
        <v>249999</v>
      </c>
      <c r="CA13">
        <v>-38731</v>
      </c>
    </row>
    <row r="14" spans="1:79" x14ac:dyDescent="0.3">
      <c r="A14">
        <v>44</v>
      </c>
      <c r="B14" t="s">
        <v>878</v>
      </c>
      <c r="D14">
        <v>0</v>
      </c>
      <c r="E14">
        <v>0</v>
      </c>
      <c r="G14">
        <v>64791746</v>
      </c>
      <c r="H14">
        <v>9437115</v>
      </c>
      <c r="I14">
        <v>502407</v>
      </c>
      <c r="J14">
        <v>6673940</v>
      </c>
      <c r="K14">
        <v>1017247</v>
      </c>
      <c r="L14">
        <v>19220987</v>
      </c>
      <c r="N14">
        <v>1936483</v>
      </c>
      <c r="P14">
        <v>0</v>
      </c>
      <c r="Q14">
        <v>11096710</v>
      </c>
      <c r="R14">
        <v>8586498</v>
      </c>
      <c r="S14">
        <v>6565533</v>
      </c>
      <c r="T14">
        <v>69013</v>
      </c>
      <c r="U14">
        <v>15821094</v>
      </c>
      <c r="V14">
        <v>0</v>
      </c>
      <c r="W14">
        <v>0</v>
      </c>
      <c r="X14">
        <v>0</v>
      </c>
      <c r="Y14">
        <v>4266544</v>
      </c>
      <c r="Z14">
        <v>2365737</v>
      </c>
      <c r="AB14">
        <v>0</v>
      </c>
      <c r="AC14">
        <v>120470</v>
      </c>
      <c r="AD14">
        <v>2461592</v>
      </c>
      <c r="AE14">
        <v>2724451</v>
      </c>
      <c r="AF14">
        <v>40730</v>
      </c>
      <c r="AG14">
        <v>0</v>
      </c>
      <c r="AH14">
        <v>0</v>
      </c>
      <c r="AI14">
        <v>0</v>
      </c>
      <c r="AJ14">
        <v>3085652</v>
      </c>
      <c r="AK14">
        <v>110058</v>
      </c>
      <c r="AL14">
        <v>0</v>
      </c>
      <c r="AM14">
        <v>0</v>
      </c>
      <c r="AN14">
        <v>13914821</v>
      </c>
      <c r="AP14">
        <v>0</v>
      </c>
      <c r="AQ14">
        <v>9053943</v>
      </c>
      <c r="AR14">
        <v>773259</v>
      </c>
      <c r="AT14">
        <v>1407419</v>
      </c>
      <c r="AU14">
        <v>8128788</v>
      </c>
      <c r="AV14">
        <v>1573069</v>
      </c>
      <c r="AX14">
        <v>5258317</v>
      </c>
      <c r="AY14">
        <v>1711327</v>
      </c>
      <c r="BA14">
        <v>1401</v>
      </c>
      <c r="BB14">
        <v>1089540</v>
      </c>
      <c r="BD14">
        <v>0</v>
      </c>
      <c r="BE14">
        <v>10296849</v>
      </c>
      <c r="BH14">
        <v>1191774</v>
      </c>
      <c r="BI14">
        <v>2916444</v>
      </c>
      <c r="BJ14">
        <v>65078</v>
      </c>
      <c r="BK14">
        <v>5500102</v>
      </c>
      <c r="BL14">
        <v>4401812</v>
      </c>
      <c r="BM14">
        <v>0</v>
      </c>
      <c r="BN14">
        <v>3042687</v>
      </c>
      <c r="BO14">
        <v>4804091</v>
      </c>
      <c r="BP14">
        <v>1328074</v>
      </c>
      <c r="BQ14">
        <v>3191915</v>
      </c>
      <c r="BR14">
        <v>0</v>
      </c>
      <c r="BS14">
        <v>0</v>
      </c>
      <c r="BT14">
        <v>1195684</v>
      </c>
      <c r="BU14">
        <v>5803929</v>
      </c>
      <c r="BW14">
        <v>2176122</v>
      </c>
      <c r="BX14">
        <v>0</v>
      </c>
      <c r="BY14">
        <v>0</v>
      </c>
      <c r="BZ14">
        <v>12097808</v>
      </c>
      <c r="CA14">
        <v>0</v>
      </c>
    </row>
    <row r="15" spans="1:79" x14ac:dyDescent="0.3">
      <c r="A15">
        <v>45</v>
      </c>
      <c r="B15" t="s">
        <v>879</v>
      </c>
      <c r="D15">
        <v>0</v>
      </c>
      <c r="E15">
        <v>0</v>
      </c>
      <c r="G15">
        <v>16414083</v>
      </c>
      <c r="H15">
        <v>329498</v>
      </c>
      <c r="I15">
        <v>34361</v>
      </c>
      <c r="J15">
        <v>2094</v>
      </c>
      <c r="K15">
        <v>132554</v>
      </c>
      <c r="L15">
        <v>5709805</v>
      </c>
      <c r="N15">
        <v>23337</v>
      </c>
      <c r="P15">
        <v>0</v>
      </c>
      <c r="Q15">
        <v>948139</v>
      </c>
      <c r="R15">
        <v>967196</v>
      </c>
      <c r="S15">
        <v>2089296</v>
      </c>
      <c r="T15">
        <v>129966</v>
      </c>
      <c r="U15">
        <v>2387395</v>
      </c>
      <c r="V15">
        <v>0</v>
      </c>
      <c r="W15">
        <v>0</v>
      </c>
      <c r="X15">
        <v>0</v>
      </c>
      <c r="Y15">
        <v>512125</v>
      </c>
      <c r="Z15">
        <v>57194</v>
      </c>
      <c r="AB15">
        <v>0</v>
      </c>
      <c r="AC15">
        <v>25378</v>
      </c>
      <c r="AD15">
        <v>244299</v>
      </c>
      <c r="AE15">
        <v>327870</v>
      </c>
      <c r="AF15">
        <v>0</v>
      </c>
      <c r="AG15">
        <v>0</v>
      </c>
      <c r="AH15">
        <v>0</v>
      </c>
      <c r="AI15">
        <v>0</v>
      </c>
      <c r="AJ15">
        <v>1879221</v>
      </c>
      <c r="AK15">
        <v>2976</v>
      </c>
      <c r="AL15">
        <v>0</v>
      </c>
      <c r="AM15">
        <v>0</v>
      </c>
      <c r="AN15">
        <v>2018520</v>
      </c>
      <c r="AP15">
        <v>0</v>
      </c>
      <c r="AQ15">
        <v>1125615</v>
      </c>
      <c r="AR15">
        <v>176738</v>
      </c>
      <c r="AT15">
        <v>143471</v>
      </c>
      <c r="AU15">
        <v>498205</v>
      </c>
      <c r="AV15">
        <v>47936</v>
      </c>
      <c r="AX15">
        <v>90297</v>
      </c>
      <c r="AY15">
        <v>79187</v>
      </c>
      <c r="BA15">
        <v>38216</v>
      </c>
      <c r="BB15">
        <v>192838</v>
      </c>
      <c r="BD15">
        <v>0</v>
      </c>
      <c r="BE15">
        <v>922494</v>
      </c>
      <c r="BH15">
        <v>474319</v>
      </c>
      <c r="BI15">
        <v>197825</v>
      </c>
      <c r="BJ15">
        <v>19292</v>
      </c>
      <c r="BK15">
        <v>192146</v>
      </c>
      <c r="BL15">
        <v>146428</v>
      </c>
      <c r="BM15">
        <v>0</v>
      </c>
      <c r="BN15">
        <v>391412</v>
      </c>
      <c r="BO15">
        <v>53510</v>
      </c>
      <c r="BP15">
        <v>25604</v>
      </c>
      <c r="BQ15">
        <v>207051</v>
      </c>
      <c r="BR15">
        <v>0</v>
      </c>
      <c r="BS15">
        <v>0</v>
      </c>
      <c r="BT15">
        <v>146107</v>
      </c>
      <c r="BU15">
        <v>1218977</v>
      </c>
      <c r="BW15">
        <v>176665</v>
      </c>
      <c r="BX15">
        <v>0</v>
      </c>
      <c r="BY15">
        <v>0</v>
      </c>
      <c r="BZ15">
        <v>3876715</v>
      </c>
      <c r="CA15">
        <v>0</v>
      </c>
    </row>
    <row r="16" spans="1:79" x14ac:dyDescent="0.3">
      <c r="A16">
        <v>47</v>
      </c>
      <c r="B16" t="s">
        <v>880</v>
      </c>
      <c r="D16">
        <v>0</v>
      </c>
      <c r="E16">
        <v>0</v>
      </c>
      <c r="G16">
        <v>0</v>
      </c>
      <c r="H16">
        <v>0</v>
      </c>
      <c r="I16">
        <v>0</v>
      </c>
      <c r="J16">
        <v>0</v>
      </c>
      <c r="K16">
        <v>0</v>
      </c>
      <c r="L16">
        <v>0</v>
      </c>
      <c r="N16">
        <v>0</v>
      </c>
      <c r="P16">
        <v>0</v>
      </c>
      <c r="Q16">
        <v>0</v>
      </c>
      <c r="R16">
        <v>0</v>
      </c>
      <c r="S16">
        <v>6574857</v>
      </c>
      <c r="T16">
        <v>0</v>
      </c>
      <c r="U16">
        <v>48206437</v>
      </c>
      <c r="V16">
        <v>0</v>
      </c>
      <c r="W16">
        <v>0</v>
      </c>
      <c r="X16">
        <v>0</v>
      </c>
      <c r="Y16">
        <v>0</v>
      </c>
      <c r="Z16">
        <v>1533368</v>
      </c>
      <c r="AB16">
        <v>0</v>
      </c>
      <c r="AC16">
        <v>0</v>
      </c>
      <c r="AD16">
        <v>0</v>
      </c>
      <c r="AE16">
        <v>3097861</v>
      </c>
      <c r="AF16">
        <v>0</v>
      </c>
      <c r="AG16">
        <v>0</v>
      </c>
      <c r="AH16">
        <v>0</v>
      </c>
      <c r="AI16">
        <v>0</v>
      </c>
      <c r="AJ16">
        <v>4366490</v>
      </c>
      <c r="AK16">
        <v>0</v>
      </c>
      <c r="AL16">
        <v>0</v>
      </c>
      <c r="AM16">
        <v>0</v>
      </c>
      <c r="AN16">
        <v>0</v>
      </c>
      <c r="AP16">
        <v>0</v>
      </c>
      <c r="AQ16">
        <v>25273455</v>
      </c>
      <c r="AR16">
        <v>0</v>
      </c>
      <c r="AT16">
        <v>0</v>
      </c>
      <c r="AU16">
        <v>4110362</v>
      </c>
      <c r="AV16">
        <v>0</v>
      </c>
      <c r="AX16">
        <v>0</v>
      </c>
      <c r="AY16">
        <v>0</v>
      </c>
      <c r="BA16">
        <v>0</v>
      </c>
      <c r="BB16">
        <v>0</v>
      </c>
      <c r="BD16">
        <v>0</v>
      </c>
      <c r="BE16">
        <v>17165724</v>
      </c>
      <c r="BH16">
        <v>0</v>
      </c>
      <c r="BI16">
        <v>0</v>
      </c>
      <c r="BJ16">
        <v>0</v>
      </c>
      <c r="BK16">
        <v>3867914</v>
      </c>
      <c r="BL16">
        <v>0</v>
      </c>
      <c r="BM16">
        <v>0</v>
      </c>
      <c r="BN16">
        <v>0</v>
      </c>
      <c r="BO16">
        <v>0</v>
      </c>
      <c r="BP16">
        <v>0</v>
      </c>
      <c r="BQ16">
        <v>0</v>
      </c>
      <c r="BR16">
        <v>0</v>
      </c>
      <c r="BS16">
        <v>0</v>
      </c>
      <c r="BT16">
        <v>0</v>
      </c>
      <c r="BU16">
        <v>0</v>
      </c>
      <c r="BW16">
        <v>0</v>
      </c>
      <c r="BX16">
        <v>0</v>
      </c>
      <c r="BY16">
        <v>0</v>
      </c>
      <c r="BZ16">
        <v>0</v>
      </c>
      <c r="CA16">
        <v>0</v>
      </c>
    </row>
    <row r="17" spans="1:79" x14ac:dyDescent="0.3">
      <c r="A17">
        <v>48</v>
      </c>
      <c r="B17" t="s">
        <v>115</v>
      </c>
      <c r="D17">
        <v>0</v>
      </c>
      <c r="E17">
        <v>0</v>
      </c>
      <c r="G17">
        <v>0</v>
      </c>
      <c r="H17">
        <v>0</v>
      </c>
      <c r="I17">
        <v>0</v>
      </c>
      <c r="J17">
        <v>0</v>
      </c>
      <c r="K17">
        <v>0</v>
      </c>
      <c r="L17">
        <v>0</v>
      </c>
      <c r="N17">
        <v>0</v>
      </c>
      <c r="P17">
        <v>0</v>
      </c>
      <c r="Q17">
        <v>0</v>
      </c>
      <c r="R17">
        <v>0</v>
      </c>
      <c r="S17">
        <v>1693819</v>
      </c>
      <c r="T17">
        <v>0</v>
      </c>
      <c r="U17">
        <v>1841616</v>
      </c>
      <c r="V17">
        <v>0</v>
      </c>
      <c r="W17">
        <v>0</v>
      </c>
      <c r="X17">
        <v>0</v>
      </c>
      <c r="Y17">
        <v>0</v>
      </c>
      <c r="Z17">
        <v>797833</v>
      </c>
      <c r="AB17">
        <v>0</v>
      </c>
      <c r="AC17">
        <v>0</v>
      </c>
      <c r="AD17">
        <v>0</v>
      </c>
      <c r="AE17">
        <v>396133</v>
      </c>
      <c r="AF17">
        <v>0</v>
      </c>
      <c r="AG17">
        <v>0</v>
      </c>
      <c r="AH17">
        <v>0</v>
      </c>
      <c r="AI17">
        <v>0</v>
      </c>
      <c r="AJ17">
        <v>1973446</v>
      </c>
      <c r="AK17">
        <v>0</v>
      </c>
      <c r="AL17">
        <v>0</v>
      </c>
      <c r="AM17">
        <v>0</v>
      </c>
      <c r="AN17">
        <v>0</v>
      </c>
      <c r="AP17">
        <v>0</v>
      </c>
      <c r="AQ17">
        <v>4042201</v>
      </c>
      <c r="AR17">
        <v>0</v>
      </c>
      <c r="AT17">
        <v>0</v>
      </c>
      <c r="AU17">
        <v>528177</v>
      </c>
      <c r="AV17">
        <v>0</v>
      </c>
      <c r="AX17">
        <v>0</v>
      </c>
      <c r="AY17">
        <v>0</v>
      </c>
      <c r="BA17">
        <v>0</v>
      </c>
      <c r="BB17">
        <v>0</v>
      </c>
      <c r="BD17">
        <v>0</v>
      </c>
      <c r="BE17">
        <v>3779222</v>
      </c>
      <c r="BH17">
        <v>0</v>
      </c>
      <c r="BI17">
        <v>0</v>
      </c>
      <c r="BJ17">
        <v>0</v>
      </c>
      <c r="BK17">
        <v>164790</v>
      </c>
      <c r="BL17">
        <v>0</v>
      </c>
      <c r="BM17">
        <v>0</v>
      </c>
      <c r="BN17">
        <v>0</v>
      </c>
      <c r="BO17">
        <v>0</v>
      </c>
      <c r="BP17">
        <v>0</v>
      </c>
      <c r="BQ17">
        <v>0</v>
      </c>
      <c r="BR17">
        <v>0</v>
      </c>
      <c r="BS17">
        <v>0</v>
      </c>
      <c r="BT17">
        <v>0</v>
      </c>
      <c r="BU17">
        <v>0</v>
      </c>
      <c r="BW17">
        <v>0</v>
      </c>
      <c r="BX17">
        <v>0</v>
      </c>
      <c r="BY17">
        <v>0</v>
      </c>
      <c r="BZ17">
        <v>0</v>
      </c>
      <c r="CA17">
        <v>0</v>
      </c>
    </row>
    <row r="18" spans="1:79" x14ac:dyDescent="0.3">
      <c r="A18">
        <v>49</v>
      </c>
      <c r="B18" t="s">
        <v>219</v>
      </c>
      <c r="D18">
        <v>0</v>
      </c>
      <c r="E18">
        <v>0</v>
      </c>
      <c r="G18">
        <v>8529323</v>
      </c>
      <c r="H18">
        <v>754628</v>
      </c>
      <c r="I18">
        <v>40597</v>
      </c>
      <c r="J18">
        <v>233111</v>
      </c>
      <c r="K18">
        <v>174415</v>
      </c>
      <c r="L18">
        <v>3794455</v>
      </c>
      <c r="N18">
        <v>130930</v>
      </c>
      <c r="P18">
        <v>0</v>
      </c>
      <c r="Q18">
        <v>698149</v>
      </c>
      <c r="R18">
        <v>1043880</v>
      </c>
      <c r="S18">
        <v>2964463</v>
      </c>
      <c r="T18">
        <v>89418</v>
      </c>
      <c r="U18">
        <v>2909179</v>
      </c>
      <c r="V18">
        <v>0</v>
      </c>
      <c r="W18">
        <v>0</v>
      </c>
      <c r="X18">
        <v>0</v>
      </c>
      <c r="Y18">
        <v>432074</v>
      </c>
      <c r="Z18">
        <v>351698</v>
      </c>
      <c r="AB18">
        <v>0</v>
      </c>
      <c r="AC18">
        <v>13662</v>
      </c>
      <c r="AD18">
        <v>273238</v>
      </c>
      <c r="AE18">
        <v>574641</v>
      </c>
      <c r="AF18">
        <v>26968</v>
      </c>
      <c r="AG18">
        <v>0</v>
      </c>
      <c r="AH18">
        <v>0</v>
      </c>
      <c r="AI18">
        <v>0</v>
      </c>
      <c r="AJ18">
        <v>1743587</v>
      </c>
      <c r="AK18">
        <v>45694</v>
      </c>
      <c r="AL18">
        <v>0</v>
      </c>
      <c r="AM18">
        <v>0</v>
      </c>
      <c r="AN18">
        <v>1856814</v>
      </c>
      <c r="AP18">
        <v>0</v>
      </c>
      <c r="AQ18">
        <v>1452784</v>
      </c>
      <c r="AR18">
        <v>242925</v>
      </c>
      <c r="AT18">
        <v>352790</v>
      </c>
      <c r="AU18">
        <v>2059145</v>
      </c>
      <c r="AV18">
        <v>42297</v>
      </c>
      <c r="AX18">
        <v>336760</v>
      </c>
      <c r="AY18">
        <v>318107</v>
      </c>
      <c r="BA18">
        <v>0</v>
      </c>
      <c r="BB18">
        <v>163978</v>
      </c>
      <c r="BD18">
        <v>0</v>
      </c>
      <c r="BE18">
        <v>2053270</v>
      </c>
      <c r="BH18">
        <v>275778</v>
      </c>
      <c r="BI18">
        <v>186460</v>
      </c>
      <c r="BJ18">
        <v>284501</v>
      </c>
      <c r="BK18">
        <v>420306</v>
      </c>
      <c r="BL18">
        <v>289727</v>
      </c>
      <c r="BM18">
        <v>0</v>
      </c>
      <c r="BN18">
        <v>916928</v>
      </c>
      <c r="BO18">
        <v>338651</v>
      </c>
      <c r="BP18">
        <v>320950</v>
      </c>
      <c r="BQ18">
        <v>443984</v>
      </c>
      <c r="BR18">
        <v>0</v>
      </c>
      <c r="BS18">
        <v>0</v>
      </c>
      <c r="BT18">
        <v>234315</v>
      </c>
      <c r="BU18">
        <v>557821</v>
      </c>
      <c r="BW18">
        <v>45215</v>
      </c>
      <c r="BX18">
        <v>0</v>
      </c>
      <c r="BY18">
        <v>0</v>
      </c>
      <c r="BZ18">
        <v>1875620</v>
      </c>
      <c r="CA18">
        <v>0</v>
      </c>
    </row>
    <row r="19" spans="1:79" x14ac:dyDescent="0.3">
      <c r="A19">
        <v>50</v>
      </c>
      <c r="B19" t="s">
        <v>92</v>
      </c>
      <c r="D19">
        <v>0</v>
      </c>
      <c r="E19">
        <v>0</v>
      </c>
      <c r="G19">
        <v>7104774</v>
      </c>
      <c r="H19">
        <v>507205</v>
      </c>
      <c r="I19">
        <v>17393</v>
      </c>
      <c r="J19">
        <v>-59277</v>
      </c>
      <c r="K19">
        <v>168056</v>
      </c>
      <c r="L19">
        <v>2978473</v>
      </c>
      <c r="N19">
        <v>58395</v>
      </c>
      <c r="P19">
        <v>0</v>
      </c>
      <c r="Q19">
        <v>1579743</v>
      </c>
      <c r="R19">
        <v>566535</v>
      </c>
      <c r="S19">
        <v>1729310</v>
      </c>
      <c r="T19">
        <v>-90683</v>
      </c>
      <c r="U19">
        <v>4272653</v>
      </c>
      <c r="V19">
        <v>0</v>
      </c>
      <c r="W19">
        <v>0</v>
      </c>
      <c r="X19">
        <v>0</v>
      </c>
      <c r="Y19">
        <v>608704</v>
      </c>
      <c r="Z19">
        <v>155034</v>
      </c>
      <c r="AB19">
        <v>0</v>
      </c>
      <c r="AC19">
        <v>45718</v>
      </c>
      <c r="AD19">
        <v>-96474</v>
      </c>
      <c r="AE19">
        <v>233269</v>
      </c>
      <c r="AF19">
        <v>-36168</v>
      </c>
      <c r="AG19">
        <v>0</v>
      </c>
      <c r="AH19">
        <v>0</v>
      </c>
      <c r="AI19">
        <v>0</v>
      </c>
      <c r="AJ19">
        <v>-854098</v>
      </c>
      <c r="AK19">
        <v>-46068</v>
      </c>
      <c r="AL19">
        <v>0</v>
      </c>
      <c r="AM19">
        <v>0</v>
      </c>
      <c r="AN19">
        <v>1427071</v>
      </c>
      <c r="AP19">
        <v>0</v>
      </c>
      <c r="AQ19">
        <v>12256519</v>
      </c>
      <c r="AR19">
        <v>-27470</v>
      </c>
      <c r="AT19">
        <v>-350522</v>
      </c>
      <c r="AU19">
        <v>246858</v>
      </c>
      <c r="AV19">
        <v>131932</v>
      </c>
      <c r="AX19">
        <v>1940866</v>
      </c>
      <c r="AY19">
        <v>-158735</v>
      </c>
      <c r="BA19">
        <v>-4303</v>
      </c>
      <c r="BB19">
        <v>105777</v>
      </c>
      <c r="BD19">
        <v>0</v>
      </c>
      <c r="BE19">
        <v>7470900</v>
      </c>
      <c r="BH19">
        <v>413970</v>
      </c>
      <c r="BI19">
        <v>363236</v>
      </c>
      <c r="BJ19">
        <v>-22174</v>
      </c>
      <c r="BK19">
        <v>-997153</v>
      </c>
      <c r="BL19">
        <v>1084522</v>
      </c>
      <c r="BM19">
        <v>0</v>
      </c>
      <c r="BN19">
        <v>-198765</v>
      </c>
      <c r="BO19">
        <v>384184</v>
      </c>
      <c r="BP19">
        <v>113500</v>
      </c>
      <c r="BQ19">
        <v>85175</v>
      </c>
      <c r="BR19">
        <v>0</v>
      </c>
      <c r="BS19">
        <v>0</v>
      </c>
      <c r="BT19">
        <v>-117329</v>
      </c>
      <c r="BU19">
        <v>1697626</v>
      </c>
      <c r="BW19">
        <v>296685</v>
      </c>
      <c r="BX19">
        <v>0</v>
      </c>
      <c r="BY19">
        <v>0</v>
      </c>
      <c r="BZ19">
        <v>8151671</v>
      </c>
      <c r="CA19">
        <v>0</v>
      </c>
    </row>
    <row r="20" spans="1:79" x14ac:dyDescent="0.3">
      <c r="A20">
        <v>51</v>
      </c>
      <c r="B20" t="s">
        <v>237</v>
      </c>
      <c r="D20">
        <v>0</v>
      </c>
      <c r="E20">
        <v>0</v>
      </c>
      <c r="G20">
        <v>13974257</v>
      </c>
      <c r="H20">
        <v>0</v>
      </c>
      <c r="I20">
        <v>54938</v>
      </c>
      <c r="J20">
        <v>195968</v>
      </c>
      <c r="K20">
        <v>177151</v>
      </c>
      <c r="L20">
        <v>8424967</v>
      </c>
      <c r="N20">
        <v>100328</v>
      </c>
      <c r="P20">
        <v>0</v>
      </c>
      <c r="Q20">
        <v>2108530</v>
      </c>
      <c r="R20">
        <v>1346344</v>
      </c>
      <c r="S20">
        <v>1594739</v>
      </c>
      <c r="T20">
        <v>-11793</v>
      </c>
      <c r="U20">
        <v>5130514</v>
      </c>
      <c r="V20">
        <v>0</v>
      </c>
      <c r="W20">
        <v>0</v>
      </c>
      <c r="X20">
        <v>0</v>
      </c>
      <c r="Y20">
        <v>453539</v>
      </c>
      <c r="Z20">
        <v>450351</v>
      </c>
      <c r="AB20">
        <v>0</v>
      </c>
      <c r="AC20">
        <v>34928</v>
      </c>
      <c r="AD20">
        <v>246434</v>
      </c>
      <c r="AE20">
        <v>345233</v>
      </c>
      <c r="AF20">
        <v>-7517</v>
      </c>
      <c r="AG20">
        <v>0</v>
      </c>
      <c r="AH20">
        <v>0</v>
      </c>
      <c r="AI20">
        <v>0</v>
      </c>
      <c r="AJ20">
        <v>843506</v>
      </c>
      <c r="AK20">
        <v>-17140</v>
      </c>
      <c r="AL20">
        <v>0</v>
      </c>
      <c r="AM20">
        <v>0</v>
      </c>
      <c r="AN20">
        <v>3299727</v>
      </c>
      <c r="AP20">
        <v>0</v>
      </c>
      <c r="AQ20">
        <v>1631151</v>
      </c>
      <c r="AR20">
        <v>-430295</v>
      </c>
      <c r="AT20">
        <v>66984</v>
      </c>
      <c r="AU20">
        <v>2471043</v>
      </c>
      <c r="AV20">
        <v>161789</v>
      </c>
      <c r="AX20">
        <v>2222663</v>
      </c>
      <c r="AY20">
        <v>157424</v>
      </c>
      <c r="BA20">
        <v>-14752</v>
      </c>
      <c r="BB20">
        <v>-133155</v>
      </c>
      <c r="BD20">
        <v>0</v>
      </c>
      <c r="BE20">
        <v>2427180</v>
      </c>
      <c r="BH20">
        <v>162578</v>
      </c>
      <c r="BI20">
        <v>406945</v>
      </c>
      <c r="BJ20">
        <v>-159805</v>
      </c>
      <c r="BK20">
        <v>-644217</v>
      </c>
      <c r="BL20">
        <v>570139</v>
      </c>
      <c r="BM20">
        <v>0</v>
      </c>
      <c r="BN20">
        <v>708356</v>
      </c>
      <c r="BO20">
        <v>545456</v>
      </c>
      <c r="BP20">
        <v>293153</v>
      </c>
      <c r="BQ20">
        <v>476202</v>
      </c>
      <c r="BR20">
        <v>0</v>
      </c>
      <c r="BS20">
        <v>0</v>
      </c>
      <c r="BT20">
        <v>-20769</v>
      </c>
      <c r="BU20">
        <v>1228282</v>
      </c>
      <c r="BW20">
        <v>271809</v>
      </c>
      <c r="BX20">
        <v>0</v>
      </c>
      <c r="BY20">
        <v>0</v>
      </c>
      <c r="BZ20">
        <v>3671468</v>
      </c>
      <c r="CA20">
        <v>0</v>
      </c>
    </row>
    <row r="21" spans="1:79" x14ac:dyDescent="0.3">
      <c r="A21">
        <v>52</v>
      </c>
      <c r="B21" t="s">
        <v>230</v>
      </c>
      <c r="D21">
        <v>0</v>
      </c>
      <c r="E21">
        <v>0</v>
      </c>
      <c r="G21">
        <v>0</v>
      </c>
      <c r="H21">
        <v>0</v>
      </c>
      <c r="I21">
        <v>0</v>
      </c>
      <c r="J21">
        <v>0</v>
      </c>
      <c r="K21">
        <v>0</v>
      </c>
      <c r="L21">
        <v>0</v>
      </c>
      <c r="N21">
        <v>0</v>
      </c>
      <c r="P21">
        <v>0</v>
      </c>
      <c r="Q21">
        <v>0</v>
      </c>
      <c r="R21">
        <v>0</v>
      </c>
      <c r="S21">
        <v>664836</v>
      </c>
      <c r="T21">
        <v>0</v>
      </c>
      <c r="U21">
        <v>999444</v>
      </c>
      <c r="V21">
        <v>0</v>
      </c>
      <c r="W21">
        <v>0</v>
      </c>
      <c r="X21">
        <v>0</v>
      </c>
      <c r="Y21">
        <v>0</v>
      </c>
      <c r="Z21">
        <v>165219</v>
      </c>
      <c r="AB21">
        <v>0</v>
      </c>
      <c r="AC21">
        <v>0</v>
      </c>
      <c r="AD21">
        <v>0</v>
      </c>
      <c r="AE21">
        <v>236492</v>
      </c>
      <c r="AF21">
        <v>0</v>
      </c>
      <c r="AG21">
        <v>0</v>
      </c>
      <c r="AH21">
        <v>0</v>
      </c>
      <c r="AI21">
        <v>0</v>
      </c>
      <c r="AJ21">
        <v>584971</v>
      </c>
      <c r="AK21">
        <v>0</v>
      </c>
      <c r="AL21">
        <v>0</v>
      </c>
      <c r="AM21">
        <v>0</v>
      </c>
      <c r="AN21">
        <v>0</v>
      </c>
      <c r="AP21">
        <v>0</v>
      </c>
      <c r="AQ21">
        <v>1346483</v>
      </c>
      <c r="AR21">
        <v>0</v>
      </c>
      <c r="AT21">
        <v>0</v>
      </c>
      <c r="AU21">
        <v>250324</v>
      </c>
      <c r="AV21">
        <v>0</v>
      </c>
      <c r="AX21">
        <v>0</v>
      </c>
      <c r="AY21">
        <v>0</v>
      </c>
      <c r="BA21">
        <v>0</v>
      </c>
      <c r="BB21">
        <v>0</v>
      </c>
      <c r="BD21">
        <v>0</v>
      </c>
      <c r="BE21">
        <v>864485</v>
      </c>
      <c r="BH21">
        <v>0</v>
      </c>
      <c r="BI21">
        <v>0</v>
      </c>
      <c r="BJ21">
        <v>0</v>
      </c>
      <c r="BK21">
        <v>154032</v>
      </c>
      <c r="BL21">
        <v>0</v>
      </c>
      <c r="BM21">
        <v>0</v>
      </c>
      <c r="BN21">
        <v>0</v>
      </c>
      <c r="BO21">
        <v>0</v>
      </c>
      <c r="BP21">
        <v>0</v>
      </c>
      <c r="BQ21">
        <v>0</v>
      </c>
      <c r="BR21">
        <v>0</v>
      </c>
      <c r="BS21">
        <v>0</v>
      </c>
      <c r="BT21">
        <v>0</v>
      </c>
      <c r="BU21">
        <v>0</v>
      </c>
      <c r="BW21">
        <v>0</v>
      </c>
      <c r="BX21">
        <v>0</v>
      </c>
      <c r="BY21">
        <v>0</v>
      </c>
      <c r="BZ21">
        <v>0</v>
      </c>
      <c r="CA21">
        <v>0</v>
      </c>
    </row>
    <row r="22" spans="1:79" x14ac:dyDescent="0.3">
      <c r="A22">
        <v>53</v>
      </c>
      <c r="B22" t="s">
        <v>93</v>
      </c>
      <c r="D22">
        <v>0</v>
      </c>
      <c r="E22">
        <v>0</v>
      </c>
      <c r="G22">
        <v>0</v>
      </c>
      <c r="H22">
        <v>0</v>
      </c>
      <c r="I22">
        <v>0</v>
      </c>
      <c r="J22">
        <v>0</v>
      </c>
      <c r="K22">
        <v>0</v>
      </c>
      <c r="L22">
        <v>0</v>
      </c>
      <c r="N22">
        <v>0</v>
      </c>
      <c r="P22">
        <v>0</v>
      </c>
      <c r="Q22">
        <v>0</v>
      </c>
      <c r="R22">
        <v>0</v>
      </c>
      <c r="S22">
        <v>471020</v>
      </c>
      <c r="T22">
        <v>0</v>
      </c>
      <c r="U22">
        <v>5159311</v>
      </c>
      <c r="V22">
        <v>0</v>
      </c>
      <c r="W22">
        <v>0</v>
      </c>
      <c r="X22">
        <v>0</v>
      </c>
      <c r="Y22">
        <v>0</v>
      </c>
      <c r="Z22">
        <v>248912</v>
      </c>
      <c r="AB22">
        <v>0</v>
      </c>
      <c r="AC22">
        <v>0</v>
      </c>
      <c r="AD22">
        <v>0</v>
      </c>
      <c r="AE22">
        <v>79922</v>
      </c>
      <c r="AF22">
        <v>0</v>
      </c>
      <c r="AG22">
        <v>0</v>
      </c>
      <c r="AH22">
        <v>0</v>
      </c>
      <c r="AI22">
        <v>0</v>
      </c>
      <c r="AJ22">
        <v>-490203</v>
      </c>
      <c r="AK22">
        <v>0</v>
      </c>
      <c r="AL22">
        <v>0</v>
      </c>
      <c r="AM22">
        <v>0</v>
      </c>
      <c r="AN22">
        <v>0</v>
      </c>
      <c r="AP22">
        <v>0</v>
      </c>
      <c r="AQ22">
        <v>4087126</v>
      </c>
      <c r="AR22">
        <v>0</v>
      </c>
      <c r="AT22">
        <v>0</v>
      </c>
      <c r="AU22">
        <v>881602</v>
      </c>
      <c r="AV22">
        <v>0</v>
      </c>
      <c r="AX22">
        <v>0</v>
      </c>
      <c r="AY22">
        <v>0</v>
      </c>
      <c r="BA22">
        <v>0</v>
      </c>
      <c r="BB22">
        <v>0</v>
      </c>
      <c r="BD22">
        <v>0</v>
      </c>
      <c r="BE22">
        <v>8530233</v>
      </c>
      <c r="BH22">
        <v>0</v>
      </c>
      <c r="BI22">
        <v>0</v>
      </c>
      <c r="BJ22">
        <v>0</v>
      </c>
      <c r="BK22">
        <v>-246237</v>
      </c>
      <c r="BL22">
        <v>0</v>
      </c>
      <c r="BM22">
        <v>0</v>
      </c>
      <c r="BN22">
        <v>0</v>
      </c>
      <c r="BO22">
        <v>0</v>
      </c>
      <c r="BP22">
        <v>0</v>
      </c>
      <c r="BQ22">
        <v>0</v>
      </c>
      <c r="BR22">
        <v>0</v>
      </c>
      <c r="BS22">
        <v>0</v>
      </c>
      <c r="BT22">
        <v>0</v>
      </c>
      <c r="BU22">
        <v>0</v>
      </c>
      <c r="BW22">
        <v>0</v>
      </c>
      <c r="BX22">
        <v>0</v>
      </c>
      <c r="BY22">
        <v>0</v>
      </c>
      <c r="BZ22">
        <v>0</v>
      </c>
      <c r="CA22">
        <v>0</v>
      </c>
    </row>
    <row r="23" spans="1:79" x14ac:dyDescent="0.3">
      <c r="A23">
        <v>55</v>
      </c>
      <c r="B23" t="s">
        <v>240</v>
      </c>
      <c r="D23">
        <v>0</v>
      </c>
      <c r="E23">
        <v>0</v>
      </c>
      <c r="G23">
        <v>0</v>
      </c>
      <c r="H23">
        <v>0</v>
      </c>
      <c r="I23">
        <v>0</v>
      </c>
      <c r="J23">
        <v>0</v>
      </c>
      <c r="K23">
        <v>0</v>
      </c>
      <c r="L23">
        <v>0</v>
      </c>
      <c r="N23">
        <v>0</v>
      </c>
      <c r="P23">
        <v>0</v>
      </c>
      <c r="Q23">
        <v>0</v>
      </c>
      <c r="R23">
        <v>0</v>
      </c>
      <c r="S23">
        <v>2304205</v>
      </c>
      <c r="T23">
        <v>0</v>
      </c>
      <c r="U23">
        <v>7906223</v>
      </c>
      <c r="V23">
        <v>0</v>
      </c>
      <c r="W23">
        <v>0</v>
      </c>
      <c r="X23">
        <v>0</v>
      </c>
      <c r="Y23">
        <v>0</v>
      </c>
      <c r="Z23">
        <v>168071</v>
      </c>
      <c r="AB23">
        <v>0</v>
      </c>
      <c r="AC23">
        <v>0</v>
      </c>
      <c r="AD23">
        <v>0</v>
      </c>
      <c r="AE23">
        <v>378614</v>
      </c>
      <c r="AF23">
        <v>0</v>
      </c>
      <c r="AG23">
        <v>0</v>
      </c>
      <c r="AH23">
        <v>0</v>
      </c>
      <c r="AI23">
        <v>0</v>
      </c>
      <c r="AJ23">
        <v>868847</v>
      </c>
      <c r="AK23">
        <v>0</v>
      </c>
      <c r="AL23">
        <v>0</v>
      </c>
      <c r="AM23">
        <v>0</v>
      </c>
      <c r="AN23">
        <v>0</v>
      </c>
      <c r="AP23">
        <v>0</v>
      </c>
      <c r="AQ23">
        <v>2954203</v>
      </c>
      <c r="AR23">
        <v>0</v>
      </c>
      <c r="AT23">
        <v>0</v>
      </c>
      <c r="AU23">
        <v>999442</v>
      </c>
      <c r="AV23">
        <v>0</v>
      </c>
      <c r="AX23">
        <v>0</v>
      </c>
      <c r="AY23">
        <v>0</v>
      </c>
      <c r="BA23">
        <v>0</v>
      </c>
      <c r="BB23">
        <v>0</v>
      </c>
      <c r="BD23">
        <v>0</v>
      </c>
      <c r="BE23">
        <v>2701999</v>
      </c>
      <c r="BH23">
        <v>0</v>
      </c>
      <c r="BI23">
        <v>0</v>
      </c>
      <c r="BJ23">
        <v>0</v>
      </c>
      <c r="BK23">
        <v>-295847</v>
      </c>
      <c r="BL23">
        <v>0</v>
      </c>
      <c r="BM23">
        <v>0</v>
      </c>
      <c r="BN23">
        <v>0</v>
      </c>
      <c r="BO23">
        <v>0</v>
      </c>
      <c r="BP23">
        <v>0</v>
      </c>
      <c r="BQ23">
        <v>0</v>
      </c>
      <c r="BR23">
        <v>0</v>
      </c>
      <c r="BS23">
        <v>0</v>
      </c>
      <c r="BT23">
        <v>0</v>
      </c>
      <c r="BU23">
        <v>0</v>
      </c>
      <c r="BW23">
        <v>0</v>
      </c>
      <c r="BX23">
        <v>0</v>
      </c>
      <c r="BY23">
        <v>0</v>
      </c>
      <c r="BZ23">
        <v>0</v>
      </c>
      <c r="CA23">
        <v>0</v>
      </c>
    </row>
    <row r="24" spans="1:79" x14ac:dyDescent="0.3">
      <c r="A24">
        <v>61</v>
      </c>
      <c r="B24" t="s">
        <v>254</v>
      </c>
      <c r="D24">
        <v>99.61</v>
      </c>
      <c r="E24">
        <v>99.82</v>
      </c>
      <c r="G24">
        <v>99.13</v>
      </c>
      <c r="H24">
        <v>99.88</v>
      </c>
      <c r="I24">
        <v>83.29</v>
      </c>
      <c r="J24">
        <v>98.31</v>
      </c>
      <c r="K24">
        <v>96.2</v>
      </c>
      <c r="L24">
        <v>99</v>
      </c>
      <c r="N24">
        <v>97.43</v>
      </c>
      <c r="P24">
        <v>99.64</v>
      </c>
      <c r="Q24">
        <v>99.74</v>
      </c>
      <c r="R24">
        <v>98.57</v>
      </c>
      <c r="S24">
        <v>99.25</v>
      </c>
      <c r="T24">
        <v>92.3</v>
      </c>
      <c r="U24">
        <v>98.47</v>
      </c>
      <c r="V24">
        <v>98.04</v>
      </c>
      <c r="W24">
        <v>99.78</v>
      </c>
      <c r="X24">
        <v>99.76</v>
      </c>
      <c r="Y24">
        <v>99.83</v>
      </c>
      <c r="Z24">
        <v>96.89</v>
      </c>
      <c r="AB24">
        <v>99.96</v>
      </c>
      <c r="AC24">
        <v>99.17</v>
      </c>
      <c r="AD24">
        <v>98.99</v>
      </c>
      <c r="AE24">
        <v>98.17</v>
      </c>
      <c r="AF24">
        <v>90.21</v>
      </c>
      <c r="AG24">
        <v>95.36</v>
      </c>
      <c r="AH24">
        <v>97.79</v>
      </c>
      <c r="AI24">
        <v>99.69</v>
      </c>
      <c r="AJ24">
        <v>94.93</v>
      </c>
      <c r="AK24">
        <v>94.54</v>
      </c>
      <c r="AL24">
        <v>97.99</v>
      </c>
      <c r="AM24">
        <v>99.7</v>
      </c>
      <c r="AN24">
        <v>97.8</v>
      </c>
      <c r="AP24">
        <v>99.66</v>
      </c>
      <c r="AQ24">
        <v>97.5</v>
      </c>
      <c r="AR24">
        <v>99.42</v>
      </c>
      <c r="AT24">
        <v>99.4</v>
      </c>
      <c r="AU24">
        <v>98.41</v>
      </c>
      <c r="AV24">
        <v>97.98</v>
      </c>
      <c r="AX24">
        <v>99.5</v>
      </c>
      <c r="AY24">
        <v>97.44</v>
      </c>
      <c r="BA24">
        <v>90.28</v>
      </c>
      <c r="BB24">
        <v>99.34</v>
      </c>
      <c r="BD24">
        <v>97.85</v>
      </c>
      <c r="BE24">
        <v>93.85</v>
      </c>
      <c r="BH24">
        <v>98.97</v>
      </c>
      <c r="BI24">
        <v>97.2</v>
      </c>
      <c r="BJ24">
        <v>92.72</v>
      </c>
      <c r="BK24">
        <v>99.84</v>
      </c>
      <c r="BL24">
        <v>99.51</v>
      </c>
      <c r="BM24">
        <v>0</v>
      </c>
      <c r="BN24">
        <v>99.67</v>
      </c>
      <c r="BO24">
        <v>97.01</v>
      </c>
      <c r="BP24">
        <v>97.11</v>
      </c>
      <c r="BQ24">
        <v>99.56</v>
      </c>
      <c r="BR24">
        <v>99.98</v>
      </c>
      <c r="BS24">
        <v>99.5</v>
      </c>
      <c r="BT24">
        <v>84.4</v>
      </c>
      <c r="BU24">
        <v>99.31</v>
      </c>
      <c r="BW24">
        <v>99.6</v>
      </c>
      <c r="BX24">
        <v>93.17</v>
      </c>
      <c r="BY24">
        <v>98.8</v>
      </c>
      <c r="BZ24">
        <v>99.5</v>
      </c>
      <c r="CA24">
        <v>94.73</v>
      </c>
    </row>
    <row r="25" spans="1:79" x14ac:dyDescent="0.3">
      <c r="A25">
        <v>80</v>
      </c>
      <c r="B25" t="s">
        <v>209</v>
      </c>
      <c r="D25">
        <v>0</v>
      </c>
      <c r="E25">
        <v>0</v>
      </c>
      <c r="G25">
        <v>61004198</v>
      </c>
      <c r="H25">
        <v>8771115</v>
      </c>
      <c r="I25">
        <v>212527</v>
      </c>
      <c r="J25">
        <v>6591478</v>
      </c>
      <c r="K25">
        <v>788379</v>
      </c>
      <c r="L25">
        <v>14616031</v>
      </c>
      <c r="N25">
        <v>1837432</v>
      </c>
      <c r="P25">
        <v>0</v>
      </c>
      <c r="Q25">
        <v>9672319</v>
      </c>
      <c r="R25">
        <v>7226851</v>
      </c>
      <c r="S25">
        <v>5415917</v>
      </c>
      <c r="T25">
        <v>36621</v>
      </c>
      <c r="U25">
        <v>12933580</v>
      </c>
      <c r="V25">
        <v>0</v>
      </c>
      <c r="W25">
        <v>0</v>
      </c>
      <c r="X25">
        <v>0</v>
      </c>
      <c r="Y25">
        <v>3829785</v>
      </c>
      <c r="Z25">
        <v>1705804</v>
      </c>
      <c r="AB25">
        <v>0</v>
      </c>
      <c r="AC25">
        <v>86405</v>
      </c>
      <c r="AD25">
        <v>2318526</v>
      </c>
      <c r="AE25">
        <v>2327947</v>
      </c>
      <c r="AF25">
        <v>30801</v>
      </c>
      <c r="AG25">
        <v>0</v>
      </c>
      <c r="AH25">
        <v>0</v>
      </c>
      <c r="AI25">
        <v>0</v>
      </c>
      <c r="AJ25">
        <v>667114</v>
      </c>
      <c r="AK25">
        <v>75461</v>
      </c>
      <c r="AL25">
        <v>0</v>
      </c>
      <c r="AM25">
        <v>0</v>
      </c>
      <c r="AN25">
        <v>10943418</v>
      </c>
      <c r="AP25">
        <v>0</v>
      </c>
      <c r="AQ25">
        <v>6095430</v>
      </c>
      <c r="AR25">
        <v>525612</v>
      </c>
      <c r="AT25">
        <v>1064450</v>
      </c>
      <c r="AU25">
        <v>7435024</v>
      </c>
      <c r="AV25">
        <v>1448167</v>
      </c>
      <c r="AX25">
        <v>1994851</v>
      </c>
      <c r="AY25">
        <v>1273777</v>
      </c>
      <c r="BA25">
        <v>1401</v>
      </c>
      <c r="BB25">
        <v>681690</v>
      </c>
      <c r="BD25">
        <v>0</v>
      </c>
      <c r="BE25">
        <v>4972931</v>
      </c>
      <c r="BH25">
        <v>817912</v>
      </c>
      <c r="BI25">
        <v>2663098</v>
      </c>
      <c r="BJ25">
        <v>18353</v>
      </c>
      <c r="BK25">
        <v>5087789</v>
      </c>
      <c r="BL25">
        <v>4080176</v>
      </c>
      <c r="BM25">
        <v>0</v>
      </c>
      <c r="BN25">
        <v>2315385</v>
      </c>
      <c r="BO25">
        <v>4525563</v>
      </c>
      <c r="BP25">
        <v>1243940</v>
      </c>
      <c r="BQ25">
        <v>2976992</v>
      </c>
      <c r="BR25">
        <v>0</v>
      </c>
      <c r="BS25">
        <v>0</v>
      </c>
      <c r="BT25">
        <v>1005489</v>
      </c>
      <c r="BU25">
        <v>4608980</v>
      </c>
      <c r="BW25">
        <v>1920666</v>
      </c>
      <c r="BX25">
        <v>0</v>
      </c>
      <c r="BY25">
        <v>0</v>
      </c>
      <c r="BZ25">
        <v>10922599</v>
      </c>
      <c r="CA25">
        <v>0</v>
      </c>
    </row>
    <row r="26" spans="1:79" x14ac:dyDescent="0.3">
      <c r="A26">
        <v>81</v>
      </c>
      <c r="B26" t="s">
        <v>210</v>
      </c>
      <c r="D26">
        <v>0</v>
      </c>
      <c r="E26">
        <v>0</v>
      </c>
      <c r="G26">
        <v>3477370</v>
      </c>
      <c r="H26">
        <v>284061</v>
      </c>
      <c r="I26">
        <v>24946</v>
      </c>
      <c r="J26">
        <v>76575</v>
      </c>
      <c r="K26">
        <v>142971</v>
      </c>
      <c r="L26">
        <v>4263412</v>
      </c>
      <c r="N26">
        <v>99051</v>
      </c>
      <c r="P26">
        <v>0</v>
      </c>
      <c r="Q26">
        <v>1106253</v>
      </c>
      <c r="R26">
        <v>1294497</v>
      </c>
      <c r="S26">
        <v>609099</v>
      </c>
      <c r="T26">
        <v>31229</v>
      </c>
      <c r="U26">
        <v>2069598</v>
      </c>
      <c r="V26">
        <v>0</v>
      </c>
      <c r="W26">
        <v>0</v>
      </c>
      <c r="X26">
        <v>0</v>
      </c>
      <c r="Y26">
        <v>430399</v>
      </c>
      <c r="Z26">
        <v>70065</v>
      </c>
      <c r="AB26">
        <v>0</v>
      </c>
      <c r="AC26">
        <v>34065</v>
      </c>
      <c r="AD26">
        <v>136762</v>
      </c>
      <c r="AE26">
        <v>382934</v>
      </c>
      <c r="AF26">
        <v>9929</v>
      </c>
      <c r="AG26">
        <v>0</v>
      </c>
      <c r="AH26">
        <v>0</v>
      </c>
      <c r="AI26">
        <v>0</v>
      </c>
      <c r="AJ26">
        <v>553039</v>
      </c>
      <c r="AK26">
        <v>15859</v>
      </c>
      <c r="AL26">
        <v>0</v>
      </c>
      <c r="AM26">
        <v>0</v>
      </c>
      <c r="AN26">
        <v>604143</v>
      </c>
      <c r="AP26">
        <v>0</v>
      </c>
      <c r="AQ26">
        <v>1828600</v>
      </c>
      <c r="AR26">
        <v>247647</v>
      </c>
      <c r="AT26">
        <v>300557</v>
      </c>
      <c r="AU26">
        <v>699049</v>
      </c>
      <c r="AV26">
        <v>55587</v>
      </c>
      <c r="AX26">
        <v>164901</v>
      </c>
      <c r="AY26">
        <v>173933</v>
      </c>
      <c r="BA26">
        <v>0</v>
      </c>
      <c r="BB26">
        <v>358641</v>
      </c>
      <c r="BD26">
        <v>0</v>
      </c>
      <c r="BE26">
        <v>2302409</v>
      </c>
      <c r="BH26">
        <v>196936</v>
      </c>
      <c r="BI26">
        <v>248577</v>
      </c>
      <c r="BJ26">
        <v>45142</v>
      </c>
      <c r="BK26">
        <v>204060</v>
      </c>
      <c r="BL26">
        <v>321636</v>
      </c>
      <c r="BM26">
        <v>0</v>
      </c>
      <c r="BN26">
        <v>602978</v>
      </c>
      <c r="BO26">
        <v>162173</v>
      </c>
      <c r="BP26">
        <v>84133</v>
      </c>
      <c r="BQ26">
        <v>142118</v>
      </c>
      <c r="BR26">
        <v>0</v>
      </c>
      <c r="BS26">
        <v>0</v>
      </c>
      <c r="BT26">
        <v>166950</v>
      </c>
      <c r="BU26">
        <v>634233</v>
      </c>
      <c r="BW26">
        <v>91387</v>
      </c>
      <c r="BX26">
        <v>0</v>
      </c>
      <c r="BY26">
        <v>0</v>
      </c>
      <c r="BZ26">
        <v>1170061</v>
      </c>
      <c r="CA26">
        <v>0</v>
      </c>
    </row>
    <row r="27" spans="1:79" x14ac:dyDescent="0.3">
      <c r="A27">
        <v>82</v>
      </c>
      <c r="B27" t="s">
        <v>307</v>
      </c>
      <c r="D27">
        <v>0</v>
      </c>
      <c r="E27">
        <v>0</v>
      </c>
      <c r="G27">
        <v>44740438</v>
      </c>
      <c r="H27">
        <v>996797</v>
      </c>
      <c r="I27">
        <v>32731</v>
      </c>
      <c r="J27">
        <v>0</v>
      </c>
      <c r="K27">
        <v>2298221</v>
      </c>
      <c r="L27">
        <v>56550289</v>
      </c>
      <c r="N27">
        <v>0</v>
      </c>
      <c r="P27">
        <v>0</v>
      </c>
      <c r="Q27">
        <v>32833</v>
      </c>
      <c r="R27">
        <v>8608709</v>
      </c>
      <c r="S27">
        <v>19202720</v>
      </c>
      <c r="T27">
        <v>0</v>
      </c>
      <c r="U27">
        <v>10107397</v>
      </c>
      <c r="V27">
        <v>0</v>
      </c>
      <c r="W27">
        <v>0</v>
      </c>
      <c r="X27">
        <v>0</v>
      </c>
      <c r="Y27">
        <v>1688566</v>
      </c>
      <c r="Z27">
        <v>14035393</v>
      </c>
      <c r="AB27">
        <v>0</v>
      </c>
      <c r="AC27">
        <v>151667</v>
      </c>
      <c r="AD27">
        <v>1194147</v>
      </c>
      <c r="AE27">
        <v>4511706</v>
      </c>
      <c r="AF27">
        <v>0</v>
      </c>
      <c r="AG27">
        <v>0</v>
      </c>
      <c r="AH27">
        <v>0</v>
      </c>
      <c r="AI27">
        <v>0</v>
      </c>
      <c r="AJ27">
        <v>5038543</v>
      </c>
      <c r="AK27">
        <v>0</v>
      </c>
      <c r="AL27">
        <v>0</v>
      </c>
      <c r="AM27">
        <v>0</v>
      </c>
      <c r="AN27">
        <v>21144989</v>
      </c>
      <c r="AP27">
        <v>0</v>
      </c>
      <c r="AQ27">
        <v>4844178</v>
      </c>
      <c r="AR27">
        <v>36386</v>
      </c>
      <c r="AT27">
        <v>0</v>
      </c>
      <c r="AU27">
        <v>1321528</v>
      </c>
      <c r="AV27">
        <v>105499</v>
      </c>
      <c r="AX27">
        <v>0</v>
      </c>
      <c r="AY27">
        <v>201288</v>
      </c>
      <c r="BA27">
        <v>0</v>
      </c>
      <c r="BB27">
        <v>633461</v>
      </c>
      <c r="BD27">
        <v>0</v>
      </c>
      <c r="BE27">
        <v>3235924</v>
      </c>
      <c r="BH27">
        <v>409321</v>
      </c>
      <c r="BI27">
        <v>814806</v>
      </c>
      <c r="BJ27">
        <v>0</v>
      </c>
      <c r="BK27">
        <v>303667</v>
      </c>
      <c r="BL27">
        <v>0</v>
      </c>
      <c r="BM27">
        <v>0</v>
      </c>
      <c r="BN27">
        <v>1250598</v>
      </c>
      <c r="BO27">
        <v>503227</v>
      </c>
      <c r="BP27">
        <v>630330</v>
      </c>
      <c r="BQ27">
        <v>1399027</v>
      </c>
      <c r="BR27">
        <v>0</v>
      </c>
      <c r="BS27">
        <v>0</v>
      </c>
      <c r="BT27">
        <v>186954</v>
      </c>
      <c r="BU27">
        <v>480315</v>
      </c>
      <c r="BW27">
        <v>0</v>
      </c>
      <c r="BX27">
        <v>0</v>
      </c>
      <c r="BY27">
        <v>0</v>
      </c>
      <c r="BZ27">
        <v>15658457</v>
      </c>
      <c r="CA27">
        <v>0</v>
      </c>
    </row>
    <row r="28" spans="1:79" x14ac:dyDescent="0.3">
      <c r="A28">
        <v>83</v>
      </c>
      <c r="B28" t="s">
        <v>94</v>
      </c>
      <c r="D28">
        <v>0</v>
      </c>
      <c r="E28">
        <v>0</v>
      </c>
      <c r="G28">
        <v>85185638</v>
      </c>
      <c r="H28">
        <v>25305471</v>
      </c>
      <c r="I28">
        <v>400272</v>
      </c>
      <c r="J28">
        <v>11224690</v>
      </c>
      <c r="K28">
        <v>5754204</v>
      </c>
      <c r="L28">
        <v>86437386</v>
      </c>
      <c r="N28">
        <v>2959642</v>
      </c>
      <c r="P28">
        <v>0</v>
      </c>
      <c r="Q28">
        <v>26142240</v>
      </c>
      <c r="R28">
        <v>25772564</v>
      </c>
      <c r="S28">
        <v>37462112</v>
      </c>
      <c r="T28">
        <v>2110040</v>
      </c>
      <c r="U28">
        <v>82664085</v>
      </c>
      <c r="V28">
        <v>0</v>
      </c>
      <c r="W28">
        <v>0</v>
      </c>
      <c r="X28">
        <v>0</v>
      </c>
      <c r="Y28">
        <v>8720811</v>
      </c>
      <c r="Z28">
        <v>9012082</v>
      </c>
      <c r="AB28">
        <v>0</v>
      </c>
      <c r="AC28">
        <v>295628</v>
      </c>
      <c r="AD28">
        <v>8966449</v>
      </c>
      <c r="AE28">
        <v>9885040</v>
      </c>
      <c r="AF28">
        <v>589987</v>
      </c>
      <c r="AG28">
        <v>0</v>
      </c>
      <c r="AH28">
        <v>0</v>
      </c>
      <c r="AI28">
        <v>0</v>
      </c>
      <c r="AJ28">
        <v>37869224</v>
      </c>
      <c r="AK28">
        <v>1621113</v>
      </c>
      <c r="AL28">
        <v>0</v>
      </c>
      <c r="AM28">
        <v>0</v>
      </c>
      <c r="AN28">
        <v>60434809</v>
      </c>
      <c r="AP28">
        <v>0</v>
      </c>
      <c r="AQ28">
        <v>57473062</v>
      </c>
      <c r="AR28">
        <v>6318293</v>
      </c>
      <c r="AT28">
        <v>5338677</v>
      </c>
      <c r="AU28">
        <v>29154366</v>
      </c>
      <c r="AV28">
        <v>1869978</v>
      </c>
      <c r="AX28">
        <v>14765704</v>
      </c>
      <c r="AY28">
        <v>8565826</v>
      </c>
      <c r="BA28">
        <v>-36815</v>
      </c>
      <c r="BB28">
        <v>3170378</v>
      </c>
      <c r="BD28">
        <v>0</v>
      </c>
      <c r="BE28">
        <v>61996637</v>
      </c>
      <c r="BH28">
        <v>5946905</v>
      </c>
      <c r="BI28">
        <v>7065714</v>
      </c>
      <c r="BJ28">
        <v>6471810</v>
      </c>
      <c r="BK28">
        <v>12614694</v>
      </c>
      <c r="BL28">
        <v>8256197</v>
      </c>
      <c r="BM28">
        <v>0</v>
      </c>
      <c r="BN28">
        <v>19244419</v>
      </c>
      <c r="BO28">
        <v>12300258</v>
      </c>
      <c r="BP28">
        <v>8281639</v>
      </c>
      <c r="BQ28">
        <v>6960655</v>
      </c>
      <c r="BR28">
        <v>0</v>
      </c>
      <c r="BS28">
        <v>0</v>
      </c>
      <c r="BT28">
        <v>6317829</v>
      </c>
      <c r="BU28">
        <v>15226209</v>
      </c>
      <c r="BW28">
        <v>3359070</v>
      </c>
      <c r="BX28">
        <v>0</v>
      </c>
      <c r="BY28">
        <v>0</v>
      </c>
      <c r="BZ28">
        <v>73516561</v>
      </c>
      <c r="CA28">
        <v>0</v>
      </c>
    </row>
    <row r="29" spans="1:79" x14ac:dyDescent="0.3">
      <c r="A29">
        <v>84</v>
      </c>
      <c r="B29" t="s">
        <v>218</v>
      </c>
      <c r="D29">
        <v>0</v>
      </c>
      <c r="E29">
        <v>0</v>
      </c>
      <c r="G29">
        <v>26024394</v>
      </c>
      <c r="H29">
        <v>3893234</v>
      </c>
      <c r="I29">
        <v>244778</v>
      </c>
      <c r="J29">
        <v>1043383</v>
      </c>
      <c r="K29">
        <v>1035496</v>
      </c>
      <c r="L29">
        <v>24038947</v>
      </c>
      <c r="N29">
        <v>717502</v>
      </c>
      <c r="P29">
        <v>0</v>
      </c>
      <c r="Q29">
        <v>5838062</v>
      </c>
      <c r="R29">
        <v>7010399</v>
      </c>
      <c r="S29">
        <v>7237873</v>
      </c>
      <c r="T29">
        <v>135383</v>
      </c>
      <c r="U29">
        <v>18860389</v>
      </c>
      <c r="V29">
        <v>0</v>
      </c>
      <c r="W29">
        <v>0</v>
      </c>
      <c r="X29">
        <v>0</v>
      </c>
      <c r="Y29">
        <v>2402554</v>
      </c>
      <c r="Z29">
        <v>1498526</v>
      </c>
      <c r="AB29">
        <v>0</v>
      </c>
      <c r="AC29">
        <v>126517</v>
      </c>
      <c r="AD29">
        <v>1119637</v>
      </c>
      <c r="AE29">
        <v>2195895</v>
      </c>
      <c r="AF29">
        <v>50194</v>
      </c>
      <c r="AG29">
        <v>0</v>
      </c>
      <c r="AH29">
        <v>0</v>
      </c>
      <c r="AI29">
        <v>0</v>
      </c>
      <c r="AJ29">
        <v>6128398</v>
      </c>
      <c r="AK29">
        <v>142031</v>
      </c>
      <c r="AL29">
        <v>0</v>
      </c>
      <c r="AM29">
        <v>0</v>
      </c>
      <c r="AN29">
        <v>10440467</v>
      </c>
      <c r="AP29">
        <v>0</v>
      </c>
      <c r="AQ29">
        <v>13373669</v>
      </c>
      <c r="AR29">
        <v>949220</v>
      </c>
      <c r="AT29">
        <v>2714332</v>
      </c>
      <c r="AU29">
        <v>8136842</v>
      </c>
      <c r="AV29">
        <v>504195</v>
      </c>
      <c r="AX29">
        <v>2720059</v>
      </c>
      <c r="AY29">
        <v>2132304</v>
      </c>
      <c r="BA29">
        <v>8853</v>
      </c>
      <c r="BB29">
        <v>1780772</v>
      </c>
      <c r="BD29">
        <v>0</v>
      </c>
      <c r="BE29">
        <v>14102668</v>
      </c>
      <c r="BH29">
        <v>1646810</v>
      </c>
      <c r="BI29">
        <v>1155640</v>
      </c>
      <c r="BJ29">
        <v>392871</v>
      </c>
      <c r="BK29">
        <v>2830606</v>
      </c>
      <c r="BL29">
        <v>2383644</v>
      </c>
      <c r="BM29">
        <v>0</v>
      </c>
      <c r="BN29">
        <v>4443563</v>
      </c>
      <c r="BO29">
        <v>1491136</v>
      </c>
      <c r="BP29">
        <v>860261</v>
      </c>
      <c r="BQ29">
        <v>1792157</v>
      </c>
      <c r="BR29">
        <v>0</v>
      </c>
      <c r="BS29">
        <v>0</v>
      </c>
      <c r="BT29">
        <v>735536</v>
      </c>
      <c r="BU29">
        <v>3806499</v>
      </c>
      <c r="BW29">
        <v>784202</v>
      </c>
      <c r="BX29">
        <v>0</v>
      </c>
      <c r="BY29">
        <v>0</v>
      </c>
      <c r="BZ29">
        <v>10751532</v>
      </c>
      <c r="CA29">
        <v>0</v>
      </c>
    </row>
    <row r="30" spans="1:79" ht="13.95" customHeight="1" x14ac:dyDescent="0.3">
      <c r="A30">
        <v>85</v>
      </c>
      <c r="B30" t="s">
        <v>220</v>
      </c>
      <c r="D30">
        <v>0</v>
      </c>
      <c r="E30">
        <v>0</v>
      </c>
      <c r="G30">
        <v>22548278</v>
      </c>
      <c r="H30">
        <v>3653979</v>
      </c>
      <c r="I30">
        <v>231294</v>
      </c>
      <c r="J30">
        <v>1104125</v>
      </c>
      <c r="K30">
        <v>1111834</v>
      </c>
      <c r="L30">
        <v>20286920</v>
      </c>
      <c r="N30">
        <v>690433</v>
      </c>
      <c r="P30">
        <v>0</v>
      </c>
      <c r="Q30">
        <v>4271382</v>
      </c>
      <c r="R30">
        <v>6673461</v>
      </c>
      <c r="S30">
        <v>8683042</v>
      </c>
      <c r="T30">
        <v>246382</v>
      </c>
      <c r="U30">
        <v>16579952</v>
      </c>
      <c r="V30">
        <v>0</v>
      </c>
      <c r="W30">
        <v>0</v>
      </c>
      <c r="X30">
        <v>0</v>
      </c>
      <c r="Y30">
        <v>2107041</v>
      </c>
      <c r="Z30">
        <v>1420303</v>
      </c>
      <c r="AB30">
        <v>0</v>
      </c>
      <c r="AC30">
        <v>101920</v>
      </c>
      <c r="AD30">
        <v>1194636</v>
      </c>
      <c r="AE30">
        <v>2532643</v>
      </c>
      <c r="AF30">
        <v>86362</v>
      </c>
      <c r="AG30">
        <v>0</v>
      </c>
      <c r="AH30">
        <v>0</v>
      </c>
      <c r="AI30">
        <v>0</v>
      </c>
      <c r="AJ30">
        <v>7525740</v>
      </c>
      <c r="AK30">
        <v>206849</v>
      </c>
      <c r="AL30">
        <v>0</v>
      </c>
      <c r="AM30">
        <v>0</v>
      </c>
      <c r="AN30">
        <v>9004117</v>
      </c>
      <c r="AP30">
        <v>0</v>
      </c>
      <c r="AQ30">
        <v>12960570</v>
      </c>
      <c r="AR30">
        <v>1683336</v>
      </c>
      <c r="AT30">
        <v>3141561</v>
      </c>
      <c r="AU30">
        <v>7721494</v>
      </c>
      <c r="AV30">
        <v>376394</v>
      </c>
      <c r="AX30">
        <v>854934</v>
      </c>
      <c r="AY30">
        <v>2286990</v>
      </c>
      <c r="BA30">
        <v>23604</v>
      </c>
      <c r="BB30">
        <v>1662356</v>
      </c>
      <c r="BD30">
        <v>0</v>
      </c>
      <c r="BE30">
        <v>13599373</v>
      </c>
      <c r="BH30">
        <v>1817873</v>
      </c>
      <c r="BI30">
        <v>878386</v>
      </c>
      <c r="BJ30">
        <v>790446</v>
      </c>
      <c r="BK30">
        <v>3984931</v>
      </c>
      <c r="BL30">
        <v>1937287</v>
      </c>
      <c r="BM30">
        <v>0</v>
      </c>
      <c r="BN30">
        <v>4651945</v>
      </c>
      <c r="BO30">
        <v>1230743</v>
      </c>
      <c r="BP30">
        <v>868157</v>
      </c>
      <c r="BQ30">
        <v>1793058</v>
      </c>
      <c r="BR30">
        <v>0</v>
      </c>
      <c r="BS30">
        <v>0</v>
      </c>
      <c r="BT30">
        <v>1018555</v>
      </c>
      <c r="BU30">
        <v>2869679</v>
      </c>
      <c r="BW30">
        <v>579894</v>
      </c>
      <c r="BX30">
        <v>0</v>
      </c>
      <c r="BY30">
        <v>0</v>
      </c>
      <c r="BZ30">
        <v>8747053</v>
      </c>
      <c r="CA30">
        <v>0</v>
      </c>
    </row>
    <row r="31" spans="1:79" x14ac:dyDescent="0.3">
      <c r="A31">
        <v>88</v>
      </c>
      <c r="B31" t="s">
        <v>217</v>
      </c>
      <c r="D31">
        <v>0</v>
      </c>
      <c r="E31">
        <v>0</v>
      </c>
      <c r="G31">
        <v>26024394</v>
      </c>
      <c r="H31">
        <v>3832225</v>
      </c>
      <c r="I31">
        <v>226789</v>
      </c>
      <c r="J31">
        <v>982756</v>
      </c>
      <c r="K31">
        <v>982946</v>
      </c>
      <c r="L31">
        <v>20774329</v>
      </c>
      <c r="N31">
        <v>699310</v>
      </c>
      <c r="P31">
        <v>0</v>
      </c>
      <c r="Q31">
        <v>5088281</v>
      </c>
      <c r="R31">
        <v>6679510</v>
      </c>
      <c r="S31">
        <v>7122768</v>
      </c>
      <c r="T31">
        <v>135383</v>
      </c>
      <c r="U31">
        <v>17701921</v>
      </c>
      <c r="V31">
        <v>0</v>
      </c>
      <c r="W31">
        <v>0</v>
      </c>
      <c r="X31">
        <v>0</v>
      </c>
      <c r="Y31">
        <v>2390339</v>
      </c>
      <c r="Z31">
        <v>1497161</v>
      </c>
      <c r="AB31">
        <v>0</v>
      </c>
      <c r="AC31">
        <v>126517</v>
      </c>
      <c r="AD31">
        <v>1086182</v>
      </c>
      <c r="AE31">
        <v>2054046</v>
      </c>
      <c r="AF31">
        <v>50194</v>
      </c>
      <c r="AG31">
        <v>0</v>
      </c>
      <c r="AH31">
        <v>0</v>
      </c>
      <c r="AI31">
        <v>0</v>
      </c>
      <c r="AJ31">
        <v>5603152</v>
      </c>
      <c r="AK31">
        <v>142031</v>
      </c>
      <c r="AL31">
        <v>0</v>
      </c>
      <c r="AM31">
        <v>0</v>
      </c>
      <c r="AN31">
        <v>10070782</v>
      </c>
      <c r="AP31">
        <v>0</v>
      </c>
      <c r="AQ31">
        <v>12878102</v>
      </c>
      <c r="AR31">
        <v>891197</v>
      </c>
      <c r="AT31">
        <v>2674632</v>
      </c>
      <c r="AU31">
        <v>7710986</v>
      </c>
      <c r="AV31">
        <v>467084</v>
      </c>
      <c r="AX31">
        <v>1523239</v>
      </c>
      <c r="AY31">
        <v>2132304</v>
      </c>
      <c r="BA31">
        <v>8853</v>
      </c>
      <c r="BB31">
        <v>1556785</v>
      </c>
      <c r="BD31">
        <v>0</v>
      </c>
      <c r="BE31">
        <v>10025681</v>
      </c>
      <c r="BH31">
        <v>1585666</v>
      </c>
      <c r="BI31">
        <v>1155640</v>
      </c>
      <c r="BJ31">
        <v>356733</v>
      </c>
      <c r="BK31">
        <v>2534533</v>
      </c>
      <c r="BL31">
        <v>2285330</v>
      </c>
      <c r="BM31">
        <v>0</v>
      </c>
      <c r="BN31">
        <v>4238878</v>
      </c>
      <c r="BO31">
        <v>1455451</v>
      </c>
      <c r="BP31">
        <v>830700</v>
      </c>
      <c r="BQ31">
        <v>1688792</v>
      </c>
      <c r="BR31">
        <v>0</v>
      </c>
      <c r="BS31">
        <v>0</v>
      </c>
      <c r="BT31">
        <v>735536</v>
      </c>
      <c r="BU31">
        <v>3546022</v>
      </c>
      <c r="BW31">
        <v>763702</v>
      </c>
      <c r="BX31">
        <v>0</v>
      </c>
      <c r="BY31">
        <v>0</v>
      </c>
      <c r="BZ31">
        <v>8334674</v>
      </c>
      <c r="CA31">
        <v>0</v>
      </c>
    </row>
    <row r="32" spans="1:79" x14ac:dyDescent="0.3">
      <c r="A32">
        <v>89</v>
      </c>
      <c r="B32" t="s">
        <v>221</v>
      </c>
      <c r="D32">
        <v>0</v>
      </c>
      <c r="E32">
        <v>0</v>
      </c>
      <c r="G32">
        <v>1328952</v>
      </c>
      <c r="H32">
        <v>19868</v>
      </c>
      <c r="I32">
        <v>765</v>
      </c>
      <c r="J32">
        <v>0</v>
      </c>
      <c r="K32">
        <v>71649</v>
      </c>
      <c r="L32">
        <v>2030220</v>
      </c>
      <c r="N32">
        <v>0</v>
      </c>
      <c r="P32">
        <v>0</v>
      </c>
      <c r="Q32">
        <v>0</v>
      </c>
      <c r="R32">
        <v>30230</v>
      </c>
      <c r="S32">
        <v>0</v>
      </c>
      <c r="T32">
        <v>0</v>
      </c>
      <c r="U32">
        <v>65192</v>
      </c>
      <c r="V32">
        <v>0</v>
      </c>
      <c r="W32">
        <v>0</v>
      </c>
      <c r="X32">
        <v>0</v>
      </c>
      <c r="Y32">
        <v>49076</v>
      </c>
      <c r="Z32">
        <v>13041</v>
      </c>
      <c r="AB32">
        <v>0</v>
      </c>
      <c r="AC32">
        <v>4861</v>
      </c>
      <c r="AD32">
        <v>38829</v>
      </c>
      <c r="AE32">
        <v>150189</v>
      </c>
      <c r="AF32">
        <v>0</v>
      </c>
      <c r="AG32">
        <v>0</v>
      </c>
      <c r="AH32">
        <v>0</v>
      </c>
      <c r="AI32">
        <v>0</v>
      </c>
      <c r="AJ32">
        <v>48474</v>
      </c>
      <c r="AK32">
        <v>0</v>
      </c>
      <c r="AL32">
        <v>0</v>
      </c>
      <c r="AM32">
        <v>0</v>
      </c>
      <c r="AN32">
        <v>258685</v>
      </c>
      <c r="AP32">
        <v>0</v>
      </c>
      <c r="AQ32">
        <v>95805</v>
      </c>
      <c r="AR32">
        <v>0</v>
      </c>
      <c r="AT32">
        <v>0</v>
      </c>
      <c r="AU32">
        <v>58172</v>
      </c>
      <c r="AV32">
        <v>2020</v>
      </c>
      <c r="AX32">
        <v>0</v>
      </c>
      <c r="AY32">
        <v>7647</v>
      </c>
      <c r="BA32">
        <v>0</v>
      </c>
      <c r="BB32">
        <v>12228</v>
      </c>
      <c r="BD32">
        <v>0</v>
      </c>
      <c r="BE32">
        <v>39575</v>
      </c>
      <c r="BH32">
        <v>22563</v>
      </c>
      <c r="BI32">
        <v>20533</v>
      </c>
      <c r="BJ32">
        <v>0</v>
      </c>
      <c r="BK32">
        <v>0</v>
      </c>
      <c r="BL32">
        <v>4983</v>
      </c>
      <c r="BM32">
        <v>0</v>
      </c>
      <c r="BN32">
        <v>19335</v>
      </c>
      <c r="BO32">
        <v>17041</v>
      </c>
      <c r="BP32">
        <v>23293</v>
      </c>
      <c r="BQ32">
        <v>0</v>
      </c>
      <c r="BR32">
        <v>0</v>
      </c>
      <c r="BS32">
        <v>0</v>
      </c>
      <c r="BT32">
        <v>5548</v>
      </c>
      <c r="BU32">
        <v>21589</v>
      </c>
      <c r="BW32">
        <v>4413</v>
      </c>
      <c r="BX32">
        <v>0</v>
      </c>
      <c r="BY32">
        <v>0</v>
      </c>
      <c r="BZ32">
        <v>214005</v>
      </c>
      <c r="CA32">
        <v>0</v>
      </c>
    </row>
    <row r="33" spans="1:79" x14ac:dyDescent="0.3">
      <c r="A33">
        <v>90</v>
      </c>
      <c r="B33" t="s">
        <v>214</v>
      </c>
      <c r="D33">
        <v>0</v>
      </c>
      <c r="E33">
        <v>0</v>
      </c>
      <c r="G33">
        <v>0</v>
      </c>
      <c r="H33">
        <v>0</v>
      </c>
      <c r="I33">
        <v>0</v>
      </c>
      <c r="J33">
        <v>0</v>
      </c>
      <c r="K33">
        <v>0</v>
      </c>
      <c r="L33">
        <v>0</v>
      </c>
      <c r="N33">
        <v>0</v>
      </c>
      <c r="P33">
        <v>0</v>
      </c>
      <c r="Q33">
        <v>0</v>
      </c>
      <c r="R33">
        <v>0</v>
      </c>
      <c r="S33">
        <v>4466057</v>
      </c>
      <c r="T33">
        <v>0</v>
      </c>
      <c r="U33">
        <v>40166763</v>
      </c>
      <c r="V33">
        <v>0</v>
      </c>
      <c r="W33">
        <v>0</v>
      </c>
      <c r="X33">
        <v>0</v>
      </c>
      <c r="Y33">
        <v>0</v>
      </c>
      <c r="Z33">
        <v>767429</v>
      </c>
      <c r="AB33">
        <v>0</v>
      </c>
      <c r="AC33">
        <v>0</v>
      </c>
      <c r="AD33">
        <v>0</v>
      </c>
      <c r="AE33">
        <v>2080810</v>
      </c>
      <c r="AF33">
        <v>0</v>
      </c>
      <c r="AG33">
        <v>0</v>
      </c>
      <c r="AH33">
        <v>0</v>
      </c>
      <c r="AI33">
        <v>0</v>
      </c>
      <c r="AJ33">
        <v>1169948</v>
      </c>
      <c r="AK33">
        <v>0</v>
      </c>
      <c r="AL33">
        <v>0</v>
      </c>
      <c r="AM33">
        <v>0</v>
      </c>
      <c r="AN33">
        <v>0</v>
      </c>
      <c r="AP33">
        <v>0</v>
      </c>
      <c r="AQ33">
        <v>16280591</v>
      </c>
      <c r="AR33">
        <v>0</v>
      </c>
      <c r="AT33">
        <v>0</v>
      </c>
      <c r="AU33">
        <v>5456672</v>
      </c>
      <c r="AV33">
        <v>0</v>
      </c>
      <c r="AX33">
        <v>0</v>
      </c>
      <c r="AY33">
        <v>0</v>
      </c>
      <c r="BA33">
        <v>0</v>
      </c>
      <c r="BB33">
        <v>0</v>
      </c>
      <c r="BD33">
        <v>0</v>
      </c>
      <c r="BE33">
        <v>6827903</v>
      </c>
      <c r="BH33">
        <v>0</v>
      </c>
      <c r="BI33">
        <v>0</v>
      </c>
      <c r="BJ33">
        <v>0</v>
      </c>
      <c r="BK33">
        <v>2674952</v>
      </c>
      <c r="BL33">
        <v>0</v>
      </c>
      <c r="BM33">
        <v>0</v>
      </c>
      <c r="BN33">
        <v>0</v>
      </c>
      <c r="BO33">
        <v>0</v>
      </c>
      <c r="BP33">
        <v>0</v>
      </c>
      <c r="BQ33">
        <v>0</v>
      </c>
      <c r="BR33">
        <v>0</v>
      </c>
      <c r="BS33">
        <v>0</v>
      </c>
      <c r="BT33">
        <v>0</v>
      </c>
      <c r="BU33">
        <v>0</v>
      </c>
      <c r="BW33">
        <v>0</v>
      </c>
      <c r="BX33">
        <v>0</v>
      </c>
      <c r="BY33">
        <v>0</v>
      </c>
      <c r="BZ33">
        <v>0</v>
      </c>
      <c r="CA33">
        <v>0</v>
      </c>
    </row>
    <row r="34" spans="1:79" x14ac:dyDescent="0.3">
      <c r="A34">
        <v>91</v>
      </c>
      <c r="B34" t="s">
        <v>215</v>
      </c>
      <c r="D34">
        <v>0</v>
      </c>
      <c r="E34">
        <v>0</v>
      </c>
      <c r="G34">
        <v>0</v>
      </c>
      <c r="H34">
        <v>0</v>
      </c>
      <c r="I34">
        <v>0</v>
      </c>
      <c r="J34">
        <v>0</v>
      </c>
      <c r="K34">
        <v>0</v>
      </c>
      <c r="L34">
        <v>0</v>
      </c>
      <c r="N34">
        <v>0</v>
      </c>
      <c r="P34">
        <v>0</v>
      </c>
      <c r="Q34">
        <v>0</v>
      </c>
      <c r="R34">
        <v>0</v>
      </c>
      <c r="S34">
        <v>1712583</v>
      </c>
      <c r="T34">
        <v>0</v>
      </c>
      <c r="U34">
        <v>5556924</v>
      </c>
      <c r="V34">
        <v>0</v>
      </c>
      <c r="W34">
        <v>0</v>
      </c>
      <c r="X34">
        <v>0</v>
      </c>
      <c r="Y34">
        <v>0</v>
      </c>
      <c r="Z34">
        <v>109170</v>
      </c>
      <c r="AB34">
        <v>0</v>
      </c>
      <c r="AC34">
        <v>0</v>
      </c>
      <c r="AD34">
        <v>0</v>
      </c>
      <c r="AE34">
        <v>981867</v>
      </c>
      <c r="AF34">
        <v>0</v>
      </c>
      <c r="AG34">
        <v>0</v>
      </c>
      <c r="AH34">
        <v>0</v>
      </c>
      <c r="AI34">
        <v>0</v>
      </c>
      <c r="AJ34">
        <v>1141232</v>
      </c>
      <c r="AK34">
        <v>0</v>
      </c>
      <c r="AL34">
        <v>0</v>
      </c>
      <c r="AM34">
        <v>0</v>
      </c>
      <c r="AN34">
        <v>0</v>
      </c>
      <c r="AP34">
        <v>0</v>
      </c>
      <c r="AQ34">
        <v>5730897</v>
      </c>
      <c r="AR34">
        <v>0</v>
      </c>
      <c r="AT34">
        <v>0</v>
      </c>
      <c r="AU34">
        <v>524842</v>
      </c>
      <c r="AV34">
        <v>0</v>
      </c>
      <c r="AX34">
        <v>0</v>
      </c>
      <c r="AY34">
        <v>0</v>
      </c>
      <c r="BA34">
        <v>0</v>
      </c>
      <c r="BB34">
        <v>0</v>
      </c>
      <c r="BD34">
        <v>0</v>
      </c>
      <c r="BE34">
        <v>5475371</v>
      </c>
      <c r="BH34">
        <v>0</v>
      </c>
      <c r="BI34">
        <v>0</v>
      </c>
      <c r="BJ34">
        <v>0</v>
      </c>
      <c r="BK34">
        <v>522583</v>
      </c>
      <c r="BL34">
        <v>0</v>
      </c>
      <c r="BM34">
        <v>0</v>
      </c>
      <c r="BN34">
        <v>0</v>
      </c>
      <c r="BO34">
        <v>0</v>
      </c>
      <c r="BP34">
        <v>0</v>
      </c>
      <c r="BQ34">
        <v>0</v>
      </c>
      <c r="BR34">
        <v>0</v>
      </c>
      <c r="BS34">
        <v>0</v>
      </c>
      <c r="BT34">
        <v>0</v>
      </c>
      <c r="BU34">
        <v>0</v>
      </c>
      <c r="BW34">
        <v>0</v>
      </c>
      <c r="BX34">
        <v>0</v>
      </c>
      <c r="BY34">
        <v>0</v>
      </c>
      <c r="BZ34">
        <v>0</v>
      </c>
      <c r="CA34">
        <v>0</v>
      </c>
    </row>
    <row r="35" spans="1:79" x14ac:dyDescent="0.3">
      <c r="A35">
        <v>93</v>
      </c>
      <c r="B35" t="s">
        <v>228</v>
      </c>
      <c r="D35">
        <v>0</v>
      </c>
      <c r="E35">
        <v>0</v>
      </c>
      <c r="G35">
        <v>0</v>
      </c>
      <c r="H35">
        <v>0</v>
      </c>
      <c r="I35">
        <v>0</v>
      </c>
      <c r="J35">
        <v>0</v>
      </c>
      <c r="K35">
        <v>0</v>
      </c>
      <c r="L35">
        <v>0</v>
      </c>
      <c r="N35">
        <v>0</v>
      </c>
      <c r="P35">
        <v>0</v>
      </c>
      <c r="Q35">
        <v>0</v>
      </c>
      <c r="R35">
        <v>0</v>
      </c>
      <c r="S35">
        <v>16830052</v>
      </c>
      <c r="T35">
        <v>0</v>
      </c>
      <c r="U35">
        <v>46319931</v>
      </c>
      <c r="V35">
        <v>0</v>
      </c>
      <c r="W35">
        <v>0</v>
      </c>
      <c r="X35">
        <v>0</v>
      </c>
      <c r="Y35">
        <v>0</v>
      </c>
      <c r="Z35">
        <v>3531963</v>
      </c>
      <c r="AB35">
        <v>0</v>
      </c>
      <c r="AC35">
        <v>0</v>
      </c>
      <c r="AD35">
        <v>0</v>
      </c>
      <c r="AE35">
        <v>5894350</v>
      </c>
      <c r="AF35">
        <v>0</v>
      </c>
      <c r="AG35">
        <v>0</v>
      </c>
      <c r="AH35">
        <v>0</v>
      </c>
      <c r="AI35">
        <v>0</v>
      </c>
      <c r="AJ35">
        <v>14397627</v>
      </c>
      <c r="AK35">
        <v>0</v>
      </c>
      <c r="AL35">
        <v>0</v>
      </c>
      <c r="AM35">
        <v>0</v>
      </c>
      <c r="AN35">
        <v>0</v>
      </c>
      <c r="AP35">
        <v>0</v>
      </c>
      <c r="AQ35">
        <v>45278859</v>
      </c>
      <c r="AR35">
        <v>0</v>
      </c>
      <c r="AT35">
        <v>0</v>
      </c>
      <c r="AU35">
        <v>7701699</v>
      </c>
      <c r="AV35">
        <v>0</v>
      </c>
      <c r="AX35">
        <v>0</v>
      </c>
      <c r="AY35">
        <v>0</v>
      </c>
      <c r="BA35">
        <v>0</v>
      </c>
      <c r="BB35">
        <v>0</v>
      </c>
      <c r="BD35">
        <v>0</v>
      </c>
      <c r="BE35">
        <v>29305121</v>
      </c>
      <c r="BH35">
        <v>0</v>
      </c>
      <c r="BI35">
        <v>0</v>
      </c>
      <c r="BJ35">
        <v>0</v>
      </c>
      <c r="BK35">
        <v>7061508</v>
      </c>
      <c r="BL35">
        <v>0</v>
      </c>
      <c r="BM35">
        <v>0</v>
      </c>
      <c r="BN35">
        <v>0</v>
      </c>
      <c r="BO35">
        <v>0</v>
      </c>
      <c r="BP35">
        <v>0</v>
      </c>
      <c r="BQ35">
        <v>0</v>
      </c>
      <c r="BR35">
        <v>0</v>
      </c>
      <c r="BS35">
        <v>0</v>
      </c>
      <c r="BT35">
        <v>0</v>
      </c>
      <c r="BU35">
        <v>0</v>
      </c>
      <c r="BW35">
        <v>0</v>
      </c>
      <c r="BX35">
        <v>0</v>
      </c>
      <c r="BY35">
        <v>0</v>
      </c>
      <c r="BZ35">
        <v>0</v>
      </c>
      <c r="CA35">
        <v>0</v>
      </c>
    </row>
    <row r="36" spans="1:79" x14ac:dyDescent="0.3">
      <c r="A36">
        <v>94</v>
      </c>
      <c r="B36" t="s">
        <v>231</v>
      </c>
      <c r="D36">
        <v>0</v>
      </c>
      <c r="E36">
        <v>0</v>
      </c>
      <c r="G36">
        <v>0</v>
      </c>
      <c r="H36">
        <v>0</v>
      </c>
      <c r="I36">
        <v>0</v>
      </c>
      <c r="J36">
        <v>0</v>
      </c>
      <c r="K36">
        <v>0</v>
      </c>
      <c r="L36">
        <v>0</v>
      </c>
      <c r="N36">
        <v>0</v>
      </c>
      <c r="P36">
        <v>0</v>
      </c>
      <c r="Q36">
        <v>0</v>
      </c>
      <c r="R36">
        <v>0</v>
      </c>
      <c r="S36">
        <v>14706543</v>
      </c>
      <c r="T36">
        <v>0</v>
      </c>
      <c r="U36">
        <v>38982371</v>
      </c>
      <c r="V36">
        <v>0</v>
      </c>
      <c r="W36">
        <v>0</v>
      </c>
      <c r="X36">
        <v>0</v>
      </c>
      <c r="Y36">
        <v>0</v>
      </c>
      <c r="Z36">
        <v>3212639</v>
      </c>
      <c r="AB36">
        <v>0</v>
      </c>
      <c r="AC36">
        <v>0</v>
      </c>
      <c r="AD36">
        <v>0</v>
      </c>
      <c r="AE36">
        <v>5878122</v>
      </c>
      <c r="AF36">
        <v>0</v>
      </c>
      <c r="AG36">
        <v>0</v>
      </c>
      <c r="AH36">
        <v>0</v>
      </c>
      <c r="AI36">
        <v>0</v>
      </c>
      <c r="AJ36">
        <v>14191969</v>
      </c>
      <c r="AK36">
        <v>0</v>
      </c>
      <c r="AL36">
        <v>0</v>
      </c>
      <c r="AM36">
        <v>0</v>
      </c>
      <c r="AN36">
        <v>0</v>
      </c>
      <c r="AP36">
        <v>0</v>
      </c>
      <c r="AQ36">
        <v>41130141</v>
      </c>
      <c r="AR36">
        <v>0</v>
      </c>
      <c r="AT36">
        <v>0</v>
      </c>
      <c r="AU36">
        <v>6926574</v>
      </c>
      <c r="AV36">
        <v>0</v>
      </c>
      <c r="AX36">
        <v>0</v>
      </c>
      <c r="AY36">
        <v>0</v>
      </c>
      <c r="BA36">
        <v>0</v>
      </c>
      <c r="BB36">
        <v>0</v>
      </c>
      <c r="BD36">
        <v>0</v>
      </c>
      <c r="BE36">
        <v>28282001</v>
      </c>
      <c r="BH36">
        <v>0</v>
      </c>
      <c r="BI36">
        <v>0</v>
      </c>
      <c r="BJ36">
        <v>0</v>
      </c>
      <c r="BK36">
        <v>7462242</v>
      </c>
      <c r="BL36">
        <v>0</v>
      </c>
      <c r="BM36">
        <v>0</v>
      </c>
      <c r="BN36">
        <v>0</v>
      </c>
      <c r="BO36">
        <v>0</v>
      </c>
      <c r="BP36">
        <v>0</v>
      </c>
      <c r="BQ36">
        <v>0</v>
      </c>
      <c r="BR36">
        <v>0</v>
      </c>
      <c r="BS36">
        <v>0</v>
      </c>
      <c r="BT36">
        <v>0</v>
      </c>
      <c r="BU36">
        <v>0</v>
      </c>
      <c r="BW36">
        <v>0</v>
      </c>
      <c r="BX36">
        <v>0</v>
      </c>
      <c r="BY36">
        <v>0</v>
      </c>
      <c r="BZ36">
        <v>0</v>
      </c>
      <c r="CA36">
        <v>0</v>
      </c>
    </row>
    <row r="37" spans="1:79" x14ac:dyDescent="0.3">
      <c r="A37">
        <v>97</v>
      </c>
      <c r="B37" t="s">
        <v>227</v>
      </c>
      <c r="D37">
        <v>0</v>
      </c>
      <c r="E37">
        <v>0</v>
      </c>
      <c r="G37">
        <v>0</v>
      </c>
      <c r="H37">
        <v>0</v>
      </c>
      <c r="I37">
        <v>0</v>
      </c>
      <c r="J37">
        <v>0</v>
      </c>
      <c r="K37">
        <v>0</v>
      </c>
      <c r="L37">
        <v>0</v>
      </c>
      <c r="N37">
        <v>0</v>
      </c>
      <c r="P37">
        <v>0</v>
      </c>
      <c r="Q37">
        <v>0</v>
      </c>
      <c r="R37">
        <v>0</v>
      </c>
      <c r="S37">
        <v>16653945</v>
      </c>
      <c r="T37">
        <v>0</v>
      </c>
      <c r="U37">
        <v>46229642</v>
      </c>
      <c r="V37">
        <v>0</v>
      </c>
      <c r="W37">
        <v>0</v>
      </c>
      <c r="X37">
        <v>0</v>
      </c>
      <c r="Y37">
        <v>0</v>
      </c>
      <c r="Z37">
        <v>3528551</v>
      </c>
      <c r="AB37">
        <v>0</v>
      </c>
      <c r="AC37">
        <v>0</v>
      </c>
      <c r="AD37">
        <v>0</v>
      </c>
      <c r="AE37">
        <v>5738070</v>
      </c>
      <c r="AF37">
        <v>0</v>
      </c>
      <c r="AG37">
        <v>0</v>
      </c>
      <c r="AH37">
        <v>0</v>
      </c>
      <c r="AI37">
        <v>0</v>
      </c>
      <c r="AJ37">
        <v>13897345</v>
      </c>
      <c r="AK37">
        <v>0</v>
      </c>
      <c r="AL37">
        <v>0</v>
      </c>
      <c r="AM37">
        <v>0</v>
      </c>
      <c r="AN37">
        <v>0</v>
      </c>
      <c r="AP37">
        <v>0</v>
      </c>
      <c r="AQ37">
        <v>44644078</v>
      </c>
      <c r="AR37">
        <v>0</v>
      </c>
      <c r="AT37">
        <v>0</v>
      </c>
      <c r="AU37">
        <v>6629936</v>
      </c>
      <c r="AV37">
        <v>0</v>
      </c>
      <c r="AX37">
        <v>0</v>
      </c>
      <c r="AY37">
        <v>0</v>
      </c>
      <c r="BA37">
        <v>0</v>
      </c>
      <c r="BB37">
        <v>0</v>
      </c>
      <c r="BD37">
        <v>0</v>
      </c>
      <c r="BE37">
        <v>29305121</v>
      </c>
      <c r="BH37">
        <v>0</v>
      </c>
      <c r="BI37">
        <v>0</v>
      </c>
      <c r="BJ37">
        <v>0</v>
      </c>
      <c r="BK37">
        <v>7061508</v>
      </c>
      <c r="BL37">
        <v>0</v>
      </c>
      <c r="BM37">
        <v>0</v>
      </c>
      <c r="BN37">
        <v>0</v>
      </c>
      <c r="BO37">
        <v>0</v>
      </c>
      <c r="BP37">
        <v>0</v>
      </c>
      <c r="BQ37">
        <v>0</v>
      </c>
      <c r="BR37">
        <v>0</v>
      </c>
      <c r="BS37">
        <v>0</v>
      </c>
      <c r="BT37">
        <v>0</v>
      </c>
      <c r="BU37">
        <v>0</v>
      </c>
      <c r="BW37">
        <v>0</v>
      </c>
      <c r="BX37">
        <v>0</v>
      </c>
      <c r="BY37">
        <v>0</v>
      </c>
      <c r="BZ37">
        <v>0</v>
      </c>
      <c r="CA37">
        <v>0</v>
      </c>
    </row>
    <row r="38" spans="1:79" x14ac:dyDescent="0.3">
      <c r="A38">
        <v>98</v>
      </c>
      <c r="B38" t="s">
        <v>232</v>
      </c>
      <c r="D38">
        <v>0</v>
      </c>
      <c r="E38">
        <v>0</v>
      </c>
      <c r="G38">
        <v>0</v>
      </c>
      <c r="H38">
        <v>0</v>
      </c>
      <c r="I38">
        <v>0</v>
      </c>
      <c r="J38">
        <v>0</v>
      </c>
      <c r="K38">
        <v>0</v>
      </c>
      <c r="L38">
        <v>0</v>
      </c>
      <c r="N38">
        <v>0</v>
      </c>
      <c r="P38">
        <v>0</v>
      </c>
      <c r="Q38">
        <v>0</v>
      </c>
      <c r="R38">
        <v>0</v>
      </c>
      <c r="S38">
        <v>171065</v>
      </c>
      <c r="T38">
        <v>0</v>
      </c>
      <c r="U38">
        <v>3698</v>
      </c>
      <c r="V38">
        <v>0</v>
      </c>
      <c r="W38">
        <v>0</v>
      </c>
      <c r="X38">
        <v>0</v>
      </c>
      <c r="Y38">
        <v>0</v>
      </c>
      <c r="Z38">
        <v>120635</v>
      </c>
      <c r="AB38">
        <v>0</v>
      </c>
      <c r="AC38">
        <v>0</v>
      </c>
      <c r="AD38">
        <v>0</v>
      </c>
      <c r="AE38">
        <v>2301</v>
      </c>
      <c r="AF38">
        <v>0</v>
      </c>
      <c r="AG38">
        <v>0</v>
      </c>
      <c r="AH38">
        <v>0</v>
      </c>
      <c r="AI38">
        <v>0</v>
      </c>
      <c r="AJ38">
        <v>28488</v>
      </c>
      <c r="AK38">
        <v>0</v>
      </c>
      <c r="AL38">
        <v>0</v>
      </c>
      <c r="AM38">
        <v>0</v>
      </c>
      <c r="AN38">
        <v>0</v>
      </c>
      <c r="AP38">
        <v>0</v>
      </c>
      <c r="AQ38">
        <v>72180</v>
      </c>
      <c r="AR38">
        <v>0</v>
      </c>
      <c r="AT38">
        <v>0</v>
      </c>
      <c r="AU38">
        <v>364</v>
      </c>
      <c r="AV38">
        <v>0</v>
      </c>
      <c r="AX38">
        <v>0</v>
      </c>
      <c r="AY38">
        <v>0</v>
      </c>
      <c r="BA38">
        <v>0</v>
      </c>
      <c r="BB38">
        <v>0</v>
      </c>
      <c r="BD38">
        <v>0</v>
      </c>
      <c r="BE38">
        <v>1697</v>
      </c>
      <c r="BH38">
        <v>0</v>
      </c>
      <c r="BI38">
        <v>0</v>
      </c>
      <c r="BJ38">
        <v>0</v>
      </c>
      <c r="BK38">
        <v>2675</v>
      </c>
      <c r="BL38">
        <v>0</v>
      </c>
      <c r="BM38">
        <v>0</v>
      </c>
      <c r="BN38">
        <v>0</v>
      </c>
      <c r="BO38">
        <v>0</v>
      </c>
      <c r="BP38">
        <v>0</v>
      </c>
      <c r="BQ38">
        <v>0</v>
      </c>
      <c r="BR38">
        <v>0</v>
      </c>
      <c r="BS38">
        <v>0</v>
      </c>
      <c r="BT38">
        <v>0</v>
      </c>
      <c r="BU38">
        <v>0</v>
      </c>
      <c r="BW38">
        <v>0</v>
      </c>
      <c r="BX38">
        <v>0</v>
      </c>
      <c r="BY38">
        <v>0</v>
      </c>
      <c r="BZ38">
        <v>0</v>
      </c>
      <c r="CA38">
        <v>0</v>
      </c>
    </row>
    <row r="39" spans="1:79" x14ac:dyDescent="0.3">
      <c r="A39">
        <v>99</v>
      </c>
      <c r="B39" t="s">
        <v>229</v>
      </c>
      <c r="D39">
        <v>0</v>
      </c>
      <c r="E39">
        <v>0</v>
      </c>
      <c r="G39">
        <v>0</v>
      </c>
      <c r="H39">
        <v>0</v>
      </c>
      <c r="I39">
        <v>0</v>
      </c>
      <c r="J39">
        <v>0</v>
      </c>
      <c r="K39">
        <v>0</v>
      </c>
      <c r="L39">
        <v>0</v>
      </c>
      <c r="N39">
        <v>0</v>
      </c>
      <c r="P39">
        <v>0</v>
      </c>
      <c r="Q39">
        <v>0</v>
      </c>
      <c r="R39">
        <v>0</v>
      </c>
      <c r="S39">
        <v>9846461</v>
      </c>
      <c r="T39">
        <v>0</v>
      </c>
      <c r="U39">
        <v>37982927</v>
      </c>
      <c r="V39">
        <v>0</v>
      </c>
      <c r="W39">
        <v>0</v>
      </c>
      <c r="X39">
        <v>0</v>
      </c>
      <c r="Y39">
        <v>0</v>
      </c>
      <c r="Z39">
        <v>1753557</v>
      </c>
      <c r="AB39">
        <v>0</v>
      </c>
      <c r="AC39">
        <v>0</v>
      </c>
      <c r="AD39">
        <v>0</v>
      </c>
      <c r="AE39">
        <v>3474919</v>
      </c>
      <c r="AF39">
        <v>0</v>
      </c>
      <c r="AG39">
        <v>0</v>
      </c>
      <c r="AH39">
        <v>0</v>
      </c>
      <c r="AI39">
        <v>0</v>
      </c>
      <c r="AJ39">
        <v>10380339</v>
      </c>
      <c r="AK39">
        <v>0</v>
      </c>
      <c r="AL39">
        <v>0</v>
      </c>
      <c r="AM39">
        <v>0</v>
      </c>
      <c r="AN39">
        <v>0</v>
      </c>
      <c r="AP39">
        <v>0</v>
      </c>
      <c r="AQ39">
        <v>28067499</v>
      </c>
      <c r="AR39">
        <v>0</v>
      </c>
      <c r="AT39">
        <v>0</v>
      </c>
      <c r="AU39">
        <v>4413439</v>
      </c>
      <c r="AV39">
        <v>0</v>
      </c>
      <c r="AX39">
        <v>0</v>
      </c>
      <c r="AY39">
        <v>0</v>
      </c>
      <c r="BA39">
        <v>0</v>
      </c>
      <c r="BB39">
        <v>0</v>
      </c>
      <c r="BD39">
        <v>0</v>
      </c>
      <c r="BE39">
        <v>22990077</v>
      </c>
      <c r="BH39">
        <v>0</v>
      </c>
      <c r="BI39">
        <v>0</v>
      </c>
      <c r="BJ39">
        <v>0</v>
      </c>
      <c r="BK39">
        <v>5100669</v>
      </c>
      <c r="BL39">
        <v>0</v>
      </c>
      <c r="BM39">
        <v>0</v>
      </c>
      <c r="BN39">
        <v>0</v>
      </c>
      <c r="BO39">
        <v>0</v>
      </c>
      <c r="BP39">
        <v>0</v>
      </c>
      <c r="BQ39">
        <v>0</v>
      </c>
      <c r="BR39">
        <v>0</v>
      </c>
      <c r="BS39">
        <v>0</v>
      </c>
      <c r="BT39">
        <v>0</v>
      </c>
      <c r="BU39">
        <v>0</v>
      </c>
      <c r="BW39">
        <v>0</v>
      </c>
      <c r="BX39">
        <v>0</v>
      </c>
      <c r="BY39">
        <v>0</v>
      </c>
      <c r="BZ39">
        <v>0</v>
      </c>
      <c r="CA39">
        <v>0</v>
      </c>
    </row>
    <row r="40" spans="1:79" x14ac:dyDescent="0.3">
      <c r="A40">
        <v>100</v>
      </c>
      <c r="B40" t="s">
        <v>242</v>
      </c>
      <c r="D40">
        <v>0</v>
      </c>
      <c r="E40">
        <v>0</v>
      </c>
      <c r="G40">
        <v>0</v>
      </c>
      <c r="H40">
        <v>0</v>
      </c>
      <c r="I40">
        <v>0</v>
      </c>
      <c r="J40">
        <v>0</v>
      </c>
      <c r="K40">
        <v>0</v>
      </c>
      <c r="L40">
        <v>0</v>
      </c>
      <c r="N40">
        <v>0</v>
      </c>
      <c r="P40">
        <v>0</v>
      </c>
      <c r="Q40">
        <v>0</v>
      </c>
      <c r="R40">
        <v>0</v>
      </c>
      <c r="S40">
        <v>151984</v>
      </c>
      <c r="T40">
        <v>0</v>
      </c>
      <c r="U40">
        <v>217830</v>
      </c>
      <c r="V40">
        <v>0</v>
      </c>
      <c r="W40">
        <v>0</v>
      </c>
      <c r="X40">
        <v>0</v>
      </c>
      <c r="Y40">
        <v>0</v>
      </c>
      <c r="Z40">
        <v>507482</v>
      </c>
      <c r="AB40">
        <v>0</v>
      </c>
      <c r="AC40">
        <v>0</v>
      </c>
      <c r="AD40">
        <v>0</v>
      </c>
      <c r="AE40">
        <v>35955</v>
      </c>
      <c r="AF40">
        <v>0</v>
      </c>
      <c r="AG40">
        <v>0</v>
      </c>
      <c r="AH40">
        <v>0</v>
      </c>
      <c r="AI40">
        <v>0</v>
      </c>
      <c r="AJ40">
        <v>159945</v>
      </c>
      <c r="AK40">
        <v>0</v>
      </c>
      <c r="AL40">
        <v>0</v>
      </c>
      <c r="AM40">
        <v>0</v>
      </c>
      <c r="AN40">
        <v>0</v>
      </c>
      <c r="AP40">
        <v>0</v>
      </c>
      <c r="AQ40">
        <v>499458</v>
      </c>
      <c r="AR40">
        <v>0</v>
      </c>
      <c r="AT40">
        <v>0</v>
      </c>
      <c r="AU40">
        <v>4412</v>
      </c>
      <c r="AV40">
        <v>0</v>
      </c>
      <c r="AX40">
        <v>0</v>
      </c>
      <c r="AY40">
        <v>0</v>
      </c>
      <c r="BA40">
        <v>0</v>
      </c>
      <c r="BB40">
        <v>0</v>
      </c>
      <c r="BD40">
        <v>0</v>
      </c>
      <c r="BE40">
        <v>70850</v>
      </c>
      <c r="BH40">
        <v>0</v>
      </c>
      <c r="BI40">
        <v>0</v>
      </c>
      <c r="BJ40">
        <v>0</v>
      </c>
      <c r="BK40">
        <v>25037</v>
      </c>
      <c r="BL40">
        <v>0</v>
      </c>
      <c r="BM40">
        <v>0</v>
      </c>
      <c r="BN40">
        <v>0</v>
      </c>
      <c r="BO40">
        <v>0</v>
      </c>
      <c r="BP40">
        <v>0</v>
      </c>
      <c r="BQ40">
        <v>0</v>
      </c>
      <c r="BR40">
        <v>0</v>
      </c>
      <c r="BS40">
        <v>0</v>
      </c>
      <c r="BT40">
        <v>0</v>
      </c>
      <c r="BU40">
        <v>0</v>
      </c>
      <c r="BW40">
        <v>0</v>
      </c>
      <c r="BX40">
        <v>0</v>
      </c>
      <c r="BY40">
        <v>0</v>
      </c>
      <c r="BZ40">
        <v>0</v>
      </c>
      <c r="CA40">
        <v>0</v>
      </c>
    </row>
    <row r="41" spans="1:79" x14ac:dyDescent="0.3">
      <c r="A41">
        <v>101</v>
      </c>
      <c r="B41" t="s">
        <v>241</v>
      </c>
      <c r="D41">
        <v>0</v>
      </c>
      <c r="E41">
        <v>0</v>
      </c>
      <c r="G41">
        <v>0</v>
      </c>
      <c r="H41">
        <v>0</v>
      </c>
      <c r="I41">
        <v>0</v>
      </c>
      <c r="J41">
        <v>0</v>
      </c>
      <c r="K41">
        <v>0</v>
      </c>
      <c r="L41">
        <v>0</v>
      </c>
      <c r="N41">
        <v>0</v>
      </c>
      <c r="P41">
        <v>0</v>
      </c>
      <c r="Q41">
        <v>0</v>
      </c>
      <c r="R41">
        <v>0</v>
      </c>
      <c r="S41">
        <v>3965525</v>
      </c>
      <c r="T41">
        <v>0</v>
      </c>
      <c r="U41">
        <v>262200</v>
      </c>
      <c r="V41">
        <v>0</v>
      </c>
      <c r="W41">
        <v>0</v>
      </c>
      <c r="X41">
        <v>0</v>
      </c>
      <c r="Y41">
        <v>0</v>
      </c>
      <c r="Z41">
        <v>1375555</v>
      </c>
      <c r="AB41">
        <v>0</v>
      </c>
      <c r="AC41">
        <v>0</v>
      </c>
      <c r="AD41">
        <v>0</v>
      </c>
      <c r="AE41">
        <v>164898</v>
      </c>
      <c r="AF41">
        <v>0</v>
      </c>
      <c r="AG41">
        <v>0</v>
      </c>
      <c r="AH41">
        <v>0</v>
      </c>
      <c r="AI41">
        <v>0</v>
      </c>
      <c r="AJ41">
        <v>605682</v>
      </c>
      <c r="AK41">
        <v>0</v>
      </c>
      <c r="AL41">
        <v>0</v>
      </c>
      <c r="AM41">
        <v>0</v>
      </c>
      <c r="AN41">
        <v>0</v>
      </c>
      <c r="AP41">
        <v>0</v>
      </c>
      <c r="AQ41">
        <v>1065733</v>
      </c>
      <c r="AR41">
        <v>0</v>
      </c>
      <c r="AT41">
        <v>0</v>
      </c>
      <c r="AU41">
        <v>634000</v>
      </c>
      <c r="AV41">
        <v>0</v>
      </c>
      <c r="AX41">
        <v>0</v>
      </c>
      <c r="AY41">
        <v>0</v>
      </c>
      <c r="BA41">
        <v>0</v>
      </c>
      <c r="BB41">
        <v>0</v>
      </c>
      <c r="BD41">
        <v>0</v>
      </c>
      <c r="BE41">
        <v>6286877</v>
      </c>
      <c r="BH41">
        <v>0</v>
      </c>
      <c r="BI41">
        <v>0</v>
      </c>
      <c r="BJ41">
        <v>0</v>
      </c>
      <c r="BK41">
        <v>58695</v>
      </c>
      <c r="BL41">
        <v>0</v>
      </c>
      <c r="BM41">
        <v>0</v>
      </c>
      <c r="BN41">
        <v>0</v>
      </c>
      <c r="BO41">
        <v>0</v>
      </c>
      <c r="BP41">
        <v>0</v>
      </c>
      <c r="BQ41">
        <v>0</v>
      </c>
      <c r="BR41">
        <v>0</v>
      </c>
      <c r="BS41">
        <v>0</v>
      </c>
      <c r="BT41">
        <v>0</v>
      </c>
      <c r="BU41">
        <v>0</v>
      </c>
      <c r="BW41">
        <v>0</v>
      </c>
      <c r="BX41">
        <v>0</v>
      </c>
      <c r="BY41">
        <v>0</v>
      </c>
      <c r="BZ41">
        <v>0</v>
      </c>
      <c r="CA41">
        <v>0</v>
      </c>
    </row>
    <row r="42" spans="1:79" x14ac:dyDescent="0.3">
      <c r="A42">
        <v>102</v>
      </c>
      <c r="B42" t="s">
        <v>255</v>
      </c>
      <c r="D42">
        <v>99.6</v>
      </c>
      <c r="E42">
        <v>99.8</v>
      </c>
      <c r="G42">
        <v>99.04</v>
      </c>
      <c r="H42">
        <v>99.87</v>
      </c>
      <c r="I42">
        <v>79.48</v>
      </c>
      <c r="J42">
        <v>98.13</v>
      </c>
      <c r="K42">
        <v>95.79</v>
      </c>
      <c r="L42">
        <v>98.9</v>
      </c>
      <c r="N42">
        <v>97.15</v>
      </c>
      <c r="P42">
        <v>99.61</v>
      </c>
      <c r="Q42">
        <v>99.73</v>
      </c>
      <c r="R42">
        <v>98.5</v>
      </c>
      <c r="S42">
        <v>99.21</v>
      </c>
      <c r="T42">
        <v>91.28</v>
      </c>
      <c r="U42">
        <v>98.27</v>
      </c>
      <c r="V42">
        <v>97.69</v>
      </c>
      <c r="W42">
        <v>99.77</v>
      </c>
      <c r="X42">
        <v>99.76</v>
      </c>
      <c r="Y42">
        <v>99.83</v>
      </c>
      <c r="Z42">
        <v>96.32</v>
      </c>
      <c r="AB42">
        <v>99.96</v>
      </c>
      <c r="AC42">
        <v>99.16</v>
      </c>
      <c r="AD42">
        <v>98.92</v>
      </c>
      <c r="AE42">
        <v>97.97</v>
      </c>
      <c r="AF42">
        <v>89.39</v>
      </c>
      <c r="AG42">
        <v>94.34</v>
      </c>
      <c r="AH42">
        <v>97.49</v>
      </c>
      <c r="AI42">
        <v>99.67</v>
      </c>
      <c r="AJ42">
        <v>94.2</v>
      </c>
      <c r="AK42">
        <v>93.81</v>
      </c>
      <c r="AL42">
        <v>97.62</v>
      </c>
      <c r="AM42">
        <v>99.67</v>
      </c>
      <c r="AN42">
        <v>97.58</v>
      </c>
      <c r="AP42">
        <v>99.62</v>
      </c>
      <c r="AQ42">
        <v>97.26</v>
      </c>
      <c r="AR42">
        <v>99.33</v>
      </c>
      <c r="AT42">
        <v>99.32</v>
      </c>
      <c r="AU42">
        <v>98.23</v>
      </c>
      <c r="AV42">
        <v>97.67</v>
      </c>
      <c r="AX42">
        <v>99.44</v>
      </c>
      <c r="AY42">
        <v>97.11</v>
      </c>
      <c r="BA42">
        <v>88.82</v>
      </c>
      <c r="BB42">
        <v>99.25</v>
      </c>
      <c r="BD42">
        <v>97.6</v>
      </c>
      <c r="BE42">
        <v>93.1</v>
      </c>
      <c r="BH42">
        <v>98.88</v>
      </c>
      <c r="BI42">
        <v>97.06</v>
      </c>
      <c r="BJ42">
        <v>90.83</v>
      </c>
      <c r="BK42">
        <v>99.84</v>
      </c>
      <c r="BL42">
        <v>99.49</v>
      </c>
      <c r="BM42">
        <v>0</v>
      </c>
      <c r="BN42">
        <v>99.64</v>
      </c>
      <c r="BO42">
        <v>96.7</v>
      </c>
      <c r="BP42">
        <v>96.93</v>
      </c>
      <c r="BQ42">
        <v>99.53</v>
      </c>
      <c r="BR42">
        <v>99.98</v>
      </c>
      <c r="BS42">
        <v>99.46</v>
      </c>
      <c r="BT42">
        <v>81.739999999999995</v>
      </c>
      <c r="BU42">
        <v>99.26</v>
      </c>
      <c r="BW42">
        <v>99.56</v>
      </c>
      <c r="BX42">
        <v>92.14</v>
      </c>
      <c r="BY42">
        <v>98.52</v>
      </c>
      <c r="BZ42">
        <v>99.55</v>
      </c>
      <c r="CA42">
        <v>93.02</v>
      </c>
    </row>
    <row r="43" spans="1:79" x14ac:dyDescent="0.3">
      <c r="A43">
        <v>103</v>
      </c>
      <c r="B43" t="s">
        <v>256</v>
      </c>
      <c r="D43">
        <v>100</v>
      </c>
      <c r="E43">
        <v>100</v>
      </c>
      <c r="G43">
        <v>100</v>
      </c>
      <c r="H43">
        <v>100</v>
      </c>
      <c r="I43">
        <v>0</v>
      </c>
      <c r="J43">
        <v>100</v>
      </c>
      <c r="K43">
        <v>100</v>
      </c>
      <c r="L43">
        <v>100</v>
      </c>
      <c r="N43">
        <v>100</v>
      </c>
      <c r="P43">
        <v>100</v>
      </c>
      <c r="Q43">
        <v>100</v>
      </c>
      <c r="R43">
        <v>99.14</v>
      </c>
      <c r="S43">
        <v>100</v>
      </c>
      <c r="T43">
        <v>96.86</v>
      </c>
      <c r="U43">
        <v>100</v>
      </c>
      <c r="V43">
        <v>100</v>
      </c>
      <c r="W43">
        <v>100</v>
      </c>
      <c r="X43">
        <v>99.74</v>
      </c>
      <c r="Y43">
        <v>100</v>
      </c>
      <c r="Z43">
        <v>100</v>
      </c>
      <c r="AB43">
        <v>100</v>
      </c>
      <c r="AC43">
        <v>100</v>
      </c>
      <c r="AD43">
        <v>100</v>
      </c>
      <c r="AE43">
        <v>99.52</v>
      </c>
      <c r="AF43">
        <v>100</v>
      </c>
      <c r="AG43">
        <v>100</v>
      </c>
      <c r="AH43">
        <v>100</v>
      </c>
      <c r="AI43">
        <v>100</v>
      </c>
      <c r="AJ43">
        <v>100</v>
      </c>
      <c r="AK43">
        <v>98</v>
      </c>
      <c r="AL43">
        <v>100</v>
      </c>
      <c r="AM43">
        <v>100</v>
      </c>
      <c r="AN43">
        <v>100</v>
      </c>
      <c r="AP43">
        <v>100</v>
      </c>
      <c r="AQ43">
        <v>100</v>
      </c>
      <c r="AR43">
        <v>100</v>
      </c>
      <c r="AT43">
        <v>100</v>
      </c>
      <c r="AU43">
        <v>100</v>
      </c>
      <c r="AV43">
        <v>100</v>
      </c>
      <c r="AX43">
        <v>100</v>
      </c>
      <c r="AY43">
        <v>100</v>
      </c>
      <c r="BA43">
        <v>100</v>
      </c>
      <c r="BB43">
        <v>100</v>
      </c>
      <c r="BD43">
        <v>100</v>
      </c>
      <c r="BE43">
        <v>100</v>
      </c>
      <c r="BH43">
        <v>100</v>
      </c>
      <c r="BI43">
        <v>99.74</v>
      </c>
      <c r="BJ43">
        <v>100</v>
      </c>
      <c r="BK43">
        <v>100</v>
      </c>
      <c r="BL43">
        <v>100</v>
      </c>
      <c r="BM43">
        <v>0</v>
      </c>
      <c r="BN43">
        <v>100</v>
      </c>
      <c r="BO43">
        <v>100</v>
      </c>
      <c r="BP43">
        <v>100</v>
      </c>
      <c r="BQ43">
        <v>100</v>
      </c>
      <c r="BR43">
        <v>100</v>
      </c>
      <c r="BS43">
        <v>100</v>
      </c>
      <c r="BT43">
        <v>100</v>
      </c>
      <c r="BU43">
        <v>100</v>
      </c>
      <c r="BW43">
        <v>100</v>
      </c>
      <c r="BX43">
        <v>100</v>
      </c>
      <c r="BY43">
        <v>100</v>
      </c>
      <c r="BZ43">
        <v>98.93</v>
      </c>
      <c r="CA43">
        <v>100</v>
      </c>
    </row>
    <row r="44" spans="1:79" x14ac:dyDescent="0.3">
      <c r="A44">
        <v>171</v>
      </c>
      <c r="B44" t="s">
        <v>208</v>
      </c>
      <c r="D44">
        <v>173276</v>
      </c>
      <c r="E44">
        <v>2276565</v>
      </c>
      <c r="G44">
        <v>3048208</v>
      </c>
      <c r="H44">
        <v>351815</v>
      </c>
      <c r="I44">
        <v>0</v>
      </c>
      <c r="J44">
        <v>0</v>
      </c>
      <c r="K44">
        <v>0</v>
      </c>
      <c r="L44">
        <v>14862741</v>
      </c>
      <c r="N44">
        <v>26553</v>
      </c>
      <c r="P44">
        <v>5570147</v>
      </c>
      <c r="Q44">
        <v>5837388</v>
      </c>
      <c r="R44">
        <v>514525</v>
      </c>
      <c r="S44">
        <v>779368</v>
      </c>
      <c r="T44">
        <v>0</v>
      </c>
      <c r="U44">
        <v>1114771</v>
      </c>
      <c r="V44">
        <v>0</v>
      </c>
      <c r="W44">
        <v>1098068</v>
      </c>
      <c r="X44">
        <v>1812231</v>
      </c>
      <c r="Y44">
        <v>696101</v>
      </c>
      <c r="Z44">
        <v>59820</v>
      </c>
      <c r="AB44">
        <v>0</v>
      </c>
      <c r="AC44">
        <v>0</v>
      </c>
      <c r="AD44">
        <v>0</v>
      </c>
      <c r="AE44">
        <v>86506</v>
      </c>
      <c r="AF44">
        <v>0</v>
      </c>
      <c r="AG44">
        <v>0</v>
      </c>
      <c r="AH44">
        <v>0</v>
      </c>
      <c r="AI44">
        <v>89365</v>
      </c>
      <c r="AJ44">
        <v>672065</v>
      </c>
      <c r="AK44">
        <v>0</v>
      </c>
      <c r="AL44">
        <v>0</v>
      </c>
      <c r="AM44">
        <v>2368459</v>
      </c>
      <c r="AN44">
        <v>129684</v>
      </c>
      <c r="AP44">
        <v>232400</v>
      </c>
      <c r="AQ44">
        <v>1376083</v>
      </c>
      <c r="AR44">
        <v>211469</v>
      </c>
      <c r="AT44">
        <v>0</v>
      </c>
      <c r="AU44">
        <v>306748</v>
      </c>
      <c r="AV44">
        <v>0</v>
      </c>
      <c r="AX44">
        <v>0</v>
      </c>
      <c r="AY44">
        <v>133503</v>
      </c>
      <c r="BA44">
        <v>0</v>
      </c>
      <c r="BB44">
        <v>0</v>
      </c>
      <c r="BD44">
        <v>0</v>
      </c>
      <c r="BE44">
        <v>1434743</v>
      </c>
      <c r="BH44">
        <v>17355</v>
      </c>
      <c r="BI44">
        <v>4548</v>
      </c>
      <c r="BJ44">
        <v>23744</v>
      </c>
      <c r="BK44">
        <v>0</v>
      </c>
      <c r="BL44">
        <v>0</v>
      </c>
      <c r="BM44">
        <v>0</v>
      </c>
      <c r="BN44">
        <v>797846</v>
      </c>
      <c r="BO44">
        <v>0</v>
      </c>
      <c r="BP44">
        <v>0</v>
      </c>
      <c r="BQ44">
        <v>75436</v>
      </c>
      <c r="BR44">
        <v>105228</v>
      </c>
      <c r="BS44">
        <v>1484229</v>
      </c>
      <c r="BT44">
        <v>174298</v>
      </c>
      <c r="BU44">
        <v>72430</v>
      </c>
      <c r="BW44">
        <v>0</v>
      </c>
      <c r="BX44">
        <v>0</v>
      </c>
      <c r="BY44">
        <v>0</v>
      </c>
      <c r="BZ44">
        <v>1779396</v>
      </c>
      <c r="CA44">
        <v>2976</v>
      </c>
    </row>
    <row r="45" spans="1:79" x14ac:dyDescent="0.3">
      <c r="A45">
        <v>191</v>
      </c>
      <c r="B45" t="s">
        <v>224</v>
      </c>
      <c r="D45">
        <v>0</v>
      </c>
      <c r="E45">
        <v>0</v>
      </c>
      <c r="G45">
        <v>1202178</v>
      </c>
      <c r="H45">
        <v>18500</v>
      </c>
      <c r="I45">
        <v>0</v>
      </c>
      <c r="J45">
        <v>0</v>
      </c>
      <c r="K45">
        <v>198110</v>
      </c>
      <c r="L45">
        <v>1000000</v>
      </c>
      <c r="N45">
        <v>0</v>
      </c>
      <c r="P45">
        <v>0</v>
      </c>
      <c r="Q45">
        <v>0</v>
      </c>
      <c r="R45">
        <v>0</v>
      </c>
      <c r="S45">
        <v>3148680</v>
      </c>
      <c r="T45">
        <v>0</v>
      </c>
      <c r="U45">
        <v>0</v>
      </c>
      <c r="V45">
        <v>0</v>
      </c>
      <c r="W45">
        <v>0</v>
      </c>
      <c r="X45">
        <v>0</v>
      </c>
      <c r="Y45">
        <v>0</v>
      </c>
      <c r="Z45">
        <v>0</v>
      </c>
      <c r="AB45">
        <v>0</v>
      </c>
      <c r="AC45">
        <v>0</v>
      </c>
      <c r="AD45">
        <v>0</v>
      </c>
      <c r="AE45">
        <v>650185</v>
      </c>
      <c r="AF45">
        <v>0</v>
      </c>
      <c r="AG45">
        <v>0</v>
      </c>
      <c r="AH45">
        <v>0</v>
      </c>
      <c r="AI45">
        <v>0</v>
      </c>
      <c r="AJ45">
        <v>607842</v>
      </c>
      <c r="AK45">
        <v>0</v>
      </c>
      <c r="AL45">
        <v>0</v>
      </c>
      <c r="AM45">
        <v>0</v>
      </c>
      <c r="AN45">
        <v>0</v>
      </c>
      <c r="AP45">
        <v>0</v>
      </c>
      <c r="AQ45">
        <v>5000000</v>
      </c>
      <c r="AR45">
        <v>0</v>
      </c>
      <c r="AT45">
        <v>58420</v>
      </c>
      <c r="AU45">
        <v>0</v>
      </c>
      <c r="AV45">
        <v>0</v>
      </c>
      <c r="AX45">
        <v>0</v>
      </c>
      <c r="AY45">
        <v>0</v>
      </c>
      <c r="BA45">
        <v>0</v>
      </c>
      <c r="BB45">
        <v>551190</v>
      </c>
      <c r="BD45">
        <v>0</v>
      </c>
      <c r="BE45">
        <v>6756396</v>
      </c>
      <c r="BH45">
        <v>265000</v>
      </c>
      <c r="BI45">
        <v>57075</v>
      </c>
      <c r="BJ45">
        <v>216043</v>
      </c>
      <c r="BK45">
        <v>0</v>
      </c>
      <c r="BL45">
        <v>0</v>
      </c>
      <c r="BM45">
        <v>0</v>
      </c>
      <c r="BN45">
        <v>0</v>
      </c>
      <c r="BO45">
        <v>0</v>
      </c>
      <c r="BP45">
        <v>0</v>
      </c>
      <c r="BQ45">
        <v>0</v>
      </c>
      <c r="BR45">
        <v>0</v>
      </c>
      <c r="BS45">
        <v>0</v>
      </c>
      <c r="BT45">
        <v>143742</v>
      </c>
      <c r="BU45">
        <v>609553</v>
      </c>
      <c r="BW45">
        <v>0</v>
      </c>
      <c r="BX45">
        <v>0</v>
      </c>
      <c r="BY45">
        <v>0</v>
      </c>
      <c r="BZ45">
        <v>4032800</v>
      </c>
      <c r="CA45">
        <v>0</v>
      </c>
    </row>
    <row r="46" spans="1:79" x14ac:dyDescent="0.3">
      <c r="A46">
        <v>192</v>
      </c>
      <c r="B46" t="s">
        <v>235</v>
      </c>
      <c r="D46">
        <v>0</v>
      </c>
      <c r="E46">
        <v>0</v>
      </c>
      <c r="G46">
        <v>0</v>
      </c>
      <c r="H46">
        <v>0</v>
      </c>
      <c r="I46">
        <v>0</v>
      </c>
      <c r="J46">
        <v>0</v>
      </c>
      <c r="K46">
        <v>0</v>
      </c>
      <c r="L46">
        <v>0</v>
      </c>
      <c r="N46">
        <v>0</v>
      </c>
      <c r="P46">
        <v>0</v>
      </c>
      <c r="Q46">
        <v>0</v>
      </c>
      <c r="R46">
        <v>0</v>
      </c>
      <c r="S46">
        <v>0</v>
      </c>
      <c r="T46">
        <v>0</v>
      </c>
      <c r="U46">
        <v>0</v>
      </c>
      <c r="V46">
        <v>0</v>
      </c>
      <c r="W46">
        <v>0</v>
      </c>
      <c r="X46">
        <v>0</v>
      </c>
      <c r="Y46">
        <v>0</v>
      </c>
      <c r="Z46">
        <v>0</v>
      </c>
      <c r="AB46">
        <v>0</v>
      </c>
      <c r="AC46">
        <v>0</v>
      </c>
      <c r="AD46">
        <v>0</v>
      </c>
      <c r="AE46">
        <v>0</v>
      </c>
      <c r="AF46">
        <v>0</v>
      </c>
      <c r="AG46">
        <v>0</v>
      </c>
      <c r="AH46">
        <v>0</v>
      </c>
      <c r="AI46">
        <v>0</v>
      </c>
      <c r="AJ46">
        <v>255172</v>
      </c>
      <c r="AK46">
        <v>0</v>
      </c>
      <c r="AL46">
        <v>0</v>
      </c>
      <c r="AM46">
        <v>0</v>
      </c>
      <c r="AN46">
        <v>0</v>
      </c>
      <c r="AP46">
        <v>0</v>
      </c>
      <c r="AQ46">
        <v>0</v>
      </c>
      <c r="AR46">
        <v>0</v>
      </c>
      <c r="AT46">
        <v>0</v>
      </c>
      <c r="AU46">
        <v>0</v>
      </c>
      <c r="AV46">
        <v>0</v>
      </c>
      <c r="AX46">
        <v>0</v>
      </c>
      <c r="AY46">
        <v>0</v>
      </c>
      <c r="BA46">
        <v>0</v>
      </c>
      <c r="BB46">
        <v>0</v>
      </c>
      <c r="BD46">
        <v>0</v>
      </c>
      <c r="BE46">
        <v>7431082</v>
      </c>
      <c r="BH46">
        <v>0</v>
      </c>
      <c r="BI46">
        <v>0</v>
      </c>
      <c r="BJ46">
        <v>0</v>
      </c>
      <c r="BK46">
        <v>0</v>
      </c>
      <c r="BL46">
        <v>0</v>
      </c>
      <c r="BM46">
        <v>0</v>
      </c>
      <c r="BN46">
        <v>0</v>
      </c>
      <c r="BO46">
        <v>0</v>
      </c>
      <c r="BP46">
        <v>0</v>
      </c>
      <c r="BQ46">
        <v>0</v>
      </c>
      <c r="BR46">
        <v>0</v>
      </c>
      <c r="BS46">
        <v>0</v>
      </c>
      <c r="BT46">
        <v>0</v>
      </c>
      <c r="BU46">
        <v>0</v>
      </c>
      <c r="BW46">
        <v>0</v>
      </c>
      <c r="BX46">
        <v>0</v>
      </c>
      <c r="BY46">
        <v>0</v>
      </c>
      <c r="BZ46">
        <v>0</v>
      </c>
      <c r="CA46">
        <v>0</v>
      </c>
    </row>
    <row r="47" spans="1:79" x14ac:dyDescent="0.3">
      <c r="A47">
        <v>252</v>
      </c>
      <c r="B47" t="s">
        <v>95</v>
      </c>
      <c r="D47">
        <v>2139042</v>
      </c>
      <c r="E47">
        <v>52535216</v>
      </c>
      <c r="G47">
        <v>86813293</v>
      </c>
      <c r="H47">
        <v>12056137</v>
      </c>
      <c r="I47">
        <v>40074</v>
      </c>
      <c r="J47">
        <v>780455</v>
      </c>
      <c r="K47">
        <v>2031342</v>
      </c>
      <c r="L47">
        <v>151564033</v>
      </c>
      <c r="N47">
        <v>1111594</v>
      </c>
      <c r="P47">
        <v>160034151</v>
      </c>
      <c r="Q47">
        <v>31209220</v>
      </c>
      <c r="R47">
        <v>9308814</v>
      </c>
      <c r="S47">
        <v>11438001</v>
      </c>
      <c r="T47">
        <v>246448</v>
      </c>
      <c r="U47">
        <v>14818053</v>
      </c>
      <c r="V47">
        <v>15929</v>
      </c>
      <c r="W47">
        <v>17420835</v>
      </c>
      <c r="X47">
        <v>114560503</v>
      </c>
      <c r="Y47">
        <v>9097312</v>
      </c>
      <c r="Z47">
        <v>2071820</v>
      </c>
      <c r="AB47">
        <v>299092</v>
      </c>
      <c r="AC47">
        <v>392704</v>
      </c>
      <c r="AD47">
        <v>2163981</v>
      </c>
      <c r="AE47">
        <v>6724350</v>
      </c>
      <c r="AF47">
        <v>1295373</v>
      </c>
      <c r="AG47">
        <v>119847</v>
      </c>
      <c r="AH47">
        <v>942632</v>
      </c>
      <c r="AI47">
        <v>2451431</v>
      </c>
      <c r="AJ47">
        <v>10444814</v>
      </c>
      <c r="AK47">
        <v>1011050</v>
      </c>
      <c r="AL47">
        <v>18356</v>
      </c>
      <c r="AM47">
        <v>105170131</v>
      </c>
      <c r="AN47">
        <v>22908282</v>
      </c>
      <c r="AP47">
        <v>11375177</v>
      </c>
      <c r="AQ47">
        <v>29870284</v>
      </c>
      <c r="AR47">
        <v>1942491</v>
      </c>
      <c r="AT47">
        <v>7464940</v>
      </c>
      <c r="AU47">
        <v>21205099</v>
      </c>
      <c r="AV47">
        <v>822986</v>
      </c>
      <c r="AX47">
        <v>11694450</v>
      </c>
      <c r="AY47">
        <v>1301389</v>
      </c>
      <c r="BA47">
        <v>21067</v>
      </c>
      <c r="BB47">
        <v>1400496</v>
      </c>
      <c r="BD47">
        <v>20756</v>
      </c>
      <c r="BE47">
        <v>29394903</v>
      </c>
      <c r="BH47">
        <v>3719677</v>
      </c>
      <c r="BI47">
        <v>8022283</v>
      </c>
      <c r="BJ47">
        <v>205136</v>
      </c>
      <c r="BK47">
        <v>10930177</v>
      </c>
      <c r="BL47">
        <v>7090220</v>
      </c>
      <c r="BM47">
        <v>35332</v>
      </c>
      <c r="BN47">
        <v>9128714</v>
      </c>
      <c r="BO47">
        <v>4586742</v>
      </c>
      <c r="BP47">
        <v>532399</v>
      </c>
      <c r="BQ47">
        <v>1653037</v>
      </c>
      <c r="BR47">
        <v>11502381</v>
      </c>
      <c r="BS47">
        <v>255284581</v>
      </c>
      <c r="BT47">
        <v>1622651</v>
      </c>
      <c r="BU47">
        <v>2444922</v>
      </c>
      <c r="BW47">
        <v>3418998</v>
      </c>
      <c r="BX47">
        <v>22887</v>
      </c>
      <c r="BY47">
        <v>34633</v>
      </c>
      <c r="BZ47">
        <v>63317482</v>
      </c>
      <c r="CA47">
        <v>259531</v>
      </c>
    </row>
    <row r="48" spans="1:79" x14ac:dyDescent="0.3">
      <c r="A48">
        <v>253</v>
      </c>
      <c r="B48" t="s">
        <v>96</v>
      </c>
      <c r="D48">
        <v>174616</v>
      </c>
      <c r="E48">
        <v>29943425</v>
      </c>
      <c r="G48">
        <v>22295736</v>
      </c>
      <c r="H48">
        <v>1151491</v>
      </c>
      <c r="I48">
        <v>217096</v>
      </c>
      <c r="J48">
        <v>339417</v>
      </c>
      <c r="K48">
        <v>650623</v>
      </c>
      <c r="L48">
        <v>11007071</v>
      </c>
      <c r="N48">
        <v>208846</v>
      </c>
      <c r="P48">
        <v>6456862</v>
      </c>
      <c r="Q48">
        <v>11159372</v>
      </c>
      <c r="R48">
        <v>708249</v>
      </c>
      <c r="S48">
        <v>5533294</v>
      </c>
      <c r="T48">
        <v>322857</v>
      </c>
      <c r="U48">
        <v>13286725</v>
      </c>
      <c r="V48">
        <v>80157</v>
      </c>
      <c r="W48">
        <v>4944253</v>
      </c>
      <c r="X48">
        <v>5647781</v>
      </c>
      <c r="Y48">
        <v>720756</v>
      </c>
      <c r="Z48">
        <v>1310935</v>
      </c>
      <c r="AB48">
        <v>453435</v>
      </c>
      <c r="AC48">
        <v>7405</v>
      </c>
      <c r="AD48">
        <v>383557</v>
      </c>
      <c r="AE48">
        <v>1069907</v>
      </c>
      <c r="AF48">
        <v>30557</v>
      </c>
      <c r="AG48">
        <v>14262</v>
      </c>
      <c r="AH48">
        <v>109089</v>
      </c>
      <c r="AI48">
        <v>630957</v>
      </c>
      <c r="AJ48">
        <v>2199739</v>
      </c>
      <c r="AK48">
        <v>92655</v>
      </c>
      <c r="AL48">
        <v>2899</v>
      </c>
      <c r="AM48">
        <v>4371498</v>
      </c>
      <c r="AN48">
        <v>2528550</v>
      </c>
      <c r="AP48">
        <v>1701258</v>
      </c>
      <c r="AQ48">
        <v>6542298</v>
      </c>
      <c r="AR48">
        <v>771369</v>
      </c>
      <c r="AT48">
        <v>1633164</v>
      </c>
      <c r="AU48">
        <v>1706358</v>
      </c>
      <c r="AV48">
        <v>24284</v>
      </c>
      <c r="AX48">
        <v>397624</v>
      </c>
      <c r="AY48">
        <v>1108942</v>
      </c>
      <c r="BA48">
        <v>89418</v>
      </c>
      <c r="BB48">
        <v>1857646</v>
      </c>
      <c r="BD48">
        <v>12082</v>
      </c>
      <c r="BE48">
        <v>3189096</v>
      </c>
      <c r="BH48">
        <v>751664</v>
      </c>
      <c r="BI48">
        <v>690491</v>
      </c>
      <c r="BJ48">
        <v>298102</v>
      </c>
      <c r="BK48">
        <v>1041577</v>
      </c>
      <c r="BL48">
        <v>661361</v>
      </c>
      <c r="BM48">
        <v>5800</v>
      </c>
      <c r="BN48">
        <v>4457901</v>
      </c>
      <c r="BO48">
        <v>1095587</v>
      </c>
      <c r="BP48">
        <v>276050</v>
      </c>
      <c r="BQ48">
        <v>415072</v>
      </c>
      <c r="BR48">
        <v>508873</v>
      </c>
      <c r="BS48">
        <v>6232492</v>
      </c>
      <c r="BT48">
        <v>402172</v>
      </c>
      <c r="BU48">
        <v>773253</v>
      </c>
      <c r="BW48">
        <v>552475</v>
      </c>
      <c r="BX48">
        <v>17805</v>
      </c>
      <c r="BY48">
        <v>32002</v>
      </c>
      <c r="BZ48">
        <v>6348124</v>
      </c>
      <c r="CA48">
        <v>34600</v>
      </c>
    </row>
    <row r="49" spans="1:79" x14ac:dyDescent="0.3">
      <c r="A49">
        <v>254</v>
      </c>
      <c r="B49" t="s">
        <v>97</v>
      </c>
      <c r="D49">
        <v>2345945</v>
      </c>
      <c r="E49">
        <v>20198796</v>
      </c>
      <c r="G49">
        <v>35720631</v>
      </c>
      <c r="H49">
        <v>3312000</v>
      </c>
      <c r="I49">
        <v>72733</v>
      </c>
      <c r="J49">
        <v>3303327</v>
      </c>
      <c r="K49">
        <v>385492</v>
      </c>
      <c r="L49">
        <v>-20357449</v>
      </c>
      <c r="N49">
        <v>79765</v>
      </c>
      <c r="P49">
        <v>-6186528</v>
      </c>
      <c r="Q49">
        <v>5643891</v>
      </c>
      <c r="R49">
        <v>2146756</v>
      </c>
      <c r="S49">
        <v>6128499</v>
      </c>
      <c r="T49">
        <v>272090</v>
      </c>
      <c r="U49">
        <v>6820287</v>
      </c>
      <c r="V49">
        <v>165497</v>
      </c>
      <c r="W49">
        <v>7037959</v>
      </c>
      <c r="X49">
        <v>7022908</v>
      </c>
      <c r="Y49">
        <v>3534295</v>
      </c>
      <c r="Z49">
        <v>2640732</v>
      </c>
      <c r="AB49">
        <v>1807651</v>
      </c>
      <c r="AC49">
        <v>374127</v>
      </c>
      <c r="AD49">
        <v>1281525</v>
      </c>
      <c r="AE49">
        <v>3007702</v>
      </c>
      <c r="AF49">
        <v>95721</v>
      </c>
      <c r="AG49">
        <v>67368</v>
      </c>
      <c r="AH49">
        <v>196922</v>
      </c>
      <c r="AI49">
        <v>3318513</v>
      </c>
      <c r="AJ49">
        <v>1350832</v>
      </c>
      <c r="AK49">
        <v>351792</v>
      </c>
      <c r="AL49">
        <v>140940</v>
      </c>
      <c r="AM49">
        <v>16628124</v>
      </c>
      <c r="AN49">
        <v>10651500</v>
      </c>
      <c r="AP49">
        <v>10224232</v>
      </c>
      <c r="AQ49">
        <v>9088397</v>
      </c>
      <c r="AR49">
        <v>370988</v>
      </c>
      <c r="AT49">
        <v>2980019</v>
      </c>
      <c r="AU49">
        <v>-2056739</v>
      </c>
      <c r="AV49">
        <v>284371</v>
      </c>
      <c r="AX49">
        <v>4642366</v>
      </c>
      <c r="AY49">
        <v>3981635</v>
      </c>
      <c r="BA49">
        <v>177623</v>
      </c>
      <c r="BB49">
        <v>3639195</v>
      </c>
      <c r="BD49">
        <v>384249</v>
      </c>
      <c r="BE49">
        <v>-33307987</v>
      </c>
      <c r="BH49">
        <v>-1012923</v>
      </c>
      <c r="BI49">
        <v>3411958</v>
      </c>
      <c r="BJ49">
        <v>462737</v>
      </c>
      <c r="BK49">
        <v>3441858</v>
      </c>
      <c r="BL49">
        <v>5372527</v>
      </c>
      <c r="BM49">
        <v>194337</v>
      </c>
      <c r="BN49">
        <v>2495758</v>
      </c>
      <c r="BO49">
        <v>4579380</v>
      </c>
      <c r="BP49">
        <v>1381940</v>
      </c>
      <c r="BQ49">
        <v>2981234</v>
      </c>
      <c r="BR49">
        <v>2799595</v>
      </c>
      <c r="BS49">
        <v>18057856</v>
      </c>
      <c r="BT49">
        <v>2679638</v>
      </c>
      <c r="BU49">
        <v>-2138243</v>
      </c>
      <c r="BW49">
        <v>1303702</v>
      </c>
      <c r="BX49">
        <v>218417</v>
      </c>
      <c r="BY49">
        <v>199404</v>
      </c>
      <c r="BZ49">
        <v>6665585</v>
      </c>
      <c r="CA49">
        <v>37432</v>
      </c>
    </row>
    <row r="50" spans="1:79" x14ac:dyDescent="0.3">
      <c r="A50">
        <v>255</v>
      </c>
      <c r="B50" t="s">
        <v>188</v>
      </c>
      <c r="D50">
        <v>32217</v>
      </c>
      <c r="E50">
        <v>15704062</v>
      </c>
      <c r="G50">
        <v>7837236</v>
      </c>
      <c r="H50">
        <v>626734</v>
      </c>
      <c r="I50">
        <v>4901</v>
      </c>
      <c r="J50">
        <v>652996</v>
      </c>
      <c r="K50">
        <v>33475</v>
      </c>
      <c r="L50">
        <v>10726487</v>
      </c>
      <c r="N50">
        <v>93195</v>
      </c>
      <c r="P50">
        <v>13144338</v>
      </c>
      <c r="Q50">
        <v>4046908</v>
      </c>
      <c r="R50">
        <v>364725</v>
      </c>
      <c r="S50">
        <v>4157565</v>
      </c>
      <c r="T50">
        <v>79723</v>
      </c>
      <c r="U50">
        <v>1775950</v>
      </c>
      <c r="V50">
        <v>953</v>
      </c>
      <c r="W50">
        <v>5244349</v>
      </c>
      <c r="X50">
        <v>17199930</v>
      </c>
      <c r="Y50">
        <v>817771</v>
      </c>
      <c r="Z50">
        <v>469832</v>
      </c>
      <c r="AB50">
        <v>592973</v>
      </c>
      <c r="AC50">
        <v>72176</v>
      </c>
      <c r="AD50">
        <v>32166</v>
      </c>
      <c r="AE50">
        <v>1535025</v>
      </c>
      <c r="AF50">
        <v>-39061</v>
      </c>
      <c r="AG50">
        <v>17387</v>
      </c>
      <c r="AH50">
        <v>-10345</v>
      </c>
      <c r="AI50">
        <v>604076</v>
      </c>
      <c r="AJ50">
        <v>4710037</v>
      </c>
      <c r="AK50">
        <v>175101</v>
      </c>
      <c r="AL50">
        <v>15904</v>
      </c>
      <c r="AM50">
        <v>5900241</v>
      </c>
      <c r="AN50">
        <v>2718590</v>
      </c>
      <c r="AP50">
        <v>1322345</v>
      </c>
      <c r="AQ50">
        <v>6659989</v>
      </c>
      <c r="AR50">
        <v>-775379</v>
      </c>
      <c r="AT50">
        <v>5667743</v>
      </c>
      <c r="AU50">
        <v>3743788</v>
      </c>
      <c r="AV50">
        <v>20599</v>
      </c>
      <c r="AX50">
        <v>1473501</v>
      </c>
      <c r="AY50">
        <v>1822445</v>
      </c>
      <c r="BA50">
        <v>48531</v>
      </c>
      <c r="BB50">
        <v>1595130</v>
      </c>
      <c r="BD50">
        <v>-16078</v>
      </c>
      <c r="BE50">
        <v>2375830</v>
      </c>
      <c r="BH50">
        <v>379436</v>
      </c>
      <c r="BI50">
        <v>434028</v>
      </c>
      <c r="BJ50">
        <v>-77186</v>
      </c>
      <c r="BK50">
        <v>697332</v>
      </c>
      <c r="BL50">
        <v>461870</v>
      </c>
      <c r="BM50">
        <v>13436</v>
      </c>
      <c r="BN50">
        <v>1935320</v>
      </c>
      <c r="BO50">
        <v>1497979</v>
      </c>
      <c r="BP50">
        <v>-63357</v>
      </c>
      <c r="BQ50">
        <v>1822857</v>
      </c>
      <c r="BR50">
        <v>622930</v>
      </c>
      <c r="BS50">
        <v>7656375</v>
      </c>
      <c r="BT50">
        <v>574782</v>
      </c>
      <c r="BU50">
        <v>389365</v>
      </c>
      <c r="BW50">
        <v>350793</v>
      </c>
      <c r="BX50">
        <v>32931</v>
      </c>
      <c r="BY50">
        <v>11704</v>
      </c>
      <c r="BZ50">
        <v>7663639</v>
      </c>
      <c r="CA50">
        <v>13361</v>
      </c>
    </row>
    <row r="51" spans="1:79" x14ac:dyDescent="0.3">
      <c r="A51">
        <v>327</v>
      </c>
      <c r="B51" t="s">
        <v>881</v>
      </c>
      <c r="D51">
        <v>0</v>
      </c>
      <c r="E51">
        <v>0</v>
      </c>
      <c r="G51">
        <v>5287537</v>
      </c>
      <c r="H51">
        <v>0</v>
      </c>
      <c r="I51">
        <v>16104</v>
      </c>
      <c r="J51">
        <v>211310</v>
      </c>
      <c r="K51">
        <v>72530</v>
      </c>
      <c r="L51">
        <v>839066</v>
      </c>
      <c r="N51">
        <v>6500</v>
      </c>
      <c r="P51">
        <v>0</v>
      </c>
      <c r="Q51">
        <v>224814</v>
      </c>
      <c r="R51">
        <v>628152</v>
      </c>
      <c r="S51">
        <v>7174055</v>
      </c>
      <c r="T51">
        <v>97947</v>
      </c>
      <c r="U51">
        <v>1020263</v>
      </c>
      <c r="V51">
        <v>0</v>
      </c>
      <c r="W51">
        <v>0</v>
      </c>
      <c r="X51">
        <v>0</v>
      </c>
      <c r="Y51">
        <v>20697</v>
      </c>
      <c r="Z51">
        <v>441230</v>
      </c>
      <c r="AB51">
        <v>0</v>
      </c>
      <c r="AC51">
        <v>70000</v>
      </c>
      <c r="AD51">
        <v>152665</v>
      </c>
      <c r="AE51">
        <v>1712356</v>
      </c>
      <c r="AF51">
        <v>10300</v>
      </c>
      <c r="AG51">
        <v>0</v>
      </c>
      <c r="AH51">
        <v>0</v>
      </c>
      <c r="AI51">
        <v>0</v>
      </c>
      <c r="AJ51">
        <v>474294</v>
      </c>
      <c r="AK51">
        <v>63549</v>
      </c>
      <c r="AL51">
        <v>0</v>
      </c>
      <c r="AM51">
        <v>0</v>
      </c>
      <c r="AN51">
        <v>1226471</v>
      </c>
      <c r="AP51">
        <v>0</v>
      </c>
      <c r="AQ51">
        <v>865590</v>
      </c>
      <c r="AR51">
        <v>39677</v>
      </c>
      <c r="AT51">
        <v>149857</v>
      </c>
      <c r="AU51">
        <v>261726</v>
      </c>
      <c r="AV51">
        <v>0</v>
      </c>
      <c r="AX51">
        <v>0</v>
      </c>
      <c r="AY51">
        <v>0</v>
      </c>
      <c r="BA51">
        <v>0</v>
      </c>
      <c r="BB51">
        <v>15000</v>
      </c>
      <c r="BD51">
        <v>0</v>
      </c>
      <c r="BE51">
        <v>760773</v>
      </c>
      <c r="BH51">
        <v>43326</v>
      </c>
      <c r="BI51">
        <v>125250</v>
      </c>
      <c r="BJ51">
        <v>13600</v>
      </c>
      <c r="BK51">
        <v>242198</v>
      </c>
      <c r="BL51">
        <v>229735</v>
      </c>
      <c r="BM51">
        <v>0</v>
      </c>
      <c r="BN51">
        <v>101245</v>
      </c>
      <c r="BO51">
        <v>82273</v>
      </c>
      <c r="BP51">
        <v>718253</v>
      </c>
      <c r="BQ51">
        <v>325430</v>
      </c>
      <c r="BR51">
        <v>0</v>
      </c>
      <c r="BS51">
        <v>0</v>
      </c>
      <c r="BT51">
        <v>131166</v>
      </c>
      <c r="BU51">
        <v>111061</v>
      </c>
      <c r="BW51">
        <v>0</v>
      </c>
      <c r="BX51">
        <v>0</v>
      </c>
      <c r="BY51">
        <v>0</v>
      </c>
      <c r="BZ51">
        <v>1054201</v>
      </c>
      <c r="CA51">
        <v>0</v>
      </c>
    </row>
    <row r="52" spans="1:79" x14ac:dyDescent="0.3">
      <c r="A52">
        <v>328</v>
      </c>
      <c r="B52" t="s">
        <v>304</v>
      </c>
      <c r="D52">
        <v>0</v>
      </c>
      <c r="E52">
        <v>0</v>
      </c>
      <c r="G52">
        <v>6479568</v>
      </c>
      <c r="H52">
        <v>34487</v>
      </c>
      <c r="I52">
        <v>0</v>
      </c>
      <c r="J52">
        <v>0</v>
      </c>
      <c r="K52">
        <v>2041118</v>
      </c>
      <c r="L52">
        <v>8539403</v>
      </c>
      <c r="N52">
        <v>78480</v>
      </c>
      <c r="P52">
        <v>0</v>
      </c>
      <c r="Q52">
        <v>5077</v>
      </c>
      <c r="R52">
        <v>3242097</v>
      </c>
      <c r="S52">
        <v>5728318</v>
      </c>
      <c r="T52">
        <v>6131</v>
      </c>
      <c r="U52">
        <v>23871915</v>
      </c>
      <c r="V52">
        <v>0</v>
      </c>
      <c r="W52">
        <v>0</v>
      </c>
      <c r="X52">
        <v>0</v>
      </c>
      <c r="Y52">
        <v>0</v>
      </c>
      <c r="Z52">
        <v>1948678</v>
      </c>
      <c r="AB52">
        <v>0</v>
      </c>
      <c r="AC52">
        <v>0</v>
      </c>
      <c r="AD52">
        <v>412545</v>
      </c>
      <c r="AE52">
        <v>0</v>
      </c>
      <c r="AF52">
        <v>0</v>
      </c>
      <c r="AG52">
        <v>0</v>
      </c>
      <c r="AH52">
        <v>0</v>
      </c>
      <c r="AI52">
        <v>0</v>
      </c>
      <c r="AJ52">
        <v>4852852</v>
      </c>
      <c r="AK52">
        <v>197347</v>
      </c>
      <c r="AL52">
        <v>0</v>
      </c>
      <c r="AM52">
        <v>0</v>
      </c>
      <c r="AN52">
        <v>6686720</v>
      </c>
      <c r="AP52">
        <v>0</v>
      </c>
      <c r="AQ52">
        <v>2321457</v>
      </c>
      <c r="AR52">
        <v>1975343</v>
      </c>
      <c r="AT52">
        <v>32569</v>
      </c>
      <c r="AU52">
        <v>123435</v>
      </c>
      <c r="AV52">
        <v>0</v>
      </c>
      <c r="AX52">
        <v>0</v>
      </c>
      <c r="AY52">
        <v>541472</v>
      </c>
      <c r="BA52">
        <v>0</v>
      </c>
      <c r="BB52">
        <v>311175</v>
      </c>
      <c r="BD52">
        <v>0</v>
      </c>
      <c r="BE52">
        <v>208607</v>
      </c>
      <c r="BH52">
        <v>265000</v>
      </c>
      <c r="BI52">
        <v>57075</v>
      </c>
      <c r="BJ52">
        <v>1351515</v>
      </c>
      <c r="BK52">
        <v>800169</v>
      </c>
      <c r="BL52">
        <v>1106157</v>
      </c>
      <c r="BM52">
        <v>0</v>
      </c>
      <c r="BN52">
        <v>37500</v>
      </c>
      <c r="BO52">
        <v>0</v>
      </c>
      <c r="BP52">
        <v>0</v>
      </c>
      <c r="BQ52">
        <v>707793</v>
      </c>
      <c r="BR52">
        <v>0</v>
      </c>
      <c r="BS52">
        <v>0</v>
      </c>
      <c r="BT52">
        <v>396286</v>
      </c>
      <c r="BU52">
        <v>342364</v>
      </c>
      <c r="BW52">
        <v>0</v>
      </c>
      <c r="BX52">
        <v>0</v>
      </c>
      <c r="BY52">
        <v>0</v>
      </c>
      <c r="BZ52">
        <v>10799148</v>
      </c>
      <c r="CA52">
        <v>0</v>
      </c>
    </row>
    <row r="53" spans="1:79" x14ac:dyDescent="0.3">
      <c r="A53">
        <v>331</v>
      </c>
      <c r="B53" t="s">
        <v>238</v>
      </c>
      <c r="D53">
        <v>0</v>
      </c>
      <c r="E53">
        <v>0</v>
      </c>
      <c r="G53">
        <v>5072373</v>
      </c>
      <c r="H53">
        <v>0</v>
      </c>
      <c r="I53">
        <v>0</v>
      </c>
      <c r="J53">
        <v>0</v>
      </c>
      <c r="K53">
        <v>22306</v>
      </c>
      <c r="L53">
        <v>4309469</v>
      </c>
      <c r="N53">
        <v>0</v>
      </c>
      <c r="P53">
        <v>0</v>
      </c>
      <c r="Q53">
        <v>2813</v>
      </c>
      <c r="R53">
        <v>859728</v>
      </c>
      <c r="S53">
        <v>1582627</v>
      </c>
      <c r="T53">
        <v>0</v>
      </c>
      <c r="U53">
        <v>1319078</v>
      </c>
      <c r="V53">
        <v>0</v>
      </c>
      <c r="W53">
        <v>0</v>
      </c>
      <c r="X53">
        <v>0</v>
      </c>
      <c r="Y53">
        <v>329583</v>
      </c>
      <c r="Z53">
        <v>12575</v>
      </c>
      <c r="AB53">
        <v>0</v>
      </c>
      <c r="AC53">
        <v>20000</v>
      </c>
      <c r="AD53">
        <v>75740</v>
      </c>
      <c r="AE53">
        <v>146523</v>
      </c>
      <c r="AF53">
        <v>0</v>
      </c>
      <c r="AG53">
        <v>0</v>
      </c>
      <c r="AH53">
        <v>0</v>
      </c>
      <c r="AI53">
        <v>0</v>
      </c>
      <c r="AJ53">
        <v>873721</v>
      </c>
      <c r="AK53">
        <v>0</v>
      </c>
      <c r="AL53">
        <v>0</v>
      </c>
      <c r="AM53">
        <v>0</v>
      </c>
      <c r="AN53">
        <v>1679607</v>
      </c>
      <c r="AP53">
        <v>0</v>
      </c>
      <c r="AQ53">
        <v>628270</v>
      </c>
      <c r="AR53">
        <v>6064</v>
      </c>
      <c r="AT53">
        <v>0</v>
      </c>
      <c r="AU53">
        <v>1107221</v>
      </c>
      <c r="AV53">
        <v>19604</v>
      </c>
      <c r="AX53">
        <v>0</v>
      </c>
      <c r="AY53">
        <v>66743</v>
      </c>
      <c r="BA53">
        <v>0</v>
      </c>
      <c r="BB53">
        <v>0</v>
      </c>
      <c r="BD53">
        <v>0</v>
      </c>
      <c r="BE53">
        <v>1578675</v>
      </c>
      <c r="BH53">
        <v>265321</v>
      </c>
      <c r="BI53">
        <v>162960</v>
      </c>
      <c r="BJ53">
        <v>0</v>
      </c>
      <c r="BK53">
        <v>79014</v>
      </c>
      <c r="BL53">
        <v>66997</v>
      </c>
      <c r="BM53">
        <v>0</v>
      </c>
      <c r="BN53">
        <v>258698</v>
      </c>
      <c r="BO53">
        <v>10229</v>
      </c>
      <c r="BP53">
        <v>12912</v>
      </c>
      <c r="BQ53">
        <v>95188</v>
      </c>
      <c r="BR53">
        <v>0</v>
      </c>
      <c r="BS53">
        <v>0</v>
      </c>
      <c r="BT53">
        <v>19868</v>
      </c>
      <c r="BU53">
        <v>292142</v>
      </c>
      <c r="BW53">
        <v>0</v>
      </c>
      <c r="BX53">
        <v>0</v>
      </c>
      <c r="BY53">
        <v>0</v>
      </c>
      <c r="BZ53">
        <v>1270415</v>
      </c>
      <c r="CA53">
        <v>0</v>
      </c>
    </row>
    <row r="54" spans="1:79" x14ac:dyDescent="0.3">
      <c r="A54">
        <v>332</v>
      </c>
      <c r="B54" t="s">
        <v>239</v>
      </c>
      <c r="D54">
        <v>0</v>
      </c>
      <c r="E54">
        <v>0</v>
      </c>
      <c r="G54">
        <v>4330062</v>
      </c>
      <c r="H54">
        <v>0</v>
      </c>
      <c r="I54">
        <v>68309</v>
      </c>
      <c r="J54">
        <v>97080</v>
      </c>
      <c r="K54">
        <v>0</v>
      </c>
      <c r="L54">
        <v>965960</v>
      </c>
      <c r="N54">
        <v>0</v>
      </c>
      <c r="P54">
        <v>0</v>
      </c>
      <c r="Q54">
        <v>915017</v>
      </c>
      <c r="R54">
        <v>623084</v>
      </c>
      <c r="S54">
        <v>5482571</v>
      </c>
      <c r="T54">
        <v>0</v>
      </c>
      <c r="U54">
        <v>5031810</v>
      </c>
      <c r="V54">
        <v>0</v>
      </c>
      <c r="W54">
        <v>0</v>
      </c>
      <c r="X54">
        <v>0</v>
      </c>
      <c r="Y54">
        <v>311420</v>
      </c>
      <c r="Z54">
        <v>936137</v>
      </c>
      <c r="AB54">
        <v>0</v>
      </c>
      <c r="AC54">
        <v>52238</v>
      </c>
      <c r="AD54">
        <v>87016</v>
      </c>
      <c r="AE54">
        <v>677784</v>
      </c>
      <c r="AF54">
        <v>500</v>
      </c>
      <c r="AG54">
        <v>0</v>
      </c>
      <c r="AH54">
        <v>0</v>
      </c>
      <c r="AI54">
        <v>0</v>
      </c>
      <c r="AJ54">
        <v>4734791</v>
      </c>
      <c r="AK54">
        <v>21101</v>
      </c>
      <c r="AL54">
        <v>0</v>
      </c>
      <c r="AM54">
        <v>0</v>
      </c>
      <c r="AN54">
        <v>2116466</v>
      </c>
      <c r="AP54">
        <v>0</v>
      </c>
      <c r="AQ54">
        <v>969283</v>
      </c>
      <c r="AR54">
        <v>637837</v>
      </c>
      <c r="AT54">
        <v>179412</v>
      </c>
      <c r="AU54">
        <v>1569435</v>
      </c>
      <c r="AV54">
        <v>0</v>
      </c>
      <c r="AX54">
        <v>39758</v>
      </c>
      <c r="AY54">
        <v>0</v>
      </c>
      <c r="BA54">
        <v>0</v>
      </c>
      <c r="BB54">
        <v>0</v>
      </c>
      <c r="BD54">
        <v>0</v>
      </c>
      <c r="BE54">
        <v>7088389</v>
      </c>
      <c r="BH54">
        <v>276663</v>
      </c>
      <c r="BI54">
        <v>158321</v>
      </c>
      <c r="BJ54">
        <v>216043</v>
      </c>
      <c r="BK54">
        <v>173084</v>
      </c>
      <c r="BL54">
        <v>50167</v>
      </c>
      <c r="BM54">
        <v>0</v>
      </c>
      <c r="BN54">
        <v>822054</v>
      </c>
      <c r="BO54">
        <v>54427</v>
      </c>
      <c r="BP54">
        <v>722184</v>
      </c>
      <c r="BQ54">
        <v>306831</v>
      </c>
      <c r="BR54">
        <v>0</v>
      </c>
      <c r="BS54">
        <v>0</v>
      </c>
      <c r="BT54">
        <v>0</v>
      </c>
      <c r="BU54">
        <v>727060</v>
      </c>
      <c r="BW54">
        <v>0</v>
      </c>
      <c r="BX54">
        <v>0</v>
      </c>
      <c r="BY54">
        <v>0</v>
      </c>
      <c r="BZ54">
        <v>9265630</v>
      </c>
      <c r="CA54">
        <v>0</v>
      </c>
    </row>
    <row r="55" spans="1:79" x14ac:dyDescent="0.3">
      <c r="A55">
        <v>333</v>
      </c>
      <c r="B55" t="s">
        <v>176</v>
      </c>
      <c r="D55">
        <v>1114121</v>
      </c>
      <c r="E55">
        <v>39058073</v>
      </c>
      <c r="G55">
        <v>57537233</v>
      </c>
      <c r="H55">
        <v>4055316</v>
      </c>
      <c r="I55">
        <v>408285</v>
      </c>
      <c r="J55">
        <v>3617429</v>
      </c>
      <c r="K55">
        <v>1203740</v>
      </c>
      <c r="L55">
        <v>53296835</v>
      </c>
      <c r="N55">
        <v>838315</v>
      </c>
      <c r="P55">
        <v>20471773</v>
      </c>
      <c r="Q55">
        <v>21443914</v>
      </c>
      <c r="R55">
        <v>3762357</v>
      </c>
      <c r="S55">
        <v>23899844</v>
      </c>
      <c r="T55">
        <v>264821</v>
      </c>
      <c r="U55">
        <v>29938528</v>
      </c>
      <c r="V55">
        <v>165359</v>
      </c>
      <c r="W55">
        <v>12086533</v>
      </c>
      <c r="X55">
        <v>22380155</v>
      </c>
      <c r="Y55">
        <v>6922824</v>
      </c>
      <c r="Z55">
        <v>3331910</v>
      </c>
      <c r="AB55">
        <v>1825209</v>
      </c>
      <c r="AC55">
        <v>420579</v>
      </c>
      <c r="AD55">
        <v>1545227</v>
      </c>
      <c r="AE55">
        <v>3745624</v>
      </c>
      <c r="AF55">
        <v>100008</v>
      </c>
      <c r="AG55">
        <v>67243</v>
      </c>
      <c r="AH55">
        <v>197020</v>
      </c>
      <c r="AI55">
        <v>3867554</v>
      </c>
      <c r="AJ55">
        <v>5457335</v>
      </c>
      <c r="AK55">
        <v>351776</v>
      </c>
      <c r="AL55">
        <v>143926</v>
      </c>
      <c r="AM55">
        <v>23836612</v>
      </c>
      <c r="AN55">
        <v>24041820</v>
      </c>
      <c r="AP55">
        <v>10713782</v>
      </c>
      <c r="AQ55">
        <v>37420630</v>
      </c>
      <c r="AR55">
        <v>681601</v>
      </c>
      <c r="AT55">
        <v>2273634</v>
      </c>
      <c r="AU55">
        <v>12267973</v>
      </c>
      <c r="AV55">
        <v>343914</v>
      </c>
      <c r="AX55">
        <v>5596441</v>
      </c>
      <c r="AY55">
        <v>4915926</v>
      </c>
      <c r="BA55">
        <v>172314</v>
      </c>
      <c r="BB55">
        <v>4323821</v>
      </c>
      <c r="BD55">
        <v>383739</v>
      </c>
      <c r="BE55">
        <v>10939800</v>
      </c>
      <c r="BH55">
        <v>3779209</v>
      </c>
      <c r="BI55">
        <v>4749665</v>
      </c>
      <c r="BJ55">
        <v>453281</v>
      </c>
      <c r="BK55">
        <v>5843024</v>
      </c>
      <c r="BL55">
        <v>8511284</v>
      </c>
      <c r="BM55">
        <v>194337</v>
      </c>
      <c r="BN55">
        <v>5775074</v>
      </c>
      <c r="BO55">
        <v>5088488</v>
      </c>
      <c r="BP55">
        <v>1516907</v>
      </c>
      <c r="BQ55">
        <v>3588167</v>
      </c>
      <c r="BR55">
        <v>2922632</v>
      </c>
      <c r="BS55">
        <v>29998420</v>
      </c>
      <c r="BT55">
        <v>2590855</v>
      </c>
      <c r="BU55">
        <v>2469714</v>
      </c>
      <c r="BW55">
        <v>1560742</v>
      </c>
      <c r="BX55">
        <v>242249</v>
      </c>
      <c r="BY55">
        <v>200755</v>
      </c>
      <c r="BZ55">
        <v>19438535</v>
      </c>
      <c r="CA55">
        <v>29019</v>
      </c>
    </row>
    <row r="56" spans="1:79" x14ac:dyDescent="0.3">
      <c r="A56">
        <v>334</v>
      </c>
      <c r="B56" t="s">
        <v>261</v>
      </c>
      <c r="D56">
        <v>4875521</v>
      </c>
      <c r="E56">
        <v>74244875</v>
      </c>
      <c r="G56">
        <v>195612574</v>
      </c>
      <c r="H56">
        <v>16393880</v>
      </c>
      <c r="I56">
        <v>150209</v>
      </c>
      <c r="J56">
        <v>1635214</v>
      </c>
      <c r="K56">
        <v>3582107</v>
      </c>
      <c r="L56">
        <v>350582637</v>
      </c>
      <c r="N56">
        <v>2312107</v>
      </c>
      <c r="P56">
        <v>163996431</v>
      </c>
      <c r="Q56">
        <v>66370327</v>
      </c>
      <c r="R56">
        <v>12193249</v>
      </c>
      <c r="S56">
        <v>34749019</v>
      </c>
      <c r="T56">
        <v>585574</v>
      </c>
      <c r="U56">
        <v>44707853</v>
      </c>
      <c r="V56">
        <v>26512</v>
      </c>
      <c r="W56">
        <v>43478895</v>
      </c>
      <c r="X56">
        <v>137503670</v>
      </c>
      <c r="Y56">
        <v>15340460</v>
      </c>
      <c r="Z56">
        <v>18114795</v>
      </c>
      <c r="AB56">
        <v>842455</v>
      </c>
      <c r="AC56">
        <v>953108</v>
      </c>
      <c r="AD56">
        <v>4705061</v>
      </c>
      <c r="AE56">
        <v>7223150</v>
      </c>
      <c r="AF56">
        <v>765072</v>
      </c>
      <c r="AG56">
        <v>206889</v>
      </c>
      <c r="AH56">
        <v>1890054</v>
      </c>
      <c r="AI56">
        <v>2951767</v>
      </c>
      <c r="AJ56">
        <v>22042026</v>
      </c>
      <c r="AK56">
        <v>2059319</v>
      </c>
      <c r="AL56">
        <v>37459</v>
      </c>
      <c r="AM56">
        <v>160255635</v>
      </c>
      <c r="AN56">
        <v>81080184</v>
      </c>
      <c r="AP56">
        <v>13742046</v>
      </c>
      <c r="AQ56">
        <v>101953973</v>
      </c>
      <c r="AR56">
        <v>4696548</v>
      </c>
      <c r="AT56">
        <v>11281793</v>
      </c>
      <c r="AU56">
        <v>41360565</v>
      </c>
      <c r="AV56">
        <v>852072</v>
      </c>
      <c r="AX56">
        <v>18789481</v>
      </c>
      <c r="AY56">
        <v>8543995</v>
      </c>
      <c r="BA56">
        <v>5342</v>
      </c>
      <c r="BB56">
        <v>5574326</v>
      </c>
      <c r="BD56">
        <v>110316</v>
      </c>
      <c r="BE56">
        <v>53745901</v>
      </c>
      <c r="BH56">
        <v>6187624</v>
      </c>
      <c r="BI56">
        <v>9784786</v>
      </c>
      <c r="BJ56">
        <v>1118128</v>
      </c>
      <c r="BK56">
        <v>20911687</v>
      </c>
      <c r="BL56">
        <v>10561468</v>
      </c>
      <c r="BM56">
        <v>154058</v>
      </c>
      <c r="BN56">
        <v>21813687</v>
      </c>
      <c r="BO56">
        <v>9504288</v>
      </c>
      <c r="BP56">
        <v>1368709</v>
      </c>
      <c r="BQ56">
        <v>3616389</v>
      </c>
      <c r="BR56">
        <v>9843080</v>
      </c>
      <c r="BS56">
        <v>151947691</v>
      </c>
      <c r="BT56">
        <v>5202864</v>
      </c>
      <c r="BU56">
        <v>6378899</v>
      </c>
      <c r="BW56">
        <v>4134260</v>
      </c>
      <c r="BX56">
        <v>61320</v>
      </c>
      <c r="BY56">
        <v>99967</v>
      </c>
      <c r="BZ56">
        <v>82876549</v>
      </c>
      <c r="CA56">
        <v>378948</v>
      </c>
    </row>
    <row r="57" spans="1:79" x14ac:dyDescent="0.3">
      <c r="A57">
        <v>335</v>
      </c>
      <c r="B57" t="s">
        <v>109</v>
      </c>
      <c r="D57">
        <v>0</v>
      </c>
      <c r="E57">
        <v>0</v>
      </c>
      <c r="G57">
        <v>0</v>
      </c>
      <c r="H57">
        <v>0</v>
      </c>
      <c r="I57">
        <v>0</v>
      </c>
      <c r="J57">
        <v>0</v>
      </c>
      <c r="K57">
        <v>0</v>
      </c>
      <c r="L57">
        <v>0</v>
      </c>
      <c r="N57">
        <v>0</v>
      </c>
      <c r="P57">
        <v>695277</v>
      </c>
      <c r="Q57">
        <v>18220</v>
      </c>
      <c r="R57">
        <v>1764691</v>
      </c>
      <c r="S57">
        <v>43619</v>
      </c>
      <c r="T57">
        <v>215758</v>
      </c>
      <c r="U57">
        <v>0</v>
      </c>
      <c r="V57">
        <v>0</v>
      </c>
      <c r="W57">
        <v>0</v>
      </c>
      <c r="X57">
        <v>0</v>
      </c>
      <c r="Y57">
        <v>571659</v>
      </c>
      <c r="Z57">
        <v>0</v>
      </c>
      <c r="AB57">
        <v>0</v>
      </c>
      <c r="AC57">
        <v>0</v>
      </c>
      <c r="AD57">
        <v>0</v>
      </c>
      <c r="AE57">
        <v>101475</v>
      </c>
      <c r="AF57">
        <v>0</v>
      </c>
      <c r="AG57">
        <v>0</v>
      </c>
      <c r="AH57">
        <v>46503</v>
      </c>
      <c r="AI57">
        <v>647565</v>
      </c>
      <c r="AJ57">
        <v>2302316</v>
      </c>
      <c r="AK57">
        <v>280592</v>
      </c>
      <c r="AL57">
        <v>0</v>
      </c>
      <c r="AM57">
        <v>3822932</v>
      </c>
      <c r="AN57">
        <v>0</v>
      </c>
      <c r="AP57">
        <v>0</v>
      </c>
      <c r="AQ57">
        <v>52762</v>
      </c>
      <c r="AR57">
        <v>136792</v>
      </c>
      <c r="AT57">
        <v>0</v>
      </c>
      <c r="AU57">
        <v>0</v>
      </c>
      <c r="AV57">
        <v>0</v>
      </c>
      <c r="AX57">
        <v>280931</v>
      </c>
      <c r="AY57">
        <v>0</v>
      </c>
      <c r="BA57">
        <v>0</v>
      </c>
      <c r="BB57">
        <v>0</v>
      </c>
      <c r="BD57">
        <v>0</v>
      </c>
      <c r="BE57">
        <v>506707</v>
      </c>
      <c r="BH57">
        <v>0</v>
      </c>
      <c r="BI57">
        <v>13850</v>
      </c>
      <c r="BJ57">
        <v>0</v>
      </c>
      <c r="BK57">
        <v>0</v>
      </c>
      <c r="BL57">
        <v>0</v>
      </c>
      <c r="BM57">
        <v>0</v>
      </c>
      <c r="BN57">
        <v>0</v>
      </c>
      <c r="BO57">
        <v>0</v>
      </c>
      <c r="BP57">
        <v>0</v>
      </c>
      <c r="BQ57">
        <v>0</v>
      </c>
      <c r="BR57">
        <v>0</v>
      </c>
      <c r="BS57">
        <v>217271</v>
      </c>
      <c r="BT57">
        <v>0</v>
      </c>
      <c r="BU57">
        <v>972338</v>
      </c>
      <c r="BW57">
        <v>0</v>
      </c>
      <c r="BX57">
        <v>0</v>
      </c>
      <c r="BY57">
        <v>0</v>
      </c>
      <c r="BZ57">
        <v>0</v>
      </c>
      <c r="CA57">
        <v>33861</v>
      </c>
    </row>
    <row r="58" spans="1:79" x14ac:dyDescent="0.3">
      <c r="A58">
        <v>336</v>
      </c>
      <c r="B58" t="s">
        <v>882</v>
      </c>
      <c r="D58">
        <v>130045</v>
      </c>
      <c r="E58">
        <v>3140305</v>
      </c>
      <c r="G58">
        <v>8433147</v>
      </c>
      <c r="H58">
        <v>537252</v>
      </c>
      <c r="I58">
        <v>15994</v>
      </c>
      <c r="J58">
        <v>11128</v>
      </c>
      <c r="K58">
        <v>418291</v>
      </c>
      <c r="L58">
        <v>14361733</v>
      </c>
      <c r="N58">
        <v>36687</v>
      </c>
      <c r="P58">
        <v>10348174</v>
      </c>
      <c r="Q58">
        <v>2756289</v>
      </c>
      <c r="R58">
        <v>2227403</v>
      </c>
      <c r="S58">
        <v>1412091</v>
      </c>
      <c r="T58">
        <v>223914</v>
      </c>
      <c r="U58">
        <v>3307862</v>
      </c>
      <c r="V58">
        <v>753</v>
      </c>
      <c r="W58">
        <v>1464754</v>
      </c>
      <c r="X58">
        <v>4146783</v>
      </c>
      <c r="Y58">
        <v>1493006</v>
      </c>
      <c r="Z58">
        <v>786634</v>
      </c>
      <c r="AB58">
        <v>503470</v>
      </c>
      <c r="AC58">
        <v>10777</v>
      </c>
      <c r="AD58">
        <v>54269</v>
      </c>
      <c r="AE58">
        <v>287632</v>
      </c>
      <c r="AF58">
        <v>7490</v>
      </c>
      <c r="AG58">
        <v>1544</v>
      </c>
      <c r="AH58">
        <v>1114</v>
      </c>
      <c r="AI58">
        <v>148413</v>
      </c>
      <c r="AJ58">
        <v>3170340</v>
      </c>
      <c r="AK58">
        <v>294452</v>
      </c>
      <c r="AL58">
        <v>4550</v>
      </c>
      <c r="AM58">
        <v>12550648</v>
      </c>
      <c r="AN58">
        <v>3473587</v>
      </c>
      <c r="AP58">
        <v>2395380</v>
      </c>
      <c r="AQ58">
        <v>6854146</v>
      </c>
      <c r="AR58">
        <v>360856</v>
      </c>
      <c r="AT58">
        <v>522759</v>
      </c>
      <c r="AU58">
        <v>3469941</v>
      </c>
      <c r="AV58">
        <v>58896</v>
      </c>
      <c r="AX58">
        <v>3393703</v>
      </c>
      <c r="AY58">
        <v>54918</v>
      </c>
      <c r="BA58">
        <v>241498</v>
      </c>
      <c r="BB58">
        <v>204087</v>
      </c>
      <c r="BD58">
        <v>1152</v>
      </c>
      <c r="BE58">
        <v>6265033</v>
      </c>
      <c r="BH58">
        <v>215276</v>
      </c>
      <c r="BI58">
        <v>550590</v>
      </c>
      <c r="BJ58">
        <v>62742</v>
      </c>
      <c r="BK58">
        <v>231043</v>
      </c>
      <c r="BL58">
        <v>194929</v>
      </c>
      <c r="BM58">
        <v>0</v>
      </c>
      <c r="BN58">
        <v>1478917</v>
      </c>
      <c r="BO58">
        <v>313445</v>
      </c>
      <c r="BP58">
        <v>15696</v>
      </c>
      <c r="BQ58">
        <v>128601</v>
      </c>
      <c r="BR58">
        <v>125286</v>
      </c>
      <c r="BS58">
        <v>2726937</v>
      </c>
      <c r="BT58">
        <v>113699</v>
      </c>
      <c r="BU58">
        <v>1138152</v>
      </c>
      <c r="BW58">
        <v>3460</v>
      </c>
      <c r="BX58">
        <v>0</v>
      </c>
      <c r="BY58">
        <v>1772</v>
      </c>
      <c r="BZ58">
        <v>2751161</v>
      </c>
      <c r="CA58">
        <v>35798</v>
      </c>
    </row>
    <row r="59" spans="1:79" x14ac:dyDescent="0.3">
      <c r="A59">
        <v>337</v>
      </c>
      <c r="B59" t="s">
        <v>245</v>
      </c>
      <c r="D59">
        <v>1193521</v>
      </c>
      <c r="E59">
        <v>16871497</v>
      </c>
      <c r="G59">
        <v>15134246</v>
      </c>
      <c r="H59">
        <v>657657</v>
      </c>
      <c r="I59">
        <v>0</v>
      </c>
      <c r="J59">
        <v>0</v>
      </c>
      <c r="K59">
        <v>1310864</v>
      </c>
      <c r="L59">
        <v>111870584</v>
      </c>
      <c r="N59">
        <v>0</v>
      </c>
      <c r="P59">
        <v>40106628</v>
      </c>
      <c r="Q59">
        <v>7556385</v>
      </c>
      <c r="R59">
        <v>1768208</v>
      </c>
      <c r="S59">
        <v>1688607</v>
      </c>
      <c r="T59">
        <v>0</v>
      </c>
      <c r="U59">
        <v>10476080</v>
      </c>
      <c r="V59">
        <v>0</v>
      </c>
      <c r="W59">
        <v>0</v>
      </c>
      <c r="X59">
        <v>20303865</v>
      </c>
      <c r="Y59">
        <v>4397441</v>
      </c>
      <c r="Z59">
        <v>114645</v>
      </c>
      <c r="AB59">
        <v>0</v>
      </c>
      <c r="AC59">
        <v>46452</v>
      </c>
      <c r="AD59">
        <v>0</v>
      </c>
      <c r="AE59">
        <v>848232</v>
      </c>
      <c r="AF59">
        <v>0</v>
      </c>
      <c r="AG59">
        <v>0</v>
      </c>
      <c r="AH59">
        <v>0</v>
      </c>
      <c r="AI59">
        <v>271125</v>
      </c>
      <c r="AJ59">
        <v>4558182</v>
      </c>
      <c r="AK59">
        <v>0</v>
      </c>
      <c r="AL59">
        <v>0</v>
      </c>
      <c r="AM59">
        <v>13802847</v>
      </c>
      <c r="AN59">
        <v>713264</v>
      </c>
      <c r="AP59">
        <v>1600000</v>
      </c>
      <c r="AQ59">
        <v>5409301</v>
      </c>
      <c r="AR59">
        <v>885948</v>
      </c>
      <c r="AT59">
        <v>2381859</v>
      </c>
      <c r="AU59">
        <v>2458089</v>
      </c>
      <c r="AV59">
        <v>0</v>
      </c>
      <c r="AX59">
        <v>0</v>
      </c>
      <c r="AY59">
        <v>766241</v>
      </c>
      <c r="BA59">
        <v>0</v>
      </c>
      <c r="BB59">
        <v>374621</v>
      </c>
      <c r="BD59">
        <v>0</v>
      </c>
      <c r="BE59">
        <v>12690021</v>
      </c>
      <c r="BH59">
        <v>56858</v>
      </c>
      <c r="BI59">
        <v>0</v>
      </c>
      <c r="BJ59">
        <v>127771</v>
      </c>
      <c r="BK59">
        <v>0</v>
      </c>
      <c r="BL59">
        <v>0</v>
      </c>
      <c r="BM59">
        <v>0</v>
      </c>
      <c r="BN59">
        <v>3155801</v>
      </c>
      <c r="BO59">
        <v>0</v>
      </c>
      <c r="BP59">
        <v>0</v>
      </c>
      <c r="BQ59">
        <v>1179117</v>
      </c>
      <c r="BR59">
        <v>1023000</v>
      </c>
      <c r="BS59">
        <v>6055204</v>
      </c>
      <c r="BT59">
        <v>265604</v>
      </c>
      <c r="BU59">
        <v>292811</v>
      </c>
      <c r="BW59">
        <v>8915</v>
      </c>
      <c r="BX59">
        <v>0</v>
      </c>
      <c r="BY59">
        <v>0</v>
      </c>
      <c r="BZ59">
        <v>6834187</v>
      </c>
      <c r="CA59">
        <v>26036</v>
      </c>
    </row>
    <row r="60" spans="1:79" x14ac:dyDescent="0.3">
      <c r="A60">
        <v>338</v>
      </c>
      <c r="B60" t="s">
        <v>108</v>
      </c>
      <c r="D60">
        <v>2603710</v>
      </c>
      <c r="E60">
        <v>30154878</v>
      </c>
      <c r="G60">
        <v>47262213</v>
      </c>
      <c r="H60">
        <v>3090596</v>
      </c>
      <c r="I60">
        <v>502093</v>
      </c>
      <c r="J60">
        <v>781658</v>
      </c>
      <c r="K60">
        <v>3018788</v>
      </c>
      <c r="L60">
        <v>230079187</v>
      </c>
      <c r="N60">
        <v>1266345</v>
      </c>
      <c r="P60">
        <v>78045906</v>
      </c>
      <c r="Q60">
        <v>25514338</v>
      </c>
      <c r="R60">
        <v>7654859</v>
      </c>
      <c r="S60">
        <v>21757642</v>
      </c>
      <c r="T60">
        <v>224372</v>
      </c>
      <c r="U60">
        <v>29681409</v>
      </c>
      <c r="V60">
        <v>29906</v>
      </c>
      <c r="W60">
        <v>11232538</v>
      </c>
      <c r="X60">
        <v>43222652</v>
      </c>
      <c r="Y60">
        <v>12085947</v>
      </c>
      <c r="Z60">
        <v>1104779</v>
      </c>
      <c r="AB60">
        <v>503470</v>
      </c>
      <c r="AC60">
        <v>46452</v>
      </c>
      <c r="AD60">
        <v>590435</v>
      </c>
      <c r="AE60">
        <v>2625092</v>
      </c>
      <c r="AF60">
        <v>507490</v>
      </c>
      <c r="AG60">
        <v>1544</v>
      </c>
      <c r="AH60">
        <v>47617</v>
      </c>
      <c r="AI60">
        <v>2319454</v>
      </c>
      <c r="AJ60">
        <v>14660561</v>
      </c>
      <c r="AK60">
        <v>296552</v>
      </c>
      <c r="AL60">
        <v>4550</v>
      </c>
      <c r="AM60">
        <v>35459053</v>
      </c>
      <c r="AN60">
        <v>19702362</v>
      </c>
      <c r="AP60">
        <v>4495551</v>
      </c>
      <c r="AQ60">
        <v>40283596</v>
      </c>
      <c r="AR60">
        <v>2539827</v>
      </c>
      <c r="AT60">
        <v>6610189</v>
      </c>
      <c r="AU60">
        <v>22201435</v>
      </c>
      <c r="AV60">
        <v>104740</v>
      </c>
      <c r="AX60">
        <v>5336965</v>
      </c>
      <c r="AY60">
        <v>3362798</v>
      </c>
      <c r="BA60">
        <v>277192</v>
      </c>
      <c r="BB60">
        <v>2045645</v>
      </c>
      <c r="BD60">
        <v>21697</v>
      </c>
      <c r="BE60">
        <v>73628716</v>
      </c>
      <c r="BH60">
        <v>10011279</v>
      </c>
      <c r="BI60">
        <v>2177833</v>
      </c>
      <c r="BJ60">
        <v>316311</v>
      </c>
      <c r="BK60">
        <v>4006118</v>
      </c>
      <c r="BL60">
        <v>4480310</v>
      </c>
      <c r="BM60">
        <v>31500</v>
      </c>
      <c r="BN60">
        <v>8845411</v>
      </c>
      <c r="BO60">
        <v>1316648</v>
      </c>
      <c r="BP60">
        <v>374283</v>
      </c>
      <c r="BQ60">
        <v>2313221</v>
      </c>
      <c r="BR60">
        <v>2472713</v>
      </c>
      <c r="BS60">
        <v>19598505</v>
      </c>
      <c r="BT60">
        <v>1647474</v>
      </c>
      <c r="BU60">
        <v>7180764</v>
      </c>
      <c r="BW60">
        <v>83096</v>
      </c>
      <c r="BX60">
        <v>24196</v>
      </c>
      <c r="BY60">
        <v>26608</v>
      </c>
      <c r="BZ60">
        <v>30432836</v>
      </c>
      <c r="CA60">
        <v>59992</v>
      </c>
    </row>
    <row r="61" spans="1:79" x14ac:dyDescent="0.3">
      <c r="A61">
        <v>339</v>
      </c>
      <c r="B61" t="s">
        <v>181</v>
      </c>
      <c r="D61">
        <v>78417</v>
      </c>
      <c r="E61">
        <v>509280</v>
      </c>
      <c r="G61">
        <v>2852886</v>
      </c>
      <c r="H61">
        <v>1441030</v>
      </c>
      <c r="I61">
        <v>7660</v>
      </c>
      <c r="J61">
        <v>2600</v>
      </c>
      <c r="K61">
        <v>205614</v>
      </c>
      <c r="L61">
        <v>2202953</v>
      </c>
      <c r="N61">
        <v>138195</v>
      </c>
      <c r="P61">
        <v>2959667</v>
      </c>
      <c r="Q61">
        <v>572556</v>
      </c>
      <c r="R61">
        <v>528159</v>
      </c>
      <c r="S61">
        <v>2983475</v>
      </c>
      <c r="T61">
        <v>0</v>
      </c>
      <c r="U61">
        <v>4009963</v>
      </c>
      <c r="V61">
        <v>0</v>
      </c>
      <c r="W61">
        <v>262686</v>
      </c>
      <c r="X61">
        <v>3723080</v>
      </c>
      <c r="Y61">
        <v>2470967</v>
      </c>
      <c r="Z61">
        <v>596133</v>
      </c>
      <c r="AB61">
        <v>88749</v>
      </c>
      <c r="AC61">
        <v>0</v>
      </c>
      <c r="AD61">
        <v>47977</v>
      </c>
      <c r="AE61">
        <v>521537</v>
      </c>
      <c r="AF61">
        <v>9225</v>
      </c>
      <c r="AG61">
        <v>0</v>
      </c>
      <c r="AH61">
        <v>0</v>
      </c>
      <c r="AI61">
        <v>13146</v>
      </c>
      <c r="AJ61">
        <v>445016</v>
      </c>
      <c r="AK61">
        <v>0</v>
      </c>
      <c r="AL61">
        <v>60</v>
      </c>
      <c r="AM61">
        <v>7203538</v>
      </c>
      <c r="AN61">
        <v>1858802</v>
      </c>
      <c r="AP61">
        <v>97898</v>
      </c>
      <c r="AQ61">
        <v>2533499</v>
      </c>
      <c r="AR61">
        <v>348856</v>
      </c>
      <c r="AT61">
        <v>1036068</v>
      </c>
      <c r="AU61">
        <v>308335</v>
      </c>
      <c r="AV61">
        <v>46462</v>
      </c>
      <c r="AX61">
        <v>79209</v>
      </c>
      <c r="AY61">
        <v>413585</v>
      </c>
      <c r="BA61">
        <v>13951</v>
      </c>
      <c r="BB61">
        <v>302870</v>
      </c>
      <c r="BD61">
        <v>2616</v>
      </c>
      <c r="BE61">
        <v>9959064</v>
      </c>
      <c r="BH61">
        <v>228841</v>
      </c>
      <c r="BI61">
        <v>220874</v>
      </c>
      <c r="BJ61">
        <v>123039</v>
      </c>
      <c r="BK61">
        <v>363928</v>
      </c>
      <c r="BL61">
        <v>373166</v>
      </c>
      <c r="BM61">
        <v>0</v>
      </c>
      <c r="BN61">
        <v>2010663</v>
      </c>
      <c r="BO61">
        <v>42591</v>
      </c>
      <c r="BP61">
        <v>7414</v>
      </c>
      <c r="BQ61">
        <v>289897</v>
      </c>
      <c r="BR61">
        <v>540528</v>
      </c>
      <c r="BS61">
        <v>2238658</v>
      </c>
      <c r="BT61">
        <v>266173</v>
      </c>
      <c r="BU61">
        <v>375183</v>
      </c>
      <c r="BW61">
        <v>3335</v>
      </c>
      <c r="BX61">
        <v>0</v>
      </c>
      <c r="BY61">
        <v>0</v>
      </c>
      <c r="BZ61">
        <v>2689077</v>
      </c>
      <c r="CA61">
        <v>10005</v>
      </c>
    </row>
    <row r="62" spans="1:79" x14ac:dyDescent="0.3">
      <c r="A62">
        <v>341</v>
      </c>
      <c r="B62" t="s">
        <v>883</v>
      </c>
      <c r="D62">
        <v>2541577</v>
      </c>
      <c r="E62">
        <v>21108320</v>
      </c>
      <c r="G62">
        <v>53771331</v>
      </c>
      <c r="H62">
        <v>4545631</v>
      </c>
      <c r="I62">
        <v>302903</v>
      </c>
      <c r="J62">
        <v>1947870</v>
      </c>
      <c r="K62">
        <v>1992565</v>
      </c>
      <c r="L62">
        <v>58910087</v>
      </c>
      <c r="N62">
        <v>828810</v>
      </c>
      <c r="P62">
        <v>36585664</v>
      </c>
      <c r="Q62">
        <v>22156594</v>
      </c>
      <c r="R62">
        <v>6547867</v>
      </c>
      <c r="S62">
        <v>15938935</v>
      </c>
      <c r="T62">
        <v>202925</v>
      </c>
      <c r="U62">
        <v>23299725</v>
      </c>
      <c r="V62">
        <v>23256</v>
      </c>
      <c r="W62">
        <v>11309515</v>
      </c>
      <c r="X62">
        <v>20644808</v>
      </c>
      <c r="Y62">
        <v>5404957</v>
      </c>
      <c r="Z62">
        <v>1452004</v>
      </c>
      <c r="AB62">
        <v>1506600</v>
      </c>
      <c r="AC62">
        <v>402018</v>
      </c>
      <c r="AD62">
        <v>1283575</v>
      </c>
      <c r="AE62">
        <v>3921621</v>
      </c>
      <c r="AF62">
        <v>119817</v>
      </c>
      <c r="AG62">
        <v>58259</v>
      </c>
      <c r="AH62">
        <v>96254</v>
      </c>
      <c r="AI62">
        <v>3411729</v>
      </c>
      <c r="AJ62">
        <v>7842907</v>
      </c>
      <c r="AK62">
        <v>197041</v>
      </c>
      <c r="AL62">
        <v>29692</v>
      </c>
      <c r="AM62">
        <v>24601823</v>
      </c>
      <c r="AN62">
        <v>21561711</v>
      </c>
      <c r="AP62">
        <v>5760381</v>
      </c>
      <c r="AQ62">
        <v>31173108</v>
      </c>
      <c r="AR62">
        <v>2980520</v>
      </c>
      <c r="AT62">
        <v>6086196</v>
      </c>
      <c r="AU62">
        <v>14152628</v>
      </c>
      <c r="AV62">
        <v>90160</v>
      </c>
      <c r="AX62">
        <v>5645074</v>
      </c>
      <c r="AY62">
        <v>4403189</v>
      </c>
      <c r="BA62">
        <v>99072</v>
      </c>
      <c r="BB62">
        <v>3168733</v>
      </c>
      <c r="BD62">
        <v>92757</v>
      </c>
      <c r="BE62">
        <v>25100800</v>
      </c>
      <c r="BH62">
        <v>3608546</v>
      </c>
      <c r="BI62">
        <v>3401461</v>
      </c>
      <c r="BJ62">
        <v>662864</v>
      </c>
      <c r="BK62">
        <v>10501922</v>
      </c>
      <c r="BL62">
        <v>5365294</v>
      </c>
      <c r="BM62">
        <v>46068</v>
      </c>
      <c r="BN62">
        <v>6387855</v>
      </c>
      <c r="BO62">
        <v>3046304</v>
      </c>
      <c r="BP62">
        <v>1163782</v>
      </c>
      <c r="BQ62">
        <v>2671915</v>
      </c>
      <c r="BR62">
        <v>2027632</v>
      </c>
      <c r="BS62">
        <v>27789309</v>
      </c>
      <c r="BT62">
        <v>2218658</v>
      </c>
      <c r="BU62">
        <v>3129910</v>
      </c>
      <c r="BW62">
        <v>1064782</v>
      </c>
      <c r="BX62">
        <v>59398</v>
      </c>
      <c r="BY62">
        <v>50682</v>
      </c>
      <c r="BZ62">
        <v>22609418</v>
      </c>
      <c r="CA62">
        <v>53986</v>
      </c>
    </row>
    <row r="63" spans="1:79" x14ac:dyDescent="0.3">
      <c r="A63">
        <v>343</v>
      </c>
      <c r="B63" t="s">
        <v>246</v>
      </c>
      <c r="D63">
        <v>126258</v>
      </c>
      <c r="E63">
        <v>1849363</v>
      </c>
      <c r="G63">
        <v>3389857</v>
      </c>
      <c r="H63">
        <v>335945</v>
      </c>
      <c r="I63">
        <v>0</v>
      </c>
      <c r="J63">
        <v>0</v>
      </c>
      <c r="K63">
        <v>87129</v>
      </c>
      <c r="L63">
        <v>13483565</v>
      </c>
      <c r="N63">
        <v>26280</v>
      </c>
      <c r="P63">
        <v>4955848</v>
      </c>
      <c r="Q63">
        <v>5547568</v>
      </c>
      <c r="R63">
        <v>1387112</v>
      </c>
      <c r="S63">
        <v>742017</v>
      </c>
      <c r="T63">
        <v>0</v>
      </c>
      <c r="U63">
        <v>749306</v>
      </c>
      <c r="V63">
        <v>0</v>
      </c>
      <c r="W63">
        <v>0</v>
      </c>
      <c r="X63">
        <v>1847254</v>
      </c>
      <c r="Y63">
        <v>563343</v>
      </c>
      <c r="Z63">
        <v>57323</v>
      </c>
      <c r="AB63">
        <v>0</v>
      </c>
      <c r="AC63">
        <v>13100</v>
      </c>
      <c r="AD63">
        <v>0</v>
      </c>
      <c r="AE63">
        <v>48263</v>
      </c>
      <c r="AF63">
        <v>0</v>
      </c>
      <c r="AG63">
        <v>0</v>
      </c>
      <c r="AH63">
        <v>0</v>
      </c>
      <c r="AI63">
        <v>121975</v>
      </c>
      <c r="AJ63">
        <v>555804</v>
      </c>
      <c r="AK63">
        <v>0</v>
      </c>
      <c r="AL63">
        <v>0</v>
      </c>
      <c r="AM63">
        <v>2078682</v>
      </c>
      <c r="AN63">
        <v>129684</v>
      </c>
      <c r="AP63">
        <v>200000</v>
      </c>
      <c r="AQ63">
        <v>1235247</v>
      </c>
      <c r="AR63">
        <v>187301</v>
      </c>
      <c r="AT63">
        <v>247217</v>
      </c>
      <c r="AU63">
        <v>1074478</v>
      </c>
      <c r="AV63">
        <v>0</v>
      </c>
      <c r="AX63">
        <v>0</v>
      </c>
      <c r="AY63">
        <v>106685</v>
      </c>
      <c r="BA63">
        <v>0</v>
      </c>
      <c r="BB63">
        <v>103518</v>
      </c>
      <c r="BD63">
        <v>0</v>
      </c>
      <c r="BE63">
        <v>1004268</v>
      </c>
      <c r="BH63">
        <v>15833</v>
      </c>
      <c r="BI63">
        <v>4537</v>
      </c>
      <c r="BJ63">
        <v>20000</v>
      </c>
      <c r="BK63">
        <v>0</v>
      </c>
      <c r="BL63">
        <v>0</v>
      </c>
      <c r="BM63">
        <v>0</v>
      </c>
      <c r="BN63">
        <v>756573</v>
      </c>
      <c r="BO63">
        <v>0</v>
      </c>
      <c r="BP63">
        <v>0</v>
      </c>
      <c r="BQ63">
        <v>70883</v>
      </c>
      <c r="BR63">
        <v>79000</v>
      </c>
      <c r="BS63">
        <v>1343556</v>
      </c>
      <c r="BT63">
        <v>158356</v>
      </c>
      <c r="BU63">
        <v>63701</v>
      </c>
      <c r="BW63">
        <v>5607</v>
      </c>
      <c r="BX63">
        <v>0</v>
      </c>
      <c r="BY63">
        <v>0</v>
      </c>
      <c r="BZ63">
        <v>1593854</v>
      </c>
      <c r="CA63">
        <v>1761</v>
      </c>
    </row>
    <row r="64" spans="1:79" x14ac:dyDescent="0.3">
      <c r="A64">
        <v>344</v>
      </c>
      <c r="B64" t="s">
        <v>179</v>
      </c>
      <c r="D64">
        <v>47018</v>
      </c>
      <c r="E64">
        <v>416653</v>
      </c>
      <c r="G64">
        <v>549779</v>
      </c>
      <c r="H64">
        <v>15872</v>
      </c>
      <c r="I64">
        <v>0</v>
      </c>
      <c r="J64">
        <v>0</v>
      </c>
      <c r="K64">
        <v>48478</v>
      </c>
      <c r="L64">
        <v>4187899</v>
      </c>
      <c r="N64">
        <v>273</v>
      </c>
      <c r="P64">
        <v>764776</v>
      </c>
      <c r="Q64">
        <v>301426</v>
      </c>
      <c r="R64">
        <v>47049</v>
      </c>
      <c r="S64">
        <v>37351</v>
      </c>
      <c r="T64">
        <v>0</v>
      </c>
      <c r="U64">
        <v>382986</v>
      </c>
      <c r="V64">
        <v>0</v>
      </c>
      <c r="W64">
        <v>93982</v>
      </c>
      <c r="X64">
        <v>228938</v>
      </c>
      <c r="Y64">
        <v>132758</v>
      </c>
      <c r="Z64">
        <v>2363</v>
      </c>
      <c r="AB64">
        <v>0</v>
      </c>
      <c r="AC64">
        <v>0</v>
      </c>
      <c r="AD64">
        <v>0</v>
      </c>
      <c r="AE64">
        <v>38243</v>
      </c>
      <c r="AF64">
        <v>0</v>
      </c>
      <c r="AG64">
        <v>0</v>
      </c>
      <c r="AH64">
        <v>0</v>
      </c>
      <c r="AI64">
        <v>9555</v>
      </c>
      <c r="AJ64">
        <v>113678</v>
      </c>
      <c r="AK64">
        <v>0</v>
      </c>
      <c r="AL64">
        <v>0</v>
      </c>
      <c r="AM64">
        <v>279895</v>
      </c>
      <c r="AN64">
        <v>0</v>
      </c>
      <c r="AP64">
        <v>29451</v>
      </c>
      <c r="AQ64">
        <v>153994</v>
      </c>
      <c r="AR64">
        <v>24168</v>
      </c>
      <c r="AT64">
        <v>81769</v>
      </c>
      <c r="AU64">
        <v>68332</v>
      </c>
      <c r="AV64">
        <v>0</v>
      </c>
      <c r="AX64">
        <v>0</v>
      </c>
      <c r="AY64">
        <v>26206</v>
      </c>
      <c r="BA64">
        <v>0</v>
      </c>
      <c r="BB64">
        <v>6842</v>
      </c>
      <c r="BD64">
        <v>0</v>
      </c>
      <c r="BE64">
        <v>512399</v>
      </c>
      <c r="BH64">
        <v>1522</v>
      </c>
      <c r="BI64">
        <v>11</v>
      </c>
      <c r="BJ64">
        <v>3744</v>
      </c>
      <c r="BK64">
        <v>0</v>
      </c>
      <c r="BL64">
        <v>0</v>
      </c>
      <c r="BM64">
        <v>0</v>
      </c>
      <c r="BN64">
        <v>41272</v>
      </c>
      <c r="BO64">
        <v>0</v>
      </c>
      <c r="BP64">
        <v>0</v>
      </c>
      <c r="BQ64">
        <v>4553</v>
      </c>
      <c r="BR64">
        <v>26228</v>
      </c>
      <c r="BS64">
        <v>147969</v>
      </c>
      <c r="BT64">
        <v>15942</v>
      </c>
      <c r="BU64">
        <v>8730</v>
      </c>
      <c r="BW64">
        <v>0</v>
      </c>
      <c r="BX64">
        <v>0</v>
      </c>
      <c r="BY64">
        <v>0</v>
      </c>
      <c r="BZ64">
        <v>174264</v>
      </c>
      <c r="CA64">
        <v>1215</v>
      </c>
    </row>
    <row r="65" spans="1:79" x14ac:dyDescent="0.3">
      <c r="A65">
        <v>349</v>
      </c>
      <c r="B65" t="s">
        <v>114</v>
      </c>
      <c r="D65">
        <v>0</v>
      </c>
      <c r="E65">
        <v>0</v>
      </c>
      <c r="G65">
        <v>60481268</v>
      </c>
      <c r="H65">
        <v>1840800</v>
      </c>
      <c r="I65">
        <v>456380</v>
      </c>
      <c r="J65">
        <v>335705</v>
      </c>
      <c r="K65">
        <v>2713934</v>
      </c>
      <c r="L65">
        <v>74037180</v>
      </c>
      <c r="N65">
        <v>891870</v>
      </c>
      <c r="P65">
        <v>0</v>
      </c>
      <c r="Q65">
        <v>2973732</v>
      </c>
      <c r="R65">
        <v>10606693</v>
      </c>
      <c r="S65">
        <v>22785395</v>
      </c>
      <c r="T65">
        <v>129966</v>
      </c>
      <c r="U65">
        <v>12672105</v>
      </c>
      <c r="V65">
        <v>0</v>
      </c>
      <c r="W65">
        <v>0</v>
      </c>
      <c r="X65">
        <v>0</v>
      </c>
      <c r="Y65">
        <v>3209069</v>
      </c>
      <c r="Z65">
        <v>14714505</v>
      </c>
      <c r="AB65">
        <v>0</v>
      </c>
      <c r="AC65">
        <v>157045</v>
      </c>
      <c r="AD65">
        <v>1506065</v>
      </c>
      <c r="AE65">
        <v>4893327</v>
      </c>
      <c r="AF65">
        <v>7283</v>
      </c>
      <c r="AG65">
        <v>0</v>
      </c>
      <c r="AH65">
        <v>0</v>
      </c>
      <c r="AI65">
        <v>0</v>
      </c>
      <c r="AJ65">
        <v>7508834</v>
      </c>
      <c r="AK65">
        <v>63969</v>
      </c>
      <c r="AL65">
        <v>0</v>
      </c>
      <c r="AM65">
        <v>0</v>
      </c>
      <c r="AN65">
        <v>25296438</v>
      </c>
      <c r="AP65">
        <v>0</v>
      </c>
      <c r="AQ65">
        <v>10399165</v>
      </c>
      <c r="AR65">
        <v>494380</v>
      </c>
      <c r="AT65">
        <v>1257431</v>
      </c>
      <c r="AU65">
        <v>5748108</v>
      </c>
      <c r="AV65">
        <v>219487</v>
      </c>
      <c r="AX65">
        <v>260849</v>
      </c>
      <c r="AY65">
        <v>688876</v>
      </c>
      <c r="BA65">
        <v>38216</v>
      </c>
      <c r="BB65">
        <v>1069440</v>
      </c>
      <c r="BD65">
        <v>0</v>
      </c>
      <c r="BE65">
        <v>12466854</v>
      </c>
      <c r="BH65">
        <v>1633899</v>
      </c>
      <c r="BI65">
        <v>1127005</v>
      </c>
      <c r="BJ65">
        <v>213719</v>
      </c>
      <c r="BK65">
        <v>1248663</v>
      </c>
      <c r="BL65">
        <v>2191763</v>
      </c>
      <c r="BM65">
        <v>0</v>
      </c>
      <c r="BN65">
        <v>2394159</v>
      </c>
      <c r="BO65">
        <v>865694</v>
      </c>
      <c r="BP65">
        <v>770264</v>
      </c>
      <c r="BQ65">
        <v>1633657</v>
      </c>
      <c r="BR65">
        <v>0</v>
      </c>
      <c r="BS65">
        <v>0</v>
      </c>
      <c r="BT65">
        <v>535173</v>
      </c>
      <c r="BU65">
        <v>5509081</v>
      </c>
      <c r="BW65">
        <v>481269</v>
      </c>
      <c r="BX65">
        <v>0</v>
      </c>
      <c r="BY65">
        <v>0</v>
      </c>
      <c r="BZ65">
        <v>21930485</v>
      </c>
      <c r="CA65">
        <v>0</v>
      </c>
    </row>
    <row r="66" spans="1:79" x14ac:dyDescent="0.3">
      <c r="A66">
        <v>350</v>
      </c>
      <c r="B66" t="s">
        <v>884</v>
      </c>
      <c r="D66">
        <v>0</v>
      </c>
      <c r="E66">
        <v>0</v>
      </c>
      <c r="G66">
        <v>3750503</v>
      </c>
      <c r="H66">
        <v>314650</v>
      </c>
      <c r="I66">
        <v>4674</v>
      </c>
      <c r="J66">
        <v>1465</v>
      </c>
      <c r="K66">
        <v>17933</v>
      </c>
      <c r="L66">
        <v>752366</v>
      </c>
      <c r="N66">
        <v>31326</v>
      </c>
      <c r="P66">
        <v>0</v>
      </c>
      <c r="Q66">
        <v>13063</v>
      </c>
      <c r="R66">
        <v>196827</v>
      </c>
      <c r="S66">
        <v>25799</v>
      </c>
      <c r="T66">
        <v>111776</v>
      </c>
      <c r="U66">
        <v>0</v>
      </c>
      <c r="V66">
        <v>0</v>
      </c>
      <c r="W66">
        <v>0</v>
      </c>
      <c r="X66">
        <v>0</v>
      </c>
      <c r="Y66">
        <v>40336</v>
      </c>
      <c r="Z66">
        <v>109852</v>
      </c>
      <c r="AB66">
        <v>0</v>
      </c>
      <c r="AC66">
        <v>1668</v>
      </c>
      <c r="AD66">
        <v>17354</v>
      </c>
      <c r="AE66">
        <v>70021</v>
      </c>
      <c r="AF66">
        <v>0</v>
      </c>
      <c r="AG66">
        <v>0</v>
      </c>
      <c r="AH66">
        <v>0</v>
      </c>
      <c r="AI66">
        <v>0</v>
      </c>
      <c r="AJ66">
        <v>-16124</v>
      </c>
      <c r="AK66">
        <v>107391</v>
      </c>
      <c r="AL66">
        <v>0</v>
      </c>
      <c r="AM66">
        <v>0</v>
      </c>
      <c r="AN66">
        <v>249406</v>
      </c>
      <c r="AP66">
        <v>0</v>
      </c>
      <c r="AQ66">
        <v>712371</v>
      </c>
      <c r="AR66">
        <v>206490</v>
      </c>
      <c r="AT66">
        <v>18287</v>
      </c>
      <c r="AU66">
        <v>278904</v>
      </c>
      <c r="AV66">
        <v>6151</v>
      </c>
      <c r="AX66">
        <v>75741</v>
      </c>
      <c r="AY66">
        <v>63598</v>
      </c>
      <c r="BA66">
        <v>1000</v>
      </c>
      <c r="BB66">
        <v>0</v>
      </c>
      <c r="BD66">
        <v>0</v>
      </c>
      <c r="BE66">
        <v>110831</v>
      </c>
      <c r="BH66">
        <v>5050</v>
      </c>
      <c r="BI66">
        <v>49440</v>
      </c>
      <c r="BJ66">
        <v>159358</v>
      </c>
      <c r="BK66">
        <v>157172</v>
      </c>
      <c r="BL66">
        <v>638165</v>
      </c>
      <c r="BM66">
        <v>0</v>
      </c>
      <c r="BN66">
        <v>28952</v>
      </c>
      <c r="BO66">
        <v>140832</v>
      </c>
      <c r="BP66">
        <v>0</v>
      </c>
      <c r="BQ66">
        <v>86076</v>
      </c>
      <c r="BR66">
        <v>0</v>
      </c>
      <c r="BS66">
        <v>0</v>
      </c>
      <c r="BT66">
        <v>27496</v>
      </c>
      <c r="BU66">
        <v>30599</v>
      </c>
      <c r="BW66">
        <v>92377</v>
      </c>
      <c r="BX66">
        <v>0</v>
      </c>
      <c r="BY66">
        <v>0</v>
      </c>
      <c r="BZ66">
        <v>2413721</v>
      </c>
      <c r="CA66">
        <v>0</v>
      </c>
    </row>
    <row r="67" spans="1:79" x14ac:dyDescent="0.3">
      <c r="A67">
        <v>351</v>
      </c>
      <c r="B67" t="s">
        <v>223</v>
      </c>
      <c r="D67">
        <v>0</v>
      </c>
      <c r="E67">
        <v>0</v>
      </c>
      <c r="G67">
        <v>1328952</v>
      </c>
      <c r="H67">
        <v>65200</v>
      </c>
      <c r="I67">
        <v>765</v>
      </c>
      <c r="J67">
        <v>0</v>
      </c>
      <c r="K67">
        <v>71649</v>
      </c>
      <c r="L67">
        <v>2030220</v>
      </c>
      <c r="N67">
        <v>0</v>
      </c>
      <c r="P67">
        <v>0</v>
      </c>
      <c r="Q67">
        <v>0</v>
      </c>
      <c r="R67">
        <v>30230</v>
      </c>
      <c r="S67">
        <v>0</v>
      </c>
      <c r="T67">
        <v>91460</v>
      </c>
      <c r="U67">
        <v>28290</v>
      </c>
      <c r="V67">
        <v>0</v>
      </c>
      <c r="W67">
        <v>0</v>
      </c>
      <c r="X67">
        <v>0</v>
      </c>
      <c r="Y67">
        <v>49076</v>
      </c>
      <c r="Z67">
        <v>13041</v>
      </c>
      <c r="AB67">
        <v>0</v>
      </c>
      <c r="AC67">
        <v>5141</v>
      </c>
      <c r="AD67">
        <v>38829</v>
      </c>
      <c r="AE67">
        <v>150189</v>
      </c>
      <c r="AF67">
        <v>0</v>
      </c>
      <c r="AG67">
        <v>0</v>
      </c>
      <c r="AH67">
        <v>0</v>
      </c>
      <c r="AI67">
        <v>0</v>
      </c>
      <c r="AJ67">
        <v>48474</v>
      </c>
      <c r="AK67">
        <v>106689</v>
      </c>
      <c r="AL67">
        <v>0</v>
      </c>
      <c r="AM67">
        <v>0</v>
      </c>
      <c r="AN67">
        <v>258685</v>
      </c>
      <c r="AP67">
        <v>0</v>
      </c>
      <c r="AQ67">
        <v>95805</v>
      </c>
      <c r="AR67">
        <v>0</v>
      </c>
      <c r="AT67">
        <v>0</v>
      </c>
      <c r="AU67">
        <v>58172</v>
      </c>
      <c r="AV67">
        <v>2020</v>
      </c>
      <c r="AX67">
        <v>0</v>
      </c>
      <c r="AY67">
        <v>7647</v>
      </c>
      <c r="BA67">
        <v>0</v>
      </c>
      <c r="BB67">
        <v>563829</v>
      </c>
      <c r="BD67">
        <v>0</v>
      </c>
      <c r="BE67">
        <v>39575</v>
      </c>
      <c r="BH67">
        <v>22563</v>
      </c>
      <c r="BI67">
        <v>20533</v>
      </c>
      <c r="BJ67">
        <v>0</v>
      </c>
      <c r="BK67">
        <v>0</v>
      </c>
      <c r="BL67">
        <v>0</v>
      </c>
      <c r="BM67">
        <v>0</v>
      </c>
      <c r="BN67">
        <v>19335</v>
      </c>
      <c r="BO67">
        <v>17041</v>
      </c>
      <c r="BP67">
        <v>23293</v>
      </c>
      <c r="BQ67">
        <v>0</v>
      </c>
      <c r="BR67">
        <v>0</v>
      </c>
      <c r="BS67">
        <v>0</v>
      </c>
      <c r="BT67">
        <v>5548</v>
      </c>
      <c r="BU67">
        <v>21589</v>
      </c>
      <c r="BW67">
        <v>0</v>
      </c>
      <c r="BX67">
        <v>0</v>
      </c>
      <c r="BY67">
        <v>0</v>
      </c>
      <c r="BZ67">
        <v>313011</v>
      </c>
      <c r="CA67">
        <v>0</v>
      </c>
    </row>
    <row r="68" spans="1:79" x14ac:dyDescent="0.3">
      <c r="A68">
        <v>352</v>
      </c>
      <c r="B68" t="s">
        <v>225</v>
      </c>
      <c r="D68">
        <v>0</v>
      </c>
      <c r="E68">
        <v>0</v>
      </c>
      <c r="G68">
        <v>75209</v>
      </c>
      <c r="H68">
        <v>0</v>
      </c>
      <c r="I68">
        <v>0</v>
      </c>
      <c r="J68">
        <v>0</v>
      </c>
      <c r="K68">
        <v>100000</v>
      </c>
      <c r="L68">
        <v>0</v>
      </c>
      <c r="N68">
        <v>0</v>
      </c>
      <c r="P68">
        <v>0</v>
      </c>
      <c r="Q68">
        <v>0</v>
      </c>
      <c r="R68">
        <v>63000</v>
      </c>
      <c r="S68">
        <v>0</v>
      </c>
      <c r="T68">
        <v>0</v>
      </c>
      <c r="U68">
        <v>2471936</v>
      </c>
      <c r="V68">
        <v>0</v>
      </c>
      <c r="W68">
        <v>0</v>
      </c>
      <c r="X68">
        <v>0</v>
      </c>
      <c r="Y68">
        <v>321931</v>
      </c>
      <c r="Z68">
        <v>0</v>
      </c>
      <c r="AB68">
        <v>0</v>
      </c>
      <c r="AC68">
        <v>24594</v>
      </c>
      <c r="AD68">
        <v>0</v>
      </c>
      <c r="AE68">
        <v>0</v>
      </c>
      <c r="AF68">
        <v>0</v>
      </c>
      <c r="AG68">
        <v>0</v>
      </c>
      <c r="AH68">
        <v>0</v>
      </c>
      <c r="AI68">
        <v>0</v>
      </c>
      <c r="AJ68">
        <v>0</v>
      </c>
      <c r="AK68">
        <v>18048</v>
      </c>
      <c r="AL68">
        <v>0</v>
      </c>
      <c r="AM68">
        <v>0</v>
      </c>
      <c r="AN68">
        <v>0</v>
      </c>
      <c r="AP68">
        <v>0</v>
      </c>
      <c r="AQ68">
        <v>6226854</v>
      </c>
      <c r="AR68">
        <v>500156</v>
      </c>
      <c r="AT68">
        <v>0</v>
      </c>
      <c r="AU68">
        <v>0</v>
      </c>
      <c r="AV68">
        <v>0</v>
      </c>
      <c r="AX68">
        <v>0</v>
      </c>
      <c r="AY68">
        <v>0</v>
      </c>
      <c r="BA68">
        <v>9448</v>
      </c>
      <c r="BB68">
        <v>0</v>
      </c>
      <c r="BD68">
        <v>0</v>
      </c>
      <c r="BE68">
        <v>324500</v>
      </c>
      <c r="BH68">
        <v>337546</v>
      </c>
      <c r="BI68">
        <v>0</v>
      </c>
      <c r="BJ68">
        <v>0</v>
      </c>
      <c r="BK68">
        <v>0</v>
      </c>
      <c r="BL68">
        <v>0</v>
      </c>
      <c r="BM68">
        <v>0</v>
      </c>
      <c r="BN68">
        <v>0</v>
      </c>
      <c r="BO68">
        <v>0</v>
      </c>
      <c r="BP68">
        <v>144689</v>
      </c>
      <c r="BQ68">
        <v>0</v>
      </c>
      <c r="BR68">
        <v>0</v>
      </c>
      <c r="BS68">
        <v>0</v>
      </c>
      <c r="BT68">
        <v>0</v>
      </c>
      <c r="BU68">
        <v>142243</v>
      </c>
      <c r="BW68">
        <v>0</v>
      </c>
      <c r="BX68">
        <v>0</v>
      </c>
      <c r="BY68">
        <v>0</v>
      </c>
      <c r="BZ68">
        <v>5738728</v>
      </c>
      <c r="CA68">
        <v>0</v>
      </c>
    </row>
    <row r="69" spans="1:79" x14ac:dyDescent="0.3">
      <c r="A69">
        <v>353</v>
      </c>
      <c r="B69" t="s">
        <v>226</v>
      </c>
      <c r="D69">
        <v>0</v>
      </c>
      <c r="E69">
        <v>0</v>
      </c>
      <c r="G69">
        <v>70280</v>
      </c>
      <c r="H69">
        <v>0</v>
      </c>
      <c r="I69">
        <v>0</v>
      </c>
      <c r="J69">
        <v>0</v>
      </c>
      <c r="K69">
        <v>0</v>
      </c>
      <c r="L69">
        <v>495700</v>
      </c>
      <c r="N69">
        <v>0</v>
      </c>
      <c r="P69">
        <v>0</v>
      </c>
      <c r="Q69">
        <v>0</v>
      </c>
      <c r="R69">
        <v>0</v>
      </c>
      <c r="S69">
        <v>0</v>
      </c>
      <c r="T69">
        <v>0</v>
      </c>
      <c r="U69">
        <v>451430</v>
      </c>
      <c r="V69">
        <v>0</v>
      </c>
      <c r="W69">
        <v>0</v>
      </c>
      <c r="X69">
        <v>0</v>
      </c>
      <c r="Y69">
        <v>0</v>
      </c>
      <c r="Z69">
        <v>20000</v>
      </c>
      <c r="AB69">
        <v>0</v>
      </c>
      <c r="AC69">
        <v>0</v>
      </c>
      <c r="AD69">
        <v>0</v>
      </c>
      <c r="AE69">
        <v>0</v>
      </c>
      <c r="AF69">
        <v>0</v>
      </c>
      <c r="AG69">
        <v>0</v>
      </c>
      <c r="AH69">
        <v>0</v>
      </c>
      <c r="AI69">
        <v>0</v>
      </c>
      <c r="AJ69">
        <v>0</v>
      </c>
      <c r="AK69">
        <v>0</v>
      </c>
      <c r="AL69">
        <v>0</v>
      </c>
      <c r="AM69">
        <v>0</v>
      </c>
      <c r="AN69">
        <v>0</v>
      </c>
      <c r="AP69">
        <v>0</v>
      </c>
      <c r="AQ69">
        <v>0</v>
      </c>
      <c r="AR69">
        <v>0</v>
      </c>
      <c r="AT69">
        <v>0</v>
      </c>
      <c r="AU69">
        <v>389222</v>
      </c>
      <c r="AV69">
        <v>0</v>
      </c>
      <c r="AX69">
        <v>0</v>
      </c>
      <c r="AY69">
        <v>60000</v>
      </c>
      <c r="BA69">
        <v>0</v>
      </c>
      <c r="BB69">
        <v>0</v>
      </c>
      <c r="BD69">
        <v>0</v>
      </c>
      <c r="BE69">
        <v>184547</v>
      </c>
      <c r="BH69">
        <v>0</v>
      </c>
      <c r="BI69">
        <v>0</v>
      </c>
      <c r="BJ69">
        <v>0</v>
      </c>
      <c r="BK69">
        <v>0</v>
      </c>
      <c r="BL69">
        <v>0</v>
      </c>
      <c r="BM69">
        <v>0</v>
      </c>
      <c r="BN69">
        <v>0</v>
      </c>
      <c r="BO69">
        <v>0</v>
      </c>
      <c r="BP69">
        <v>0</v>
      </c>
      <c r="BQ69">
        <v>0</v>
      </c>
      <c r="BR69">
        <v>0</v>
      </c>
      <c r="BS69">
        <v>0</v>
      </c>
      <c r="BT69">
        <v>0</v>
      </c>
      <c r="BU69">
        <v>0</v>
      </c>
      <c r="BW69">
        <v>0</v>
      </c>
      <c r="BX69">
        <v>0</v>
      </c>
      <c r="BY69">
        <v>0</v>
      </c>
      <c r="BZ69">
        <v>5725046</v>
      </c>
      <c r="CA69">
        <v>0</v>
      </c>
    </row>
    <row r="70" spans="1:79" x14ac:dyDescent="0.3">
      <c r="A70">
        <v>356</v>
      </c>
      <c r="B70" t="s">
        <v>305</v>
      </c>
      <c r="D70">
        <v>0</v>
      </c>
      <c r="E70">
        <v>0</v>
      </c>
      <c r="G70">
        <v>0</v>
      </c>
      <c r="H70">
        <v>0</v>
      </c>
      <c r="I70">
        <v>0</v>
      </c>
      <c r="J70">
        <v>0</v>
      </c>
      <c r="K70">
        <v>0</v>
      </c>
      <c r="L70">
        <v>0</v>
      </c>
      <c r="N70">
        <v>0</v>
      </c>
      <c r="P70">
        <v>0</v>
      </c>
      <c r="Q70">
        <v>0</v>
      </c>
      <c r="R70">
        <v>0</v>
      </c>
      <c r="S70">
        <v>15290056</v>
      </c>
      <c r="T70">
        <v>0</v>
      </c>
      <c r="U70">
        <v>47588970</v>
      </c>
      <c r="V70">
        <v>0</v>
      </c>
      <c r="W70">
        <v>0</v>
      </c>
      <c r="X70">
        <v>0</v>
      </c>
      <c r="Y70">
        <v>0</v>
      </c>
      <c r="Z70">
        <v>6395551</v>
      </c>
      <c r="AB70">
        <v>0</v>
      </c>
      <c r="AC70">
        <v>0</v>
      </c>
      <c r="AD70">
        <v>0</v>
      </c>
      <c r="AE70">
        <v>6528638</v>
      </c>
      <c r="AF70">
        <v>0</v>
      </c>
      <c r="AG70">
        <v>0</v>
      </c>
      <c r="AH70">
        <v>0</v>
      </c>
      <c r="AI70">
        <v>0</v>
      </c>
      <c r="AJ70">
        <v>22380593</v>
      </c>
      <c r="AK70">
        <v>0</v>
      </c>
      <c r="AL70">
        <v>0</v>
      </c>
      <c r="AM70">
        <v>0</v>
      </c>
      <c r="AN70">
        <v>0</v>
      </c>
      <c r="AP70">
        <v>0</v>
      </c>
      <c r="AQ70">
        <v>73064379</v>
      </c>
      <c r="AR70">
        <v>0</v>
      </c>
      <c r="AT70">
        <v>0</v>
      </c>
      <c r="AU70">
        <v>6895141</v>
      </c>
      <c r="AV70">
        <v>0</v>
      </c>
      <c r="AX70">
        <v>0</v>
      </c>
      <c r="AY70">
        <v>0</v>
      </c>
      <c r="BA70">
        <v>0</v>
      </c>
      <c r="BB70">
        <v>0</v>
      </c>
      <c r="BD70">
        <v>0</v>
      </c>
      <c r="BE70">
        <v>43993941</v>
      </c>
      <c r="BH70">
        <v>0</v>
      </c>
      <c r="BI70">
        <v>0</v>
      </c>
      <c r="BJ70">
        <v>0</v>
      </c>
      <c r="BK70">
        <v>7425359</v>
      </c>
      <c r="BL70">
        <v>0</v>
      </c>
      <c r="BM70">
        <v>0</v>
      </c>
      <c r="BN70">
        <v>0</v>
      </c>
      <c r="BO70">
        <v>0</v>
      </c>
      <c r="BP70">
        <v>0</v>
      </c>
      <c r="BQ70">
        <v>0</v>
      </c>
      <c r="BR70">
        <v>0</v>
      </c>
      <c r="BS70">
        <v>0</v>
      </c>
      <c r="BT70">
        <v>0</v>
      </c>
      <c r="BU70">
        <v>0</v>
      </c>
      <c r="BW70">
        <v>0</v>
      </c>
      <c r="BX70">
        <v>0</v>
      </c>
      <c r="BY70">
        <v>0</v>
      </c>
      <c r="BZ70">
        <v>0</v>
      </c>
      <c r="CA70">
        <v>0</v>
      </c>
    </row>
    <row r="71" spans="1:79" x14ac:dyDescent="0.3">
      <c r="A71">
        <v>357</v>
      </c>
      <c r="B71" t="s">
        <v>306</v>
      </c>
      <c r="D71">
        <v>0</v>
      </c>
      <c r="E71">
        <v>0</v>
      </c>
      <c r="G71">
        <v>0</v>
      </c>
      <c r="H71">
        <v>0</v>
      </c>
      <c r="I71">
        <v>0</v>
      </c>
      <c r="J71">
        <v>0</v>
      </c>
      <c r="K71">
        <v>0</v>
      </c>
      <c r="L71">
        <v>0</v>
      </c>
      <c r="N71">
        <v>0</v>
      </c>
      <c r="P71">
        <v>0</v>
      </c>
      <c r="Q71">
        <v>0</v>
      </c>
      <c r="R71">
        <v>0</v>
      </c>
      <c r="S71">
        <v>10818722</v>
      </c>
      <c r="T71">
        <v>0</v>
      </c>
      <c r="U71">
        <v>33258646</v>
      </c>
      <c r="V71">
        <v>0</v>
      </c>
      <c r="W71">
        <v>0</v>
      </c>
      <c r="X71">
        <v>0</v>
      </c>
      <c r="Y71">
        <v>0</v>
      </c>
      <c r="Z71">
        <v>1728430</v>
      </c>
      <c r="AB71">
        <v>0</v>
      </c>
      <c r="AC71">
        <v>0</v>
      </c>
      <c r="AD71">
        <v>0</v>
      </c>
      <c r="AE71">
        <v>4300240</v>
      </c>
      <c r="AF71">
        <v>0</v>
      </c>
      <c r="AG71">
        <v>0</v>
      </c>
      <c r="AH71">
        <v>0</v>
      </c>
      <c r="AI71">
        <v>0</v>
      </c>
      <c r="AJ71">
        <v>11720366</v>
      </c>
      <c r="AK71">
        <v>0</v>
      </c>
      <c r="AL71">
        <v>0</v>
      </c>
      <c r="AM71">
        <v>0</v>
      </c>
      <c r="AN71">
        <v>0</v>
      </c>
      <c r="AP71">
        <v>0</v>
      </c>
      <c r="AQ71">
        <v>36293691</v>
      </c>
      <c r="AR71">
        <v>0</v>
      </c>
      <c r="AT71">
        <v>0</v>
      </c>
      <c r="AU71">
        <v>4967685</v>
      </c>
      <c r="AV71">
        <v>0</v>
      </c>
      <c r="AX71">
        <v>0</v>
      </c>
      <c r="AY71">
        <v>0</v>
      </c>
      <c r="BA71">
        <v>0</v>
      </c>
      <c r="BB71">
        <v>0</v>
      </c>
      <c r="BD71">
        <v>0</v>
      </c>
      <c r="BE71">
        <v>25966564</v>
      </c>
      <c r="BH71">
        <v>0</v>
      </c>
      <c r="BI71">
        <v>0</v>
      </c>
      <c r="BJ71">
        <v>0</v>
      </c>
      <c r="BK71">
        <v>4927971</v>
      </c>
      <c r="BL71">
        <v>0</v>
      </c>
      <c r="BM71">
        <v>0</v>
      </c>
      <c r="BN71">
        <v>0</v>
      </c>
      <c r="BO71">
        <v>0</v>
      </c>
      <c r="BP71">
        <v>0</v>
      </c>
      <c r="BQ71">
        <v>0</v>
      </c>
      <c r="BR71">
        <v>0</v>
      </c>
      <c r="BS71">
        <v>0</v>
      </c>
      <c r="BT71">
        <v>0</v>
      </c>
      <c r="BU71">
        <v>0</v>
      </c>
      <c r="BW71">
        <v>0</v>
      </c>
      <c r="BX71">
        <v>0</v>
      </c>
      <c r="BY71">
        <v>0</v>
      </c>
      <c r="BZ71">
        <v>0</v>
      </c>
      <c r="CA71">
        <v>0</v>
      </c>
    </row>
    <row r="72" spans="1:79" x14ac:dyDescent="0.3">
      <c r="A72">
        <v>359</v>
      </c>
      <c r="B72" t="s">
        <v>247</v>
      </c>
      <c r="D72">
        <v>0</v>
      </c>
      <c r="E72">
        <v>0</v>
      </c>
      <c r="G72">
        <v>0</v>
      </c>
      <c r="H72">
        <v>0</v>
      </c>
      <c r="I72">
        <v>0</v>
      </c>
      <c r="J72">
        <v>0</v>
      </c>
      <c r="K72">
        <v>0</v>
      </c>
      <c r="L72">
        <v>0</v>
      </c>
      <c r="N72">
        <v>0</v>
      </c>
      <c r="P72">
        <v>0</v>
      </c>
      <c r="Q72">
        <v>0</v>
      </c>
      <c r="R72">
        <v>0</v>
      </c>
      <c r="S72">
        <v>5968401</v>
      </c>
      <c r="T72">
        <v>0</v>
      </c>
      <c r="U72">
        <v>102290</v>
      </c>
      <c r="V72">
        <v>0</v>
      </c>
      <c r="W72">
        <v>0</v>
      </c>
      <c r="X72">
        <v>0</v>
      </c>
      <c r="Y72">
        <v>0</v>
      </c>
      <c r="Z72">
        <v>3468163</v>
      </c>
      <c r="AB72">
        <v>0</v>
      </c>
      <c r="AC72">
        <v>0</v>
      </c>
      <c r="AD72">
        <v>0</v>
      </c>
      <c r="AE72">
        <v>29558</v>
      </c>
      <c r="AF72">
        <v>0</v>
      </c>
      <c r="AG72">
        <v>0</v>
      </c>
      <c r="AH72">
        <v>0</v>
      </c>
      <c r="AI72">
        <v>0</v>
      </c>
      <c r="AJ72">
        <v>1076440</v>
      </c>
      <c r="AK72">
        <v>0</v>
      </c>
      <c r="AL72">
        <v>0</v>
      </c>
      <c r="AM72">
        <v>0</v>
      </c>
      <c r="AN72">
        <v>0</v>
      </c>
      <c r="AP72">
        <v>0</v>
      </c>
      <c r="AQ72">
        <v>2631603</v>
      </c>
      <c r="AR72">
        <v>0</v>
      </c>
      <c r="AT72">
        <v>0</v>
      </c>
      <c r="AU72">
        <v>20903</v>
      </c>
      <c r="AV72">
        <v>0</v>
      </c>
      <c r="AX72">
        <v>0</v>
      </c>
      <c r="AY72">
        <v>0</v>
      </c>
      <c r="BA72">
        <v>0</v>
      </c>
      <c r="BB72">
        <v>0</v>
      </c>
      <c r="BD72">
        <v>0</v>
      </c>
      <c r="BE72">
        <v>9233</v>
      </c>
      <c r="BH72">
        <v>0</v>
      </c>
      <c r="BI72">
        <v>0</v>
      </c>
      <c r="BJ72">
        <v>0</v>
      </c>
      <c r="BK72">
        <v>423964</v>
      </c>
      <c r="BL72">
        <v>0</v>
      </c>
      <c r="BM72">
        <v>0</v>
      </c>
      <c r="BN72">
        <v>0</v>
      </c>
      <c r="BO72">
        <v>0</v>
      </c>
      <c r="BP72">
        <v>0</v>
      </c>
      <c r="BQ72">
        <v>0</v>
      </c>
      <c r="BR72">
        <v>0</v>
      </c>
      <c r="BS72">
        <v>0</v>
      </c>
      <c r="BT72">
        <v>0</v>
      </c>
      <c r="BU72">
        <v>0</v>
      </c>
      <c r="BW72">
        <v>272420</v>
      </c>
      <c r="BX72">
        <v>0</v>
      </c>
      <c r="BY72">
        <v>0</v>
      </c>
      <c r="BZ72">
        <v>0</v>
      </c>
      <c r="CA72">
        <v>0</v>
      </c>
    </row>
    <row r="73" spans="1:79" x14ac:dyDescent="0.3">
      <c r="A73">
        <v>360</v>
      </c>
      <c r="B73" t="s">
        <v>117</v>
      </c>
      <c r="D73">
        <v>0</v>
      </c>
      <c r="E73">
        <v>0</v>
      </c>
      <c r="G73">
        <v>0</v>
      </c>
      <c r="H73">
        <v>0</v>
      </c>
      <c r="I73">
        <v>0</v>
      </c>
      <c r="J73">
        <v>0</v>
      </c>
      <c r="K73">
        <v>0</v>
      </c>
      <c r="L73">
        <v>0</v>
      </c>
      <c r="N73">
        <v>0</v>
      </c>
      <c r="P73">
        <v>0</v>
      </c>
      <c r="Q73">
        <v>0</v>
      </c>
      <c r="R73">
        <v>0</v>
      </c>
      <c r="S73">
        <v>9206557</v>
      </c>
      <c r="T73">
        <v>0</v>
      </c>
      <c r="U73">
        <v>2780976</v>
      </c>
      <c r="V73">
        <v>0</v>
      </c>
      <c r="W73">
        <v>0</v>
      </c>
      <c r="X73">
        <v>0</v>
      </c>
      <c r="Y73">
        <v>0</v>
      </c>
      <c r="Z73">
        <v>4961011</v>
      </c>
      <c r="AB73">
        <v>0</v>
      </c>
      <c r="AC73">
        <v>0</v>
      </c>
      <c r="AD73">
        <v>0</v>
      </c>
      <c r="AE73">
        <v>1339725</v>
      </c>
      <c r="AF73">
        <v>0</v>
      </c>
      <c r="AG73">
        <v>0</v>
      </c>
      <c r="AH73">
        <v>0</v>
      </c>
      <c r="AI73">
        <v>0</v>
      </c>
      <c r="AJ73">
        <v>4129302</v>
      </c>
      <c r="AK73">
        <v>0</v>
      </c>
      <c r="AL73">
        <v>0</v>
      </c>
      <c r="AM73">
        <v>0</v>
      </c>
      <c r="AN73">
        <v>0</v>
      </c>
      <c r="AP73">
        <v>0</v>
      </c>
      <c r="AQ73">
        <v>7929245</v>
      </c>
      <c r="AR73">
        <v>0</v>
      </c>
      <c r="AT73">
        <v>0</v>
      </c>
      <c r="AU73">
        <v>1953148</v>
      </c>
      <c r="AV73">
        <v>0</v>
      </c>
      <c r="AX73">
        <v>0</v>
      </c>
      <c r="AY73">
        <v>0</v>
      </c>
      <c r="BA73">
        <v>0</v>
      </c>
      <c r="BB73">
        <v>0</v>
      </c>
      <c r="BD73">
        <v>0</v>
      </c>
      <c r="BE73">
        <v>11068478</v>
      </c>
      <c r="BH73">
        <v>0</v>
      </c>
      <c r="BI73">
        <v>0</v>
      </c>
      <c r="BJ73">
        <v>0</v>
      </c>
      <c r="BK73">
        <v>1094654</v>
      </c>
      <c r="BL73">
        <v>0</v>
      </c>
      <c r="BM73">
        <v>0</v>
      </c>
      <c r="BN73">
        <v>0</v>
      </c>
      <c r="BO73">
        <v>0</v>
      </c>
      <c r="BP73">
        <v>0</v>
      </c>
      <c r="BQ73">
        <v>0</v>
      </c>
      <c r="BR73">
        <v>0</v>
      </c>
      <c r="BS73">
        <v>0</v>
      </c>
      <c r="BT73">
        <v>0</v>
      </c>
      <c r="BU73">
        <v>0</v>
      </c>
      <c r="BW73">
        <v>0</v>
      </c>
      <c r="BX73">
        <v>0</v>
      </c>
      <c r="BY73">
        <v>0</v>
      </c>
      <c r="BZ73">
        <v>0</v>
      </c>
      <c r="CA73">
        <v>0</v>
      </c>
    </row>
    <row r="74" spans="1:79" x14ac:dyDescent="0.3">
      <c r="A74">
        <v>361</v>
      </c>
      <c r="B74" t="s">
        <v>98</v>
      </c>
      <c r="D74">
        <v>0</v>
      </c>
      <c r="E74">
        <v>0</v>
      </c>
      <c r="G74">
        <v>0</v>
      </c>
      <c r="H74">
        <v>0</v>
      </c>
      <c r="I74">
        <v>0</v>
      </c>
      <c r="J74">
        <v>0</v>
      </c>
      <c r="K74">
        <v>0</v>
      </c>
      <c r="L74">
        <v>0</v>
      </c>
      <c r="N74">
        <v>0</v>
      </c>
      <c r="P74">
        <v>0</v>
      </c>
      <c r="Q74">
        <v>0</v>
      </c>
      <c r="R74">
        <v>0</v>
      </c>
      <c r="S74">
        <v>4153280</v>
      </c>
      <c r="T74">
        <v>0</v>
      </c>
      <c r="U74">
        <v>47749140</v>
      </c>
      <c r="V74">
        <v>0</v>
      </c>
      <c r="W74">
        <v>0</v>
      </c>
      <c r="X74">
        <v>0</v>
      </c>
      <c r="Y74">
        <v>0</v>
      </c>
      <c r="Z74">
        <v>886685</v>
      </c>
      <c r="AB74">
        <v>0</v>
      </c>
      <c r="AC74">
        <v>0</v>
      </c>
      <c r="AD74">
        <v>0</v>
      </c>
      <c r="AE74">
        <v>2445983</v>
      </c>
      <c r="AF74">
        <v>0</v>
      </c>
      <c r="AG74">
        <v>0</v>
      </c>
      <c r="AH74">
        <v>0</v>
      </c>
      <c r="AI74">
        <v>0</v>
      </c>
      <c r="AJ74">
        <v>2667272</v>
      </c>
      <c r="AK74">
        <v>0</v>
      </c>
      <c r="AL74">
        <v>0</v>
      </c>
      <c r="AM74">
        <v>0</v>
      </c>
      <c r="AN74">
        <v>0</v>
      </c>
      <c r="AP74">
        <v>0</v>
      </c>
      <c r="AQ74">
        <v>36235373</v>
      </c>
      <c r="AR74">
        <v>0</v>
      </c>
      <c r="AT74">
        <v>0</v>
      </c>
      <c r="AU74">
        <v>6872721</v>
      </c>
      <c r="AV74">
        <v>0</v>
      </c>
      <c r="AX74">
        <v>0</v>
      </c>
      <c r="AY74">
        <v>0</v>
      </c>
      <c r="BA74">
        <v>0</v>
      </c>
      <c r="BB74">
        <v>0</v>
      </c>
      <c r="BD74">
        <v>0</v>
      </c>
      <c r="BE74">
        <v>9938312</v>
      </c>
      <c r="BH74">
        <v>0</v>
      </c>
      <c r="BI74">
        <v>0</v>
      </c>
      <c r="BJ74">
        <v>0</v>
      </c>
      <c r="BK74">
        <v>3642551</v>
      </c>
      <c r="BL74">
        <v>0</v>
      </c>
      <c r="BM74">
        <v>0</v>
      </c>
      <c r="BN74">
        <v>0</v>
      </c>
      <c r="BO74">
        <v>0</v>
      </c>
      <c r="BP74">
        <v>0</v>
      </c>
      <c r="BQ74">
        <v>0</v>
      </c>
      <c r="BR74">
        <v>0</v>
      </c>
      <c r="BS74">
        <v>0</v>
      </c>
      <c r="BT74">
        <v>0</v>
      </c>
      <c r="BU74">
        <v>0</v>
      </c>
      <c r="BW74">
        <v>0</v>
      </c>
      <c r="BX74">
        <v>0</v>
      </c>
      <c r="BY74">
        <v>0</v>
      </c>
      <c r="BZ74">
        <v>0</v>
      </c>
      <c r="CA74">
        <v>0</v>
      </c>
    </row>
    <row r="75" spans="1:79" x14ac:dyDescent="0.3">
      <c r="A75">
        <v>362</v>
      </c>
      <c r="B75" t="s">
        <v>99</v>
      </c>
      <c r="D75">
        <v>0</v>
      </c>
      <c r="E75">
        <v>0</v>
      </c>
      <c r="G75">
        <v>0</v>
      </c>
      <c r="H75">
        <v>0</v>
      </c>
      <c r="I75">
        <v>0</v>
      </c>
      <c r="J75">
        <v>0</v>
      </c>
      <c r="K75">
        <v>0</v>
      </c>
      <c r="L75">
        <v>0</v>
      </c>
      <c r="N75">
        <v>0</v>
      </c>
      <c r="P75">
        <v>0</v>
      </c>
      <c r="Q75">
        <v>0</v>
      </c>
      <c r="R75">
        <v>0</v>
      </c>
      <c r="S75">
        <v>9068908</v>
      </c>
      <c r="T75">
        <v>0</v>
      </c>
      <c r="U75">
        <v>78527827</v>
      </c>
      <c r="V75">
        <v>0</v>
      </c>
      <c r="W75">
        <v>0</v>
      </c>
      <c r="X75">
        <v>0</v>
      </c>
      <c r="Y75">
        <v>0</v>
      </c>
      <c r="Z75">
        <v>2099631</v>
      </c>
      <c r="AB75">
        <v>0</v>
      </c>
      <c r="AC75">
        <v>0</v>
      </c>
      <c r="AD75">
        <v>0</v>
      </c>
      <c r="AE75">
        <v>4939571</v>
      </c>
      <c r="AF75">
        <v>0</v>
      </c>
      <c r="AG75">
        <v>0</v>
      </c>
      <c r="AH75">
        <v>0</v>
      </c>
      <c r="AI75">
        <v>0</v>
      </c>
      <c r="AJ75">
        <v>12338427</v>
      </c>
      <c r="AK75">
        <v>0</v>
      </c>
      <c r="AL75">
        <v>0</v>
      </c>
      <c r="AM75">
        <v>0</v>
      </c>
      <c r="AN75">
        <v>0</v>
      </c>
      <c r="AP75">
        <v>0</v>
      </c>
      <c r="AQ75">
        <v>74199830</v>
      </c>
      <c r="AR75">
        <v>0</v>
      </c>
      <c r="AT75">
        <v>0</v>
      </c>
      <c r="AU75">
        <v>9429493</v>
      </c>
      <c r="AV75">
        <v>0</v>
      </c>
      <c r="AX75">
        <v>0</v>
      </c>
      <c r="AY75">
        <v>0</v>
      </c>
      <c r="BA75">
        <v>0</v>
      </c>
      <c r="BB75">
        <v>0</v>
      </c>
      <c r="BD75">
        <v>0</v>
      </c>
      <c r="BE75">
        <v>29984082</v>
      </c>
      <c r="BH75">
        <v>0</v>
      </c>
      <c r="BI75">
        <v>0</v>
      </c>
      <c r="BJ75">
        <v>0</v>
      </c>
      <c r="BK75">
        <v>5735776</v>
      </c>
      <c r="BL75">
        <v>0</v>
      </c>
      <c r="BM75">
        <v>0</v>
      </c>
      <c r="BN75">
        <v>0</v>
      </c>
      <c r="BO75">
        <v>0</v>
      </c>
      <c r="BP75">
        <v>0</v>
      </c>
      <c r="BQ75">
        <v>0</v>
      </c>
      <c r="BR75">
        <v>0</v>
      </c>
      <c r="BS75">
        <v>0</v>
      </c>
      <c r="BT75">
        <v>0</v>
      </c>
      <c r="BU75">
        <v>0</v>
      </c>
      <c r="BW75">
        <v>0</v>
      </c>
      <c r="BX75">
        <v>0</v>
      </c>
      <c r="BY75">
        <v>0</v>
      </c>
      <c r="BZ75">
        <v>0</v>
      </c>
      <c r="CA75">
        <v>0</v>
      </c>
    </row>
    <row r="76" spans="1:79" x14ac:dyDescent="0.3">
      <c r="A76">
        <v>363</v>
      </c>
      <c r="B76" t="s">
        <v>233</v>
      </c>
      <c r="D76">
        <v>0</v>
      </c>
      <c r="E76">
        <v>0</v>
      </c>
      <c r="G76">
        <v>0</v>
      </c>
      <c r="H76">
        <v>0</v>
      </c>
      <c r="I76">
        <v>0</v>
      </c>
      <c r="J76">
        <v>0</v>
      </c>
      <c r="K76">
        <v>0</v>
      </c>
      <c r="L76">
        <v>0</v>
      </c>
      <c r="N76">
        <v>0</v>
      </c>
      <c r="P76">
        <v>0</v>
      </c>
      <c r="Q76">
        <v>0</v>
      </c>
      <c r="R76">
        <v>0</v>
      </c>
      <c r="S76">
        <v>18576</v>
      </c>
      <c r="T76">
        <v>0</v>
      </c>
      <c r="U76">
        <v>111751</v>
      </c>
      <c r="V76">
        <v>0</v>
      </c>
      <c r="W76">
        <v>0</v>
      </c>
      <c r="X76">
        <v>0</v>
      </c>
      <c r="Y76">
        <v>0</v>
      </c>
      <c r="Z76">
        <v>50223</v>
      </c>
      <c r="AB76">
        <v>0</v>
      </c>
      <c r="AC76">
        <v>0</v>
      </c>
      <c r="AD76">
        <v>0</v>
      </c>
      <c r="AE76">
        <v>65995</v>
      </c>
      <c r="AF76">
        <v>0</v>
      </c>
      <c r="AG76">
        <v>0</v>
      </c>
      <c r="AH76">
        <v>0</v>
      </c>
      <c r="AI76">
        <v>0</v>
      </c>
      <c r="AJ76">
        <v>424678</v>
      </c>
      <c r="AK76">
        <v>0</v>
      </c>
      <c r="AL76">
        <v>0</v>
      </c>
      <c r="AM76">
        <v>0</v>
      </c>
      <c r="AN76">
        <v>0</v>
      </c>
      <c r="AP76">
        <v>0</v>
      </c>
      <c r="AQ76">
        <v>1210588</v>
      </c>
      <c r="AR76">
        <v>0</v>
      </c>
      <c r="AT76">
        <v>0</v>
      </c>
      <c r="AU76">
        <v>156780</v>
      </c>
      <c r="AV76">
        <v>0</v>
      </c>
      <c r="AX76">
        <v>0</v>
      </c>
      <c r="AY76">
        <v>0</v>
      </c>
      <c r="BA76">
        <v>0</v>
      </c>
      <c r="BB76">
        <v>0</v>
      </c>
      <c r="BD76">
        <v>0</v>
      </c>
      <c r="BE76">
        <v>202228</v>
      </c>
      <c r="BH76">
        <v>0</v>
      </c>
      <c r="BI76">
        <v>0</v>
      </c>
      <c r="BJ76">
        <v>0</v>
      </c>
      <c r="BK76">
        <v>157172</v>
      </c>
      <c r="BL76">
        <v>0</v>
      </c>
      <c r="BM76">
        <v>0</v>
      </c>
      <c r="BN76">
        <v>0</v>
      </c>
      <c r="BO76">
        <v>0</v>
      </c>
      <c r="BP76">
        <v>0</v>
      </c>
      <c r="BQ76">
        <v>0</v>
      </c>
      <c r="BR76">
        <v>0</v>
      </c>
      <c r="BS76">
        <v>0</v>
      </c>
      <c r="BT76">
        <v>0</v>
      </c>
      <c r="BU76">
        <v>0</v>
      </c>
      <c r="BW76">
        <v>0</v>
      </c>
      <c r="BX76">
        <v>0</v>
      </c>
      <c r="BY76">
        <v>0</v>
      </c>
      <c r="BZ76">
        <v>0</v>
      </c>
      <c r="CA76">
        <v>0</v>
      </c>
    </row>
    <row r="77" spans="1:79" x14ac:dyDescent="0.3">
      <c r="A77">
        <v>364</v>
      </c>
      <c r="B77" t="s">
        <v>234</v>
      </c>
      <c r="D77">
        <v>0</v>
      </c>
      <c r="E77">
        <v>0</v>
      </c>
      <c r="G77">
        <v>0</v>
      </c>
      <c r="H77">
        <v>0</v>
      </c>
      <c r="I77">
        <v>0</v>
      </c>
      <c r="J77">
        <v>0</v>
      </c>
      <c r="K77">
        <v>0</v>
      </c>
      <c r="L77">
        <v>0</v>
      </c>
      <c r="N77">
        <v>0</v>
      </c>
      <c r="P77">
        <v>0</v>
      </c>
      <c r="Q77">
        <v>0</v>
      </c>
      <c r="R77">
        <v>0</v>
      </c>
      <c r="S77">
        <v>171065</v>
      </c>
      <c r="T77">
        <v>0</v>
      </c>
      <c r="U77">
        <v>0</v>
      </c>
      <c r="V77">
        <v>0</v>
      </c>
      <c r="W77">
        <v>0</v>
      </c>
      <c r="X77">
        <v>0</v>
      </c>
      <c r="Y77">
        <v>0</v>
      </c>
      <c r="Z77">
        <v>120635</v>
      </c>
      <c r="AB77">
        <v>0</v>
      </c>
      <c r="AC77">
        <v>0</v>
      </c>
      <c r="AD77">
        <v>0</v>
      </c>
      <c r="AE77">
        <v>2301</v>
      </c>
      <c r="AF77">
        <v>0</v>
      </c>
      <c r="AG77">
        <v>0</v>
      </c>
      <c r="AH77">
        <v>0</v>
      </c>
      <c r="AI77">
        <v>0</v>
      </c>
      <c r="AJ77">
        <v>28488</v>
      </c>
      <c r="AK77">
        <v>0</v>
      </c>
      <c r="AL77">
        <v>0</v>
      </c>
      <c r="AM77">
        <v>0</v>
      </c>
      <c r="AN77">
        <v>0</v>
      </c>
      <c r="AP77">
        <v>0</v>
      </c>
      <c r="AQ77">
        <v>72180</v>
      </c>
      <c r="AR77">
        <v>0</v>
      </c>
      <c r="AT77">
        <v>0</v>
      </c>
      <c r="AU77">
        <v>19838</v>
      </c>
      <c r="AV77">
        <v>0</v>
      </c>
      <c r="AX77">
        <v>0</v>
      </c>
      <c r="AY77">
        <v>0</v>
      </c>
      <c r="BA77">
        <v>0</v>
      </c>
      <c r="BB77">
        <v>0</v>
      </c>
      <c r="BD77">
        <v>0</v>
      </c>
      <c r="BE77">
        <v>1697</v>
      </c>
      <c r="BH77">
        <v>0</v>
      </c>
      <c r="BI77">
        <v>0</v>
      </c>
      <c r="BJ77">
        <v>0</v>
      </c>
      <c r="BK77">
        <v>2675</v>
      </c>
      <c r="BL77">
        <v>0</v>
      </c>
      <c r="BM77">
        <v>0</v>
      </c>
      <c r="BN77">
        <v>0</v>
      </c>
      <c r="BO77">
        <v>0</v>
      </c>
      <c r="BP77">
        <v>0</v>
      </c>
      <c r="BQ77">
        <v>0</v>
      </c>
      <c r="BR77">
        <v>0</v>
      </c>
      <c r="BS77">
        <v>0</v>
      </c>
      <c r="BT77">
        <v>0</v>
      </c>
      <c r="BU77">
        <v>0</v>
      </c>
      <c r="BW77">
        <v>0</v>
      </c>
      <c r="BX77">
        <v>0</v>
      </c>
      <c r="BY77">
        <v>0</v>
      </c>
      <c r="BZ77">
        <v>0</v>
      </c>
      <c r="CA77">
        <v>0</v>
      </c>
    </row>
    <row r="78" spans="1:79" x14ac:dyDescent="0.3">
      <c r="A78">
        <v>365</v>
      </c>
      <c r="B78" t="s">
        <v>236</v>
      </c>
      <c r="D78">
        <v>0</v>
      </c>
      <c r="E78">
        <v>0</v>
      </c>
      <c r="G78">
        <v>0</v>
      </c>
      <c r="H78">
        <v>0</v>
      </c>
      <c r="I78">
        <v>0</v>
      </c>
      <c r="J78">
        <v>0</v>
      </c>
      <c r="K78">
        <v>0</v>
      </c>
      <c r="L78">
        <v>0</v>
      </c>
      <c r="N78">
        <v>0</v>
      </c>
      <c r="P78">
        <v>0</v>
      </c>
      <c r="Q78">
        <v>0</v>
      </c>
      <c r="R78">
        <v>0</v>
      </c>
      <c r="S78">
        <v>0</v>
      </c>
      <c r="T78">
        <v>0</v>
      </c>
      <c r="U78">
        <v>5182141</v>
      </c>
      <c r="V78">
        <v>0</v>
      </c>
      <c r="W78">
        <v>0</v>
      </c>
      <c r="X78">
        <v>0</v>
      </c>
      <c r="Y78">
        <v>0</v>
      </c>
      <c r="Z78">
        <v>0</v>
      </c>
      <c r="AB78">
        <v>0</v>
      </c>
      <c r="AC78">
        <v>0</v>
      </c>
      <c r="AD78">
        <v>0</v>
      </c>
      <c r="AE78">
        <v>0</v>
      </c>
      <c r="AF78">
        <v>0</v>
      </c>
      <c r="AG78">
        <v>0</v>
      </c>
      <c r="AH78">
        <v>0</v>
      </c>
      <c r="AI78">
        <v>0</v>
      </c>
      <c r="AJ78">
        <v>0</v>
      </c>
      <c r="AK78">
        <v>0</v>
      </c>
      <c r="AL78">
        <v>0</v>
      </c>
      <c r="AM78">
        <v>0</v>
      </c>
      <c r="AN78">
        <v>0</v>
      </c>
      <c r="AP78">
        <v>0</v>
      </c>
      <c r="AQ78">
        <v>0</v>
      </c>
      <c r="AR78">
        <v>0</v>
      </c>
      <c r="AT78">
        <v>0</v>
      </c>
      <c r="AU78">
        <v>0</v>
      </c>
      <c r="AV78">
        <v>0</v>
      </c>
      <c r="AX78">
        <v>0</v>
      </c>
      <c r="AY78">
        <v>0</v>
      </c>
      <c r="BA78">
        <v>0</v>
      </c>
      <c r="BB78">
        <v>0</v>
      </c>
      <c r="BD78">
        <v>0</v>
      </c>
      <c r="BE78">
        <v>445500</v>
      </c>
      <c r="BH78">
        <v>0</v>
      </c>
      <c r="BI78">
        <v>0</v>
      </c>
      <c r="BJ78">
        <v>0</v>
      </c>
      <c r="BK78">
        <v>0</v>
      </c>
      <c r="BL78">
        <v>0</v>
      </c>
      <c r="BM78">
        <v>0</v>
      </c>
      <c r="BN78">
        <v>0</v>
      </c>
      <c r="BO78">
        <v>0</v>
      </c>
      <c r="BP78">
        <v>0</v>
      </c>
      <c r="BQ78">
        <v>0</v>
      </c>
      <c r="BR78">
        <v>0</v>
      </c>
      <c r="BS78">
        <v>0</v>
      </c>
      <c r="BT78">
        <v>0</v>
      </c>
      <c r="BU78">
        <v>0</v>
      </c>
      <c r="BW78">
        <v>0</v>
      </c>
      <c r="BX78">
        <v>0</v>
      </c>
      <c r="BY78">
        <v>0</v>
      </c>
      <c r="BZ78">
        <v>0</v>
      </c>
      <c r="CA78">
        <v>0</v>
      </c>
    </row>
    <row r="79" spans="1:79" x14ac:dyDescent="0.3">
      <c r="A79">
        <v>366</v>
      </c>
      <c r="B79" t="s">
        <v>885</v>
      </c>
      <c r="D79">
        <v>0</v>
      </c>
      <c r="E79">
        <v>0</v>
      </c>
      <c r="G79">
        <v>0</v>
      </c>
      <c r="H79">
        <v>0</v>
      </c>
      <c r="I79">
        <v>0</v>
      </c>
      <c r="J79">
        <v>0</v>
      </c>
      <c r="K79">
        <v>0</v>
      </c>
      <c r="L79">
        <v>0</v>
      </c>
      <c r="N79">
        <v>0</v>
      </c>
      <c r="P79">
        <v>0</v>
      </c>
      <c r="Q79">
        <v>0</v>
      </c>
      <c r="R79">
        <v>0</v>
      </c>
      <c r="S79">
        <v>1500000</v>
      </c>
      <c r="T79">
        <v>0</v>
      </c>
      <c r="U79">
        <v>7472141</v>
      </c>
      <c r="V79">
        <v>0</v>
      </c>
      <c r="W79">
        <v>0</v>
      </c>
      <c r="X79">
        <v>0</v>
      </c>
      <c r="Y79">
        <v>0</v>
      </c>
      <c r="Z79">
        <v>0</v>
      </c>
      <c r="AB79">
        <v>0</v>
      </c>
      <c r="AC79">
        <v>0</v>
      </c>
      <c r="AD79">
        <v>0</v>
      </c>
      <c r="AE79">
        <v>0</v>
      </c>
      <c r="AF79">
        <v>0</v>
      </c>
      <c r="AG79">
        <v>0</v>
      </c>
      <c r="AH79">
        <v>0</v>
      </c>
      <c r="AI79">
        <v>0</v>
      </c>
      <c r="AJ79">
        <v>1347223</v>
      </c>
      <c r="AK79">
        <v>0</v>
      </c>
      <c r="AL79">
        <v>0</v>
      </c>
      <c r="AM79">
        <v>0</v>
      </c>
      <c r="AN79">
        <v>0</v>
      </c>
      <c r="AP79">
        <v>0</v>
      </c>
      <c r="AQ79">
        <v>1200000</v>
      </c>
      <c r="AR79">
        <v>0</v>
      </c>
      <c r="AT79">
        <v>0</v>
      </c>
      <c r="AU79">
        <v>30465</v>
      </c>
      <c r="AV79">
        <v>0</v>
      </c>
      <c r="AX79">
        <v>0</v>
      </c>
      <c r="AY79">
        <v>0</v>
      </c>
      <c r="BA79">
        <v>0</v>
      </c>
      <c r="BB79">
        <v>0</v>
      </c>
      <c r="BD79">
        <v>0</v>
      </c>
      <c r="BE79">
        <v>570000</v>
      </c>
      <c r="BH79">
        <v>0</v>
      </c>
      <c r="BI79">
        <v>0</v>
      </c>
      <c r="BJ79">
        <v>0</v>
      </c>
      <c r="BK79">
        <v>0</v>
      </c>
      <c r="BL79">
        <v>0</v>
      </c>
      <c r="BM79">
        <v>0</v>
      </c>
      <c r="BN79">
        <v>0</v>
      </c>
      <c r="BO79">
        <v>0</v>
      </c>
      <c r="BP79">
        <v>0</v>
      </c>
      <c r="BQ79">
        <v>0</v>
      </c>
      <c r="BR79">
        <v>0</v>
      </c>
      <c r="BS79">
        <v>0</v>
      </c>
      <c r="BT79">
        <v>0</v>
      </c>
      <c r="BU79">
        <v>0</v>
      </c>
      <c r="BW79">
        <v>0</v>
      </c>
      <c r="BX79">
        <v>0</v>
      </c>
      <c r="BY79">
        <v>0</v>
      </c>
      <c r="BZ79">
        <v>0</v>
      </c>
      <c r="CA79">
        <v>0</v>
      </c>
    </row>
    <row r="80" spans="1:79" x14ac:dyDescent="0.3">
      <c r="A80">
        <v>368</v>
      </c>
      <c r="B80" t="s">
        <v>191</v>
      </c>
      <c r="D80">
        <v>0</v>
      </c>
      <c r="E80">
        <v>1176487</v>
      </c>
      <c r="G80">
        <v>61605</v>
      </c>
      <c r="H80">
        <v>0</v>
      </c>
      <c r="I80">
        <v>0</v>
      </c>
      <c r="J80">
        <v>0</v>
      </c>
      <c r="K80">
        <v>0</v>
      </c>
      <c r="L80">
        <v>0</v>
      </c>
      <c r="N80">
        <v>0</v>
      </c>
      <c r="P80">
        <v>344055</v>
      </c>
      <c r="Q80">
        <v>0</v>
      </c>
      <c r="R80">
        <v>0</v>
      </c>
      <c r="S80">
        <v>0</v>
      </c>
      <c r="T80">
        <v>458</v>
      </c>
      <c r="U80">
        <v>0</v>
      </c>
      <c r="V80">
        <v>0</v>
      </c>
      <c r="W80">
        <v>0</v>
      </c>
      <c r="X80">
        <v>0</v>
      </c>
      <c r="Y80">
        <v>0</v>
      </c>
      <c r="Z80">
        <v>0</v>
      </c>
      <c r="AB80">
        <v>0</v>
      </c>
      <c r="AC80">
        <v>0</v>
      </c>
      <c r="AD80">
        <v>0</v>
      </c>
      <c r="AE80">
        <v>0</v>
      </c>
      <c r="AF80">
        <v>0</v>
      </c>
      <c r="AG80">
        <v>0</v>
      </c>
      <c r="AH80">
        <v>0</v>
      </c>
      <c r="AI80">
        <v>0</v>
      </c>
      <c r="AJ80">
        <v>0</v>
      </c>
      <c r="AK80">
        <v>0</v>
      </c>
      <c r="AL80">
        <v>0</v>
      </c>
      <c r="AM80">
        <v>0</v>
      </c>
      <c r="AN80">
        <v>0</v>
      </c>
      <c r="AP80">
        <v>209596</v>
      </c>
      <c r="AQ80">
        <v>64760</v>
      </c>
      <c r="AR80">
        <v>0</v>
      </c>
      <c r="AT80">
        <v>0</v>
      </c>
      <c r="AU80">
        <v>0</v>
      </c>
      <c r="AV80">
        <v>0</v>
      </c>
      <c r="AX80">
        <v>3379496</v>
      </c>
      <c r="AY80">
        <v>0</v>
      </c>
      <c r="BA80">
        <v>0</v>
      </c>
      <c r="BB80">
        <v>0</v>
      </c>
      <c r="BD80">
        <v>0</v>
      </c>
      <c r="BE80">
        <v>0</v>
      </c>
      <c r="BH80">
        <v>0</v>
      </c>
      <c r="BI80">
        <v>13700</v>
      </c>
      <c r="BJ80">
        <v>0</v>
      </c>
      <c r="BK80">
        <v>2480</v>
      </c>
      <c r="BL80">
        <v>0</v>
      </c>
      <c r="BM80">
        <v>0</v>
      </c>
      <c r="BN80">
        <v>22631</v>
      </c>
      <c r="BO80">
        <v>0</v>
      </c>
      <c r="BP80">
        <v>0</v>
      </c>
      <c r="BQ80">
        <v>0</v>
      </c>
      <c r="BR80">
        <v>36503</v>
      </c>
      <c r="BS80">
        <v>0</v>
      </c>
      <c r="BT80">
        <v>0</v>
      </c>
      <c r="BU80">
        <v>0</v>
      </c>
      <c r="BW80">
        <v>0</v>
      </c>
      <c r="BX80">
        <v>0</v>
      </c>
      <c r="BY80">
        <v>0</v>
      </c>
      <c r="BZ80">
        <v>1302375</v>
      </c>
      <c r="CA80">
        <v>0</v>
      </c>
    </row>
    <row r="81" spans="1:79" x14ac:dyDescent="0.3">
      <c r="A81">
        <v>369</v>
      </c>
      <c r="B81" t="s">
        <v>196</v>
      </c>
      <c r="D81">
        <v>912010</v>
      </c>
      <c r="E81">
        <v>7828864</v>
      </c>
      <c r="G81">
        <v>6358271</v>
      </c>
      <c r="H81">
        <v>1499509</v>
      </c>
      <c r="I81">
        <v>192119</v>
      </c>
      <c r="J81">
        <v>1017236</v>
      </c>
      <c r="K81">
        <v>164774</v>
      </c>
      <c r="L81">
        <v>6644105</v>
      </c>
      <c r="N81">
        <v>455787</v>
      </c>
      <c r="P81">
        <v>15008474</v>
      </c>
      <c r="Q81">
        <v>2828699</v>
      </c>
      <c r="R81">
        <v>4467558</v>
      </c>
      <c r="S81">
        <v>1069680</v>
      </c>
      <c r="T81">
        <v>97184</v>
      </c>
      <c r="U81">
        <v>1541018</v>
      </c>
      <c r="V81">
        <v>19284</v>
      </c>
      <c r="W81">
        <v>1239522</v>
      </c>
      <c r="X81">
        <v>10558077</v>
      </c>
      <c r="Y81">
        <v>2285297</v>
      </c>
      <c r="Z81">
        <v>255838</v>
      </c>
      <c r="AB81">
        <v>574577</v>
      </c>
      <c r="AC81">
        <v>157051</v>
      </c>
      <c r="AD81">
        <v>183044</v>
      </c>
      <c r="AE81">
        <v>1920993</v>
      </c>
      <c r="AF81">
        <v>74122</v>
      </c>
      <c r="AG81">
        <v>31248</v>
      </c>
      <c r="AH81">
        <v>57606</v>
      </c>
      <c r="AI81">
        <v>1356724</v>
      </c>
      <c r="AJ81">
        <v>2561603</v>
      </c>
      <c r="AK81">
        <v>357141</v>
      </c>
      <c r="AL81">
        <v>15290</v>
      </c>
      <c r="AM81">
        <v>12702984</v>
      </c>
      <c r="AN81">
        <v>3816759</v>
      </c>
      <c r="AP81">
        <v>2629506</v>
      </c>
      <c r="AQ81">
        <v>10690533</v>
      </c>
      <c r="AR81">
        <v>1617538</v>
      </c>
      <c r="AT81">
        <v>2458562</v>
      </c>
      <c r="AU81">
        <v>6796163</v>
      </c>
      <c r="AV81">
        <v>63238</v>
      </c>
      <c r="AX81">
        <v>2318807</v>
      </c>
      <c r="AY81">
        <v>647879</v>
      </c>
      <c r="BA81">
        <v>76764</v>
      </c>
      <c r="BB81">
        <v>1168562</v>
      </c>
      <c r="BD81">
        <v>62080</v>
      </c>
      <c r="BE81">
        <v>11325248</v>
      </c>
      <c r="BH81">
        <v>1729573</v>
      </c>
      <c r="BI81">
        <v>175525</v>
      </c>
      <c r="BJ81">
        <v>448522</v>
      </c>
      <c r="BK81">
        <v>2503679</v>
      </c>
      <c r="BL81">
        <v>2913157</v>
      </c>
      <c r="BM81">
        <v>45934</v>
      </c>
      <c r="BN81">
        <v>2136188</v>
      </c>
      <c r="BO81">
        <v>1580333</v>
      </c>
      <c r="BP81">
        <v>655430</v>
      </c>
      <c r="BQ81">
        <v>823376</v>
      </c>
      <c r="BR81">
        <v>898101</v>
      </c>
      <c r="BS81">
        <v>8799990</v>
      </c>
      <c r="BT81">
        <v>1277076</v>
      </c>
      <c r="BU81">
        <v>1107944</v>
      </c>
      <c r="BW81">
        <v>523459</v>
      </c>
      <c r="BX81">
        <v>44198</v>
      </c>
      <c r="BY81">
        <v>38405</v>
      </c>
      <c r="BZ81">
        <v>9743133</v>
      </c>
      <c r="CA81">
        <v>26929</v>
      </c>
    </row>
    <row r="82" spans="1:79" x14ac:dyDescent="0.3">
      <c r="A82">
        <v>370</v>
      </c>
      <c r="B82" t="s">
        <v>198</v>
      </c>
      <c r="D82">
        <v>173276</v>
      </c>
      <c r="E82">
        <v>2276565</v>
      </c>
      <c r="G82">
        <v>3048208</v>
      </c>
      <c r="H82">
        <v>351815</v>
      </c>
      <c r="I82">
        <v>0</v>
      </c>
      <c r="J82">
        <v>0</v>
      </c>
      <c r="K82">
        <v>72197</v>
      </c>
      <c r="L82">
        <v>14862741</v>
      </c>
      <c r="N82">
        <v>26553</v>
      </c>
      <c r="P82">
        <v>5025384</v>
      </c>
      <c r="Q82">
        <v>5837388</v>
      </c>
      <c r="R82">
        <v>514525</v>
      </c>
      <c r="S82">
        <v>779368</v>
      </c>
      <c r="T82">
        <v>0</v>
      </c>
      <c r="U82">
        <v>1114771</v>
      </c>
      <c r="V82">
        <v>0</v>
      </c>
      <c r="W82">
        <v>1098068</v>
      </c>
      <c r="X82">
        <v>1781040</v>
      </c>
      <c r="Y82">
        <v>696101</v>
      </c>
      <c r="Z82">
        <v>59820</v>
      </c>
      <c r="AB82">
        <v>0</v>
      </c>
      <c r="AC82">
        <v>0</v>
      </c>
      <c r="AD82">
        <v>0</v>
      </c>
      <c r="AE82">
        <v>85440</v>
      </c>
      <c r="AF82">
        <v>0</v>
      </c>
      <c r="AG82">
        <v>0</v>
      </c>
      <c r="AH82">
        <v>0</v>
      </c>
      <c r="AI82">
        <v>89365</v>
      </c>
      <c r="AJ82">
        <v>672066</v>
      </c>
      <c r="AK82">
        <v>0</v>
      </c>
      <c r="AL82">
        <v>0</v>
      </c>
      <c r="AM82">
        <v>2368459</v>
      </c>
      <c r="AN82">
        <v>129684</v>
      </c>
      <c r="AP82">
        <v>232400</v>
      </c>
      <c r="AQ82">
        <v>1376083</v>
      </c>
      <c r="AR82">
        <v>211469</v>
      </c>
      <c r="AT82">
        <v>329779</v>
      </c>
      <c r="AU82">
        <v>306748</v>
      </c>
      <c r="AV82">
        <v>0</v>
      </c>
      <c r="AX82">
        <v>0</v>
      </c>
      <c r="AY82">
        <v>133503</v>
      </c>
      <c r="BA82">
        <v>0</v>
      </c>
      <c r="BB82">
        <v>0</v>
      </c>
      <c r="BD82">
        <v>0</v>
      </c>
      <c r="BE82">
        <v>1434743</v>
      </c>
      <c r="BH82">
        <v>17355</v>
      </c>
      <c r="BI82">
        <v>4548</v>
      </c>
      <c r="BJ82">
        <v>23744</v>
      </c>
      <c r="BK82">
        <v>0</v>
      </c>
      <c r="BL82">
        <v>0</v>
      </c>
      <c r="BM82">
        <v>0</v>
      </c>
      <c r="BN82">
        <v>347726</v>
      </c>
      <c r="BO82">
        <v>0</v>
      </c>
      <c r="BP82">
        <v>0</v>
      </c>
      <c r="BQ82">
        <v>75436</v>
      </c>
      <c r="BR82">
        <v>105228</v>
      </c>
      <c r="BS82">
        <v>1253892</v>
      </c>
      <c r="BT82">
        <v>174298</v>
      </c>
      <c r="BU82">
        <v>72430</v>
      </c>
      <c r="BW82">
        <v>0</v>
      </c>
      <c r="BX82">
        <v>0</v>
      </c>
      <c r="BY82">
        <v>0</v>
      </c>
      <c r="BZ82">
        <v>1779396</v>
      </c>
      <c r="CA82">
        <v>2976</v>
      </c>
    </row>
    <row r="83" spans="1:79" x14ac:dyDescent="0.3">
      <c r="A83">
        <v>371</v>
      </c>
      <c r="B83" t="s">
        <v>248</v>
      </c>
      <c r="D83">
        <v>0</v>
      </c>
      <c r="E83">
        <v>2990403</v>
      </c>
      <c r="G83">
        <v>0</v>
      </c>
      <c r="H83">
        <v>0</v>
      </c>
      <c r="I83">
        <v>0</v>
      </c>
      <c r="J83">
        <v>0</v>
      </c>
      <c r="K83">
        <v>0</v>
      </c>
      <c r="L83">
        <v>0</v>
      </c>
      <c r="N83">
        <v>0</v>
      </c>
      <c r="P83">
        <v>0</v>
      </c>
      <c r="Q83">
        <v>0</v>
      </c>
      <c r="R83">
        <v>0</v>
      </c>
      <c r="S83">
        <v>0</v>
      </c>
      <c r="T83">
        <v>0</v>
      </c>
      <c r="U83">
        <v>0</v>
      </c>
      <c r="V83">
        <v>0</v>
      </c>
      <c r="W83">
        <v>0</v>
      </c>
      <c r="X83">
        <v>0</v>
      </c>
      <c r="Y83">
        <v>0</v>
      </c>
      <c r="Z83">
        <v>0</v>
      </c>
      <c r="AB83">
        <v>0</v>
      </c>
      <c r="AC83">
        <v>0</v>
      </c>
      <c r="AD83">
        <v>0</v>
      </c>
      <c r="AE83">
        <v>0</v>
      </c>
      <c r="AF83">
        <v>0</v>
      </c>
      <c r="AG83">
        <v>0</v>
      </c>
      <c r="AH83">
        <v>0</v>
      </c>
      <c r="AI83">
        <v>0</v>
      </c>
      <c r="AJ83">
        <v>0</v>
      </c>
      <c r="AK83">
        <v>0</v>
      </c>
      <c r="AL83">
        <v>0</v>
      </c>
      <c r="AM83">
        <v>0</v>
      </c>
      <c r="AN83">
        <v>0</v>
      </c>
      <c r="AP83">
        <v>0</v>
      </c>
      <c r="AQ83">
        <v>0</v>
      </c>
      <c r="AR83">
        <v>0</v>
      </c>
      <c r="AT83">
        <v>0</v>
      </c>
      <c r="AU83">
        <v>0</v>
      </c>
      <c r="AV83">
        <v>0</v>
      </c>
      <c r="AX83">
        <v>0</v>
      </c>
      <c r="AY83">
        <v>0</v>
      </c>
      <c r="BA83">
        <v>0</v>
      </c>
      <c r="BB83">
        <v>0</v>
      </c>
      <c r="BD83">
        <v>0</v>
      </c>
      <c r="BE83">
        <v>0</v>
      </c>
      <c r="BH83">
        <v>0</v>
      </c>
      <c r="BI83">
        <v>0</v>
      </c>
      <c r="BJ83">
        <v>0</v>
      </c>
      <c r="BK83">
        <v>0</v>
      </c>
      <c r="BL83">
        <v>0</v>
      </c>
      <c r="BM83">
        <v>0</v>
      </c>
      <c r="BN83">
        <v>0</v>
      </c>
      <c r="BO83">
        <v>0</v>
      </c>
      <c r="BP83">
        <v>0</v>
      </c>
      <c r="BQ83">
        <v>0</v>
      </c>
      <c r="BR83">
        <v>0</v>
      </c>
      <c r="BS83">
        <v>0</v>
      </c>
      <c r="BT83">
        <v>0</v>
      </c>
      <c r="BU83">
        <v>0</v>
      </c>
      <c r="BW83">
        <v>0</v>
      </c>
      <c r="BX83">
        <v>0</v>
      </c>
      <c r="BY83">
        <v>0</v>
      </c>
      <c r="BZ83">
        <v>0</v>
      </c>
      <c r="CA83">
        <v>0</v>
      </c>
    </row>
    <row r="84" spans="1:79" x14ac:dyDescent="0.3">
      <c r="A84">
        <v>373</v>
      </c>
      <c r="B84" t="s">
        <v>302</v>
      </c>
      <c r="D84">
        <v>1629739</v>
      </c>
      <c r="E84">
        <v>23217316</v>
      </c>
      <c r="G84">
        <v>120921011</v>
      </c>
      <c r="H84">
        <v>7316845</v>
      </c>
      <c r="I84">
        <v>123635</v>
      </c>
      <c r="J84">
        <v>1024959</v>
      </c>
      <c r="K84">
        <v>1749079</v>
      </c>
      <c r="L84">
        <v>116692595</v>
      </c>
      <c r="N84">
        <v>1241638</v>
      </c>
      <c r="P84">
        <v>88613320</v>
      </c>
      <c r="Q84">
        <v>32334037</v>
      </c>
      <c r="R84">
        <v>6669993</v>
      </c>
      <c r="S84">
        <v>24421400</v>
      </c>
      <c r="T84">
        <v>366674</v>
      </c>
      <c r="U84">
        <v>31437671</v>
      </c>
      <c r="V84">
        <v>10583</v>
      </c>
      <c r="W84">
        <v>27941519</v>
      </c>
      <c r="X84">
        <v>40406063</v>
      </c>
      <c r="Y84">
        <v>6807891</v>
      </c>
      <c r="Z84">
        <v>15994616</v>
      </c>
      <c r="AB84">
        <v>619213</v>
      </c>
      <c r="AC84">
        <v>644898</v>
      </c>
      <c r="AD84">
        <v>2541080</v>
      </c>
      <c r="AE84">
        <v>4125848</v>
      </c>
      <c r="AF84">
        <v>231680</v>
      </c>
      <c r="AG84">
        <v>96641</v>
      </c>
      <c r="AH84">
        <v>954422</v>
      </c>
      <c r="AI84">
        <v>1784140</v>
      </c>
      <c r="AJ84">
        <v>9339126</v>
      </c>
      <c r="AK84">
        <v>1121097</v>
      </c>
      <c r="AL84">
        <v>20603</v>
      </c>
      <c r="AM84">
        <v>57848739</v>
      </c>
      <c r="AN84">
        <v>61760340</v>
      </c>
      <c r="AP84">
        <v>5789294</v>
      </c>
      <c r="AQ84">
        <v>72965881</v>
      </c>
      <c r="AR84">
        <v>2984958</v>
      </c>
      <c r="AT84">
        <v>4969328</v>
      </c>
      <c r="AU84">
        <v>28418861</v>
      </c>
      <c r="AV84">
        <v>205562</v>
      </c>
      <c r="AX84">
        <v>7788813</v>
      </c>
      <c r="AY84">
        <v>6476365</v>
      </c>
      <c r="BA84">
        <v>5342</v>
      </c>
      <c r="BB84">
        <v>4286260</v>
      </c>
      <c r="BD84">
        <v>92560</v>
      </c>
      <c r="BE84">
        <v>29410882</v>
      </c>
      <c r="BH84">
        <v>4328760</v>
      </c>
      <c r="BI84">
        <v>4642843</v>
      </c>
      <c r="BJ84">
        <v>810365</v>
      </c>
      <c r="BK84">
        <v>11251723</v>
      </c>
      <c r="BL84">
        <v>5789609</v>
      </c>
      <c r="BM84">
        <v>125881</v>
      </c>
      <c r="BN84">
        <v>11693167</v>
      </c>
      <c r="BO84">
        <v>6588520</v>
      </c>
      <c r="BP84">
        <v>895945</v>
      </c>
      <c r="BQ84">
        <v>2398137</v>
      </c>
      <c r="BR84">
        <v>941458</v>
      </c>
      <c r="BS84">
        <v>125617204</v>
      </c>
      <c r="BT84">
        <v>3412614</v>
      </c>
      <c r="BU84">
        <v>4328872</v>
      </c>
      <c r="BW84">
        <v>1237762</v>
      </c>
      <c r="BX84">
        <v>38433</v>
      </c>
      <c r="BY84">
        <v>66334</v>
      </c>
      <c r="BZ84">
        <v>22813139</v>
      </c>
      <c r="CA84">
        <v>104794</v>
      </c>
    </row>
    <row r="85" spans="1:79" x14ac:dyDescent="0.3">
      <c r="A85">
        <v>375</v>
      </c>
      <c r="B85" t="s">
        <v>213</v>
      </c>
      <c r="D85">
        <v>0</v>
      </c>
      <c r="E85">
        <v>0</v>
      </c>
      <c r="G85">
        <v>51732394</v>
      </c>
      <c r="H85">
        <v>9701789</v>
      </c>
      <c r="I85">
        <v>-102135</v>
      </c>
      <c r="J85">
        <v>6583014</v>
      </c>
      <c r="K85">
        <v>766821</v>
      </c>
      <c r="L85">
        <v>7573723</v>
      </c>
      <c r="N85">
        <v>1257849</v>
      </c>
      <c r="P85">
        <v>0</v>
      </c>
      <c r="Q85">
        <v>9741284</v>
      </c>
      <c r="R85">
        <v>7828452</v>
      </c>
      <c r="S85">
        <v>3982734</v>
      </c>
      <c r="T85">
        <v>-60953</v>
      </c>
      <c r="U85">
        <v>14023820</v>
      </c>
      <c r="V85">
        <v>0</v>
      </c>
      <c r="W85">
        <v>0</v>
      </c>
      <c r="X85">
        <v>0</v>
      </c>
      <c r="Y85">
        <v>3307228</v>
      </c>
      <c r="Z85">
        <v>1691161</v>
      </c>
      <c r="AB85">
        <v>0</v>
      </c>
      <c r="AC85">
        <v>115092</v>
      </c>
      <c r="AD85">
        <v>2318947</v>
      </c>
      <c r="AE85">
        <v>2489878</v>
      </c>
      <c r="AF85">
        <v>549257</v>
      </c>
      <c r="AG85">
        <v>0</v>
      </c>
      <c r="AH85">
        <v>0</v>
      </c>
      <c r="AI85">
        <v>0</v>
      </c>
      <c r="AJ85">
        <v>1396352</v>
      </c>
      <c r="AK85">
        <v>86701</v>
      </c>
      <c r="AL85">
        <v>0</v>
      </c>
      <c r="AM85">
        <v>0</v>
      </c>
      <c r="AN85">
        <v>12052601</v>
      </c>
      <c r="AP85">
        <v>0</v>
      </c>
      <c r="AQ85">
        <v>22800523</v>
      </c>
      <c r="AR85">
        <v>496999</v>
      </c>
      <c r="AT85">
        <v>642764</v>
      </c>
      <c r="AU85">
        <v>5191192</v>
      </c>
      <c r="AV85">
        <v>1532300</v>
      </c>
      <c r="AX85">
        <v>5221620</v>
      </c>
      <c r="AY85">
        <v>1521537</v>
      </c>
      <c r="BA85">
        <v>-36816</v>
      </c>
      <c r="BB85">
        <v>163980</v>
      </c>
      <c r="BD85">
        <v>0</v>
      </c>
      <c r="BE85">
        <v>3626888</v>
      </c>
      <c r="BH85">
        <v>2157970</v>
      </c>
      <c r="BI85">
        <v>2754687</v>
      </c>
      <c r="BJ85">
        <v>8336</v>
      </c>
      <c r="BK85">
        <v>5004448</v>
      </c>
      <c r="BL85">
        <v>34755073</v>
      </c>
      <c r="BM85">
        <v>0</v>
      </c>
      <c r="BN85">
        <v>3180708</v>
      </c>
      <c r="BO85">
        <v>4670817</v>
      </c>
      <c r="BP85">
        <v>1249662</v>
      </c>
      <c r="BQ85">
        <v>3087576</v>
      </c>
      <c r="BR85">
        <v>0</v>
      </c>
      <c r="BS85">
        <v>0</v>
      </c>
      <c r="BT85">
        <v>1030077</v>
      </c>
      <c r="BU85">
        <v>1888935</v>
      </c>
      <c r="BW85">
        <v>1736294</v>
      </c>
      <c r="BX85">
        <v>0</v>
      </c>
      <c r="BY85">
        <v>0</v>
      </c>
      <c r="BZ85">
        <v>9120929</v>
      </c>
      <c r="CA85">
        <v>0</v>
      </c>
    </row>
    <row r="86" spans="1:79" x14ac:dyDescent="0.3">
      <c r="A86">
        <v>376</v>
      </c>
      <c r="B86" t="s">
        <v>100</v>
      </c>
      <c r="D86">
        <v>0</v>
      </c>
      <c r="E86">
        <v>0</v>
      </c>
      <c r="G86">
        <v>0</v>
      </c>
      <c r="H86">
        <v>0</v>
      </c>
      <c r="I86">
        <v>0</v>
      </c>
      <c r="J86">
        <v>0</v>
      </c>
      <c r="K86">
        <v>0</v>
      </c>
      <c r="L86">
        <v>0</v>
      </c>
      <c r="N86">
        <v>0</v>
      </c>
      <c r="P86">
        <v>0</v>
      </c>
      <c r="Q86">
        <v>0</v>
      </c>
      <c r="R86">
        <v>2</v>
      </c>
      <c r="S86">
        <v>0</v>
      </c>
      <c r="T86">
        <v>0</v>
      </c>
      <c r="U86">
        <v>529627</v>
      </c>
      <c r="V86">
        <v>0</v>
      </c>
      <c r="W86">
        <v>0</v>
      </c>
      <c r="X86">
        <v>0</v>
      </c>
      <c r="Y86">
        <v>0</v>
      </c>
      <c r="Z86">
        <v>0</v>
      </c>
      <c r="AB86">
        <v>0</v>
      </c>
      <c r="AC86">
        <v>0</v>
      </c>
      <c r="AD86">
        <v>0</v>
      </c>
      <c r="AE86">
        <v>0</v>
      </c>
      <c r="AF86">
        <v>0</v>
      </c>
      <c r="AG86">
        <v>-1</v>
      </c>
      <c r="AH86">
        <v>0</v>
      </c>
      <c r="AI86">
        <v>0</v>
      </c>
      <c r="AJ86">
        <v>0</v>
      </c>
      <c r="AK86">
        <v>0</v>
      </c>
      <c r="AL86">
        <v>0</v>
      </c>
      <c r="AM86">
        <v>0</v>
      </c>
      <c r="AN86">
        <v>0</v>
      </c>
      <c r="AP86">
        <v>0</v>
      </c>
      <c r="AQ86">
        <v>0</v>
      </c>
      <c r="AR86">
        <v>0</v>
      </c>
      <c r="AT86">
        <v>0</v>
      </c>
      <c r="AU86">
        <v>0</v>
      </c>
      <c r="AV86">
        <v>0</v>
      </c>
      <c r="AX86">
        <v>0</v>
      </c>
      <c r="AY86">
        <v>0</v>
      </c>
      <c r="BA86">
        <v>1</v>
      </c>
      <c r="BB86">
        <v>0</v>
      </c>
      <c r="BD86">
        <v>0</v>
      </c>
      <c r="BE86">
        <v>0</v>
      </c>
      <c r="BH86">
        <v>0</v>
      </c>
      <c r="BI86">
        <v>0</v>
      </c>
      <c r="BJ86">
        <v>0</v>
      </c>
      <c r="BK86">
        <v>0</v>
      </c>
      <c r="BL86">
        <v>0</v>
      </c>
      <c r="BM86">
        <v>0</v>
      </c>
      <c r="BN86">
        <v>0</v>
      </c>
      <c r="BO86">
        <v>0</v>
      </c>
      <c r="BP86">
        <v>0</v>
      </c>
      <c r="BQ86">
        <v>0</v>
      </c>
      <c r="BR86">
        <v>0</v>
      </c>
      <c r="BS86">
        <v>0</v>
      </c>
      <c r="BT86">
        <v>0</v>
      </c>
      <c r="BU86">
        <v>0</v>
      </c>
      <c r="BW86">
        <v>0</v>
      </c>
      <c r="BX86">
        <v>0</v>
      </c>
      <c r="BY86">
        <v>0</v>
      </c>
      <c r="BZ86">
        <v>0</v>
      </c>
      <c r="CA86">
        <v>0</v>
      </c>
    </row>
    <row r="87" spans="1:79" x14ac:dyDescent="0.3">
      <c r="A87">
        <v>377</v>
      </c>
      <c r="B87" t="s">
        <v>101</v>
      </c>
      <c r="D87">
        <v>0</v>
      </c>
      <c r="E87">
        <v>0</v>
      </c>
      <c r="G87">
        <v>0</v>
      </c>
      <c r="H87">
        <v>0</v>
      </c>
      <c r="I87">
        <v>0</v>
      </c>
      <c r="J87">
        <v>0</v>
      </c>
      <c r="K87">
        <v>0</v>
      </c>
      <c r="L87">
        <v>0</v>
      </c>
      <c r="N87">
        <v>0</v>
      </c>
      <c r="P87">
        <v>0</v>
      </c>
      <c r="Q87">
        <v>0</v>
      </c>
      <c r="R87">
        <v>-1</v>
      </c>
      <c r="S87">
        <v>0</v>
      </c>
      <c r="T87">
        <v>0</v>
      </c>
      <c r="U87">
        <v>0</v>
      </c>
      <c r="V87">
        <v>0</v>
      </c>
      <c r="W87">
        <v>0</v>
      </c>
      <c r="X87">
        <v>0</v>
      </c>
      <c r="Y87">
        <v>0</v>
      </c>
      <c r="Z87">
        <v>13346</v>
      </c>
      <c r="AB87">
        <v>0</v>
      </c>
      <c r="AC87">
        <v>0</v>
      </c>
      <c r="AD87">
        <v>0</v>
      </c>
      <c r="AE87">
        <v>0</v>
      </c>
      <c r="AF87">
        <v>0</v>
      </c>
      <c r="AG87">
        <v>0</v>
      </c>
      <c r="AH87">
        <v>0</v>
      </c>
      <c r="AI87">
        <v>0</v>
      </c>
      <c r="AJ87">
        <v>0</v>
      </c>
      <c r="AK87">
        <v>0</v>
      </c>
      <c r="AL87">
        <v>0</v>
      </c>
      <c r="AM87">
        <v>0</v>
      </c>
      <c r="AN87">
        <v>0</v>
      </c>
      <c r="AP87">
        <v>0</v>
      </c>
      <c r="AQ87">
        <v>0</v>
      </c>
      <c r="AR87">
        <v>0</v>
      </c>
      <c r="AT87">
        <v>0</v>
      </c>
      <c r="AU87">
        <v>0</v>
      </c>
      <c r="AV87">
        <v>0</v>
      </c>
      <c r="AX87">
        <v>0</v>
      </c>
      <c r="AY87">
        <v>0</v>
      </c>
      <c r="BA87">
        <v>-1</v>
      </c>
      <c r="BB87">
        <v>0</v>
      </c>
      <c r="BD87">
        <v>0</v>
      </c>
      <c r="BE87">
        <v>0</v>
      </c>
      <c r="BH87">
        <v>0</v>
      </c>
      <c r="BI87">
        <v>0</v>
      </c>
      <c r="BJ87">
        <v>0</v>
      </c>
      <c r="BK87">
        <v>0</v>
      </c>
      <c r="BL87">
        <v>0</v>
      </c>
      <c r="BM87">
        <v>0</v>
      </c>
      <c r="BN87">
        <v>0</v>
      </c>
      <c r="BO87">
        <v>0</v>
      </c>
      <c r="BP87">
        <v>1</v>
      </c>
      <c r="BQ87">
        <v>-1</v>
      </c>
      <c r="BR87">
        <v>0</v>
      </c>
      <c r="BS87">
        <v>0</v>
      </c>
      <c r="BT87">
        <v>0</v>
      </c>
      <c r="BU87">
        <v>1</v>
      </c>
      <c r="BW87">
        <v>0</v>
      </c>
      <c r="BX87">
        <v>0</v>
      </c>
      <c r="BY87">
        <v>0</v>
      </c>
      <c r="BZ87">
        <v>3</v>
      </c>
      <c r="CA87">
        <v>0</v>
      </c>
    </row>
    <row r="88" spans="1:79" x14ac:dyDescent="0.3">
      <c r="A88">
        <v>378</v>
      </c>
      <c r="B88" t="s">
        <v>102</v>
      </c>
      <c r="D88">
        <v>0</v>
      </c>
      <c r="E88">
        <v>0</v>
      </c>
      <c r="G88">
        <v>0</v>
      </c>
      <c r="H88">
        <v>0</v>
      </c>
      <c r="I88">
        <v>0</v>
      </c>
      <c r="J88">
        <v>0</v>
      </c>
      <c r="K88">
        <v>0</v>
      </c>
      <c r="L88">
        <v>0</v>
      </c>
      <c r="N88">
        <v>0</v>
      </c>
      <c r="P88">
        <v>0</v>
      </c>
      <c r="Q88">
        <v>0</v>
      </c>
      <c r="R88">
        <v>0</v>
      </c>
      <c r="S88">
        <v>0</v>
      </c>
      <c r="T88">
        <v>0</v>
      </c>
      <c r="U88">
        <v>0</v>
      </c>
      <c r="V88">
        <v>0</v>
      </c>
      <c r="W88">
        <v>0</v>
      </c>
      <c r="X88">
        <v>0</v>
      </c>
      <c r="Y88">
        <v>0</v>
      </c>
      <c r="Z88">
        <v>104160</v>
      </c>
      <c r="AB88">
        <v>0</v>
      </c>
      <c r="AC88">
        <v>0</v>
      </c>
      <c r="AD88">
        <v>0</v>
      </c>
      <c r="AE88">
        <v>0</v>
      </c>
      <c r="AF88">
        <v>0</v>
      </c>
      <c r="AG88">
        <v>0</v>
      </c>
      <c r="AH88">
        <v>0</v>
      </c>
      <c r="AI88">
        <v>0</v>
      </c>
      <c r="AJ88">
        <v>0</v>
      </c>
      <c r="AK88">
        <v>0</v>
      </c>
      <c r="AL88">
        <v>0</v>
      </c>
      <c r="AM88">
        <v>0</v>
      </c>
      <c r="AN88">
        <v>0</v>
      </c>
      <c r="AP88">
        <v>0</v>
      </c>
      <c r="AQ88">
        <v>0</v>
      </c>
      <c r="AR88">
        <v>0</v>
      </c>
      <c r="AT88">
        <v>0</v>
      </c>
      <c r="AU88">
        <v>-1</v>
      </c>
      <c r="AV88">
        <v>0</v>
      </c>
      <c r="AX88">
        <v>0</v>
      </c>
      <c r="AY88">
        <v>0</v>
      </c>
      <c r="BA88">
        <v>0</v>
      </c>
      <c r="BB88">
        <v>0</v>
      </c>
      <c r="BD88">
        <v>0</v>
      </c>
      <c r="BE88">
        <v>0</v>
      </c>
      <c r="BH88">
        <v>0</v>
      </c>
      <c r="BI88">
        <v>0</v>
      </c>
      <c r="BJ88">
        <v>0</v>
      </c>
      <c r="BK88">
        <v>0</v>
      </c>
      <c r="BL88">
        <v>0</v>
      </c>
      <c r="BM88">
        <v>0</v>
      </c>
      <c r="BN88">
        <v>0</v>
      </c>
      <c r="BO88">
        <v>0</v>
      </c>
      <c r="BP88">
        <v>0</v>
      </c>
      <c r="BQ88">
        <v>0</v>
      </c>
      <c r="BR88">
        <v>0</v>
      </c>
      <c r="BS88">
        <v>0</v>
      </c>
      <c r="BT88">
        <v>0</v>
      </c>
      <c r="BU88">
        <v>0</v>
      </c>
      <c r="BW88">
        <v>0</v>
      </c>
      <c r="BX88">
        <v>0</v>
      </c>
      <c r="BY88">
        <v>0</v>
      </c>
      <c r="BZ88">
        <v>0</v>
      </c>
      <c r="CA88">
        <v>0</v>
      </c>
    </row>
    <row r="89" spans="1:79" x14ac:dyDescent="0.3">
      <c r="A89">
        <v>379</v>
      </c>
      <c r="B89" t="s">
        <v>110</v>
      </c>
      <c r="D89">
        <v>1306636</v>
      </c>
      <c r="E89">
        <v>33938033</v>
      </c>
      <c r="G89">
        <v>43285586</v>
      </c>
      <c r="H89">
        <v>5680200</v>
      </c>
      <c r="I89">
        <v>674255</v>
      </c>
      <c r="J89">
        <v>3793507</v>
      </c>
      <c r="K89">
        <v>1942544</v>
      </c>
      <c r="L89">
        <v>80675982</v>
      </c>
      <c r="N89">
        <v>1085051</v>
      </c>
      <c r="P89">
        <v>25550419</v>
      </c>
      <c r="Q89">
        <v>31621642</v>
      </c>
      <c r="R89">
        <v>5302713</v>
      </c>
      <c r="S89">
        <v>14326783</v>
      </c>
      <c r="T89">
        <v>603561</v>
      </c>
      <c r="U89">
        <v>17874811</v>
      </c>
      <c r="V89">
        <v>275354</v>
      </c>
      <c r="W89">
        <v>12827145</v>
      </c>
      <c r="X89">
        <v>15102205</v>
      </c>
      <c r="Y89">
        <v>9067103</v>
      </c>
      <c r="Z89">
        <v>3579127</v>
      </c>
      <c r="AB89">
        <v>2281326</v>
      </c>
      <c r="AC89">
        <v>407955</v>
      </c>
      <c r="AD89">
        <v>1935750</v>
      </c>
      <c r="AE89">
        <v>4325936</v>
      </c>
      <c r="AF89">
        <v>381597</v>
      </c>
      <c r="AG89">
        <v>82791</v>
      </c>
      <c r="AH89">
        <v>307125</v>
      </c>
      <c r="AI89">
        <v>2993374</v>
      </c>
      <c r="AJ89">
        <v>6790380</v>
      </c>
      <c r="AK89">
        <v>666426</v>
      </c>
      <c r="AL89">
        <v>148214</v>
      </c>
      <c r="AM89">
        <v>22000284</v>
      </c>
      <c r="AN89">
        <v>20168381</v>
      </c>
      <c r="AP89">
        <v>6592502</v>
      </c>
      <c r="AQ89">
        <v>21782483</v>
      </c>
      <c r="AR89">
        <v>1597772</v>
      </c>
      <c r="AT89">
        <v>4470981</v>
      </c>
      <c r="AU89">
        <v>14035048</v>
      </c>
      <c r="AV89">
        <v>368883</v>
      </c>
      <c r="AX89">
        <v>9413895</v>
      </c>
      <c r="AY89">
        <v>6041111</v>
      </c>
      <c r="BA89">
        <v>260493</v>
      </c>
      <c r="BB89">
        <v>3847558</v>
      </c>
      <c r="BD89">
        <v>418011</v>
      </c>
      <c r="BE89">
        <v>14028669</v>
      </c>
      <c r="BH89">
        <v>4158376</v>
      </c>
      <c r="BI89">
        <v>5194586</v>
      </c>
      <c r="BJ89">
        <v>824589</v>
      </c>
      <c r="BK89">
        <v>5196629</v>
      </c>
      <c r="BL89">
        <v>8659761</v>
      </c>
      <c r="BM89">
        <v>231637</v>
      </c>
      <c r="BN89">
        <v>6962319</v>
      </c>
      <c r="BO89">
        <v>6219053</v>
      </c>
      <c r="BP89">
        <v>1818925</v>
      </c>
      <c r="BQ89">
        <v>4097090</v>
      </c>
      <c r="BR89">
        <v>3476150</v>
      </c>
      <c r="BS89">
        <v>27794639</v>
      </c>
      <c r="BT89">
        <v>3516407</v>
      </c>
      <c r="BU89">
        <v>3713884</v>
      </c>
      <c r="BW89">
        <v>1777761</v>
      </c>
      <c r="BX89">
        <v>260418</v>
      </c>
      <c r="BY89">
        <v>233178</v>
      </c>
      <c r="BZ89">
        <v>23936909</v>
      </c>
      <c r="CA89">
        <v>72127</v>
      </c>
    </row>
    <row r="90" spans="1:79" x14ac:dyDescent="0.3">
      <c r="A90">
        <v>380</v>
      </c>
      <c r="B90" t="s">
        <v>113</v>
      </c>
      <c r="D90">
        <v>4837</v>
      </c>
      <c r="E90">
        <v>57518</v>
      </c>
      <c r="G90">
        <v>478705</v>
      </c>
      <c r="H90">
        <v>957671</v>
      </c>
      <c r="I90">
        <v>48874</v>
      </c>
      <c r="J90">
        <v>64038</v>
      </c>
      <c r="K90">
        <v>130324</v>
      </c>
      <c r="L90">
        <v>19415632</v>
      </c>
      <c r="N90">
        <v>37944</v>
      </c>
      <c r="P90">
        <v>1931824</v>
      </c>
      <c r="Q90">
        <v>75388</v>
      </c>
      <c r="R90">
        <v>73198</v>
      </c>
      <c r="S90">
        <v>220831</v>
      </c>
      <c r="T90">
        <v>13804</v>
      </c>
      <c r="U90">
        <v>433423</v>
      </c>
      <c r="V90">
        <v>689</v>
      </c>
      <c r="W90">
        <v>188381</v>
      </c>
      <c r="X90">
        <v>166309</v>
      </c>
      <c r="Y90">
        <v>1018707</v>
      </c>
      <c r="Z90">
        <v>71282</v>
      </c>
      <c r="AB90">
        <v>495</v>
      </c>
      <c r="AC90">
        <v>0</v>
      </c>
      <c r="AD90">
        <v>6966</v>
      </c>
      <c r="AE90">
        <v>69833</v>
      </c>
      <c r="AF90">
        <v>3153</v>
      </c>
      <c r="AG90">
        <v>1286</v>
      </c>
      <c r="AH90">
        <v>1016</v>
      </c>
      <c r="AI90">
        <v>8902</v>
      </c>
      <c r="AJ90">
        <v>790673</v>
      </c>
      <c r="AK90">
        <v>6477</v>
      </c>
      <c r="AL90">
        <v>837</v>
      </c>
      <c r="AM90">
        <v>41884</v>
      </c>
      <c r="AN90">
        <v>423320</v>
      </c>
      <c r="AP90">
        <v>21007</v>
      </c>
      <c r="AQ90">
        <v>102135</v>
      </c>
      <c r="AR90">
        <v>98441</v>
      </c>
      <c r="AT90">
        <v>26347</v>
      </c>
      <c r="AU90">
        <v>45917</v>
      </c>
      <c r="AV90">
        <v>685</v>
      </c>
      <c r="AX90">
        <v>40334</v>
      </c>
      <c r="AY90">
        <v>8301</v>
      </c>
      <c r="BA90">
        <v>5309</v>
      </c>
      <c r="BB90">
        <v>28045</v>
      </c>
      <c r="BD90">
        <v>1645</v>
      </c>
      <c r="BE90">
        <v>611059</v>
      </c>
      <c r="BH90">
        <v>45830</v>
      </c>
      <c r="BI90">
        <v>78389</v>
      </c>
      <c r="BJ90">
        <v>73206</v>
      </c>
      <c r="BK90">
        <v>1796</v>
      </c>
      <c r="BL90">
        <v>29619</v>
      </c>
      <c r="BM90">
        <v>0</v>
      </c>
      <c r="BN90">
        <v>314309</v>
      </c>
      <c r="BO90">
        <v>37461</v>
      </c>
      <c r="BP90">
        <v>25968</v>
      </c>
      <c r="BQ90">
        <v>15813</v>
      </c>
      <c r="BR90">
        <v>1348</v>
      </c>
      <c r="BS90">
        <v>197905</v>
      </c>
      <c r="BT90">
        <v>523380</v>
      </c>
      <c r="BU90">
        <v>23034</v>
      </c>
      <c r="BW90">
        <v>3435</v>
      </c>
      <c r="BX90">
        <v>24560</v>
      </c>
      <c r="BY90">
        <v>421</v>
      </c>
      <c r="BZ90">
        <v>327302</v>
      </c>
      <c r="CA90">
        <v>8508</v>
      </c>
    </row>
    <row r="91" spans="1:79" x14ac:dyDescent="0.3">
      <c r="A91">
        <v>381</v>
      </c>
      <c r="B91" t="s">
        <v>105</v>
      </c>
      <c r="D91">
        <v>0</v>
      </c>
      <c r="E91">
        <v>0</v>
      </c>
      <c r="G91">
        <v>145666906</v>
      </c>
      <c r="H91">
        <v>27146271</v>
      </c>
      <c r="I91">
        <v>856652</v>
      </c>
      <c r="J91">
        <v>11560395</v>
      </c>
      <c r="K91">
        <v>8468138</v>
      </c>
      <c r="L91">
        <v>160474566</v>
      </c>
      <c r="N91">
        <v>3851512</v>
      </c>
      <c r="P91">
        <v>0</v>
      </c>
      <c r="Q91">
        <v>29115972</v>
      </c>
      <c r="R91">
        <v>36379257</v>
      </c>
      <c r="S91">
        <v>60247507</v>
      </c>
      <c r="T91">
        <v>2240006</v>
      </c>
      <c r="U91">
        <v>95336190</v>
      </c>
      <c r="V91">
        <v>0</v>
      </c>
      <c r="W91">
        <v>0</v>
      </c>
      <c r="X91">
        <v>0</v>
      </c>
      <c r="Y91">
        <v>11929880</v>
      </c>
      <c r="Z91">
        <v>23726587</v>
      </c>
      <c r="AB91">
        <v>0</v>
      </c>
      <c r="AC91">
        <v>452673</v>
      </c>
      <c r="AD91">
        <v>10472514</v>
      </c>
      <c r="AE91">
        <v>14778367</v>
      </c>
      <c r="AF91">
        <v>597270</v>
      </c>
      <c r="AG91">
        <v>0</v>
      </c>
      <c r="AH91">
        <v>0</v>
      </c>
      <c r="AI91">
        <v>0</v>
      </c>
      <c r="AJ91">
        <v>45378058</v>
      </c>
      <c r="AK91">
        <v>1685082</v>
      </c>
      <c r="AL91">
        <v>0</v>
      </c>
      <c r="AM91">
        <v>0</v>
      </c>
      <c r="AN91">
        <v>85731247</v>
      </c>
      <c r="AP91">
        <v>0</v>
      </c>
      <c r="AQ91">
        <v>67872227</v>
      </c>
      <c r="AR91">
        <v>6812673</v>
      </c>
      <c r="AT91">
        <v>6596108</v>
      </c>
      <c r="AU91">
        <v>34902474</v>
      </c>
      <c r="AV91">
        <v>2089465</v>
      </c>
      <c r="AX91">
        <v>15026553</v>
      </c>
      <c r="AY91">
        <v>9254702</v>
      </c>
      <c r="BA91">
        <v>1401</v>
      </c>
      <c r="BB91">
        <v>4239818</v>
      </c>
      <c r="BD91">
        <v>0</v>
      </c>
      <c r="BE91">
        <v>74463491</v>
      </c>
      <c r="BH91">
        <v>7580804</v>
      </c>
      <c r="BI91">
        <v>8192719</v>
      </c>
      <c r="BJ91">
        <v>6685529</v>
      </c>
      <c r="BK91">
        <v>13863357</v>
      </c>
      <c r="BL91">
        <v>10447960</v>
      </c>
      <c r="BM91">
        <v>0</v>
      </c>
      <c r="BN91">
        <v>21638578</v>
      </c>
      <c r="BO91">
        <v>13165952</v>
      </c>
      <c r="BP91">
        <v>9051903</v>
      </c>
      <c r="BQ91">
        <v>8594312</v>
      </c>
      <c r="BR91">
        <v>0</v>
      </c>
      <c r="BS91">
        <v>0</v>
      </c>
      <c r="BT91">
        <v>6853002</v>
      </c>
      <c r="BU91">
        <v>20735290</v>
      </c>
      <c r="BW91">
        <v>3840339</v>
      </c>
      <c r="BX91">
        <v>0</v>
      </c>
      <c r="BY91">
        <v>0</v>
      </c>
      <c r="BZ91">
        <v>95447046</v>
      </c>
      <c r="CA91">
        <v>0</v>
      </c>
    </row>
    <row r="92" spans="1:79" x14ac:dyDescent="0.3">
      <c r="A92">
        <v>382</v>
      </c>
      <c r="B92" t="s">
        <v>106</v>
      </c>
      <c r="D92">
        <v>0</v>
      </c>
      <c r="E92">
        <v>0</v>
      </c>
      <c r="G92">
        <v>0</v>
      </c>
      <c r="H92">
        <v>0</v>
      </c>
      <c r="I92">
        <v>0</v>
      </c>
      <c r="J92">
        <v>0</v>
      </c>
      <c r="K92">
        <v>0</v>
      </c>
      <c r="L92">
        <v>0</v>
      </c>
      <c r="N92">
        <v>0</v>
      </c>
      <c r="P92">
        <v>0</v>
      </c>
      <c r="Q92">
        <v>0</v>
      </c>
      <c r="R92">
        <v>0</v>
      </c>
      <c r="S92">
        <v>18275465</v>
      </c>
      <c r="T92">
        <v>0</v>
      </c>
      <c r="U92">
        <v>81308803</v>
      </c>
      <c r="V92">
        <v>0</v>
      </c>
      <c r="W92">
        <v>0</v>
      </c>
      <c r="X92">
        <v>0</v>
      </c>
      <c r="Y92">
        <v>0</v>
      </c>
      <c r="Z92">
        <v>7060642</v>
      </c>
      <c r="AB92">
        <v>0</v>
      </c>
      <c r="AC92">
        <v>0</v>
      </c>
      <c r="AD92">
        <v>0</v>
      </c>
      <c r="AE92">
        <v>6279296</v>
      </c>
      <c r="AF92">
        <v>0</v>
      </c>
      <c r="AG92">
        <v>0</v>
      </c>
      <c r="AH92">
        <v>0</v>
      </c>
      <c r="AI92">
        <v>0</v>
      </c>
      <c r="AJ92">
        <v>16467729</v>
      </c>
      <c r="AK92">
        <v>0</v>
      </c>
      <c r="AL92">
        <v>0</v>
      </c>
      <c r="AM92">
        <v>0</v>
      </c>
      <c r="AN92">
        <v>0</v>
      </c>
      <c r="AP92">
        <v>0</v>
      </c>
      <c r="AQ92">
        <v>82129075</v>
      </c>
      <c r="AR92">
        <v>0</v>
      </c>
      <c r="AT92">
        <v>0</v>
      </c>
      <c r="AU92">
        <v>11382641</v>
      </c>
      <c r="AV92">
        <v>0</v>
      </c>
      <c r="AX92">
        <v>0</v>
      </c>
      <c r="AY92">
        <v>0</v>
      </c>
      <c r="BA92">
        <v>0</v>
      </c>
      <c r="BB92">
        <v>0</v>
      </c>
      <c r="BD92">
        <v>0</v>
      </c>
      <c r="BE92">
        <v>41052560</v>
      </c>
      <c r="BH92">
        <v>0</v>
      </c>
      <c r="BI92">
        <v>0</v>
      </c>
      <c r="BJ92">
        <v>0</v>
      </c>
      <c r="BK92">
        <v>6830430</v>
      </c>
      <c r="BL92">
        <v>0</v>
      </c>
      <c r="BM92">
        <v>0</v>
      </c>
      <c r="BN92">
        <v>0</v>
      </c>
      <c r="BO92">
        <v>0</v>
      </c>
      <c r="BP92">
        <v>0</v>
      </c>
      <c r="BQ92">
        <v>0</v>
      </c>
      <c r="BR92">
        <v>0</v>
      </c>
      <c r="BS92">
        <v>0</v>
      </c>
      <c r="BT92">
        <v>0</v>
      </c>
      <c r="BU92">
        <v>0</v>
      </c>
      <c r="BW92">
        <v>0</v>
      </c>
      <c r="BX92">
        <v>0</v>
      </c>
      <c r="BY92">
        <v>0</v>
      </c>
      <c r="BZ92">
        <v>0</v>
      </c>
      <c r="CA92">
        <v>0</v>
      </c>
    </row>
    <row r="93" spans="1:79" x14ac:dyDescent="0.3">
      <c r="A93">
        <v>383</v>
      </c>
      <c r="B93" t="s">
        <v>212</v>
      </c>
      <c r="D93">
        <v>0</v>
      </c>
      <c r="E93">
        <v>0</v>
      </c>
      <c r="G93">
        <v>0</v>
      </c>
      <c r="H93">
        <v>0</v>
      </c>
      <c r="I93">
        <v>0</v>
      </c>
      <c r="J93">
        <v>0</v>
      </c>
      <c r="K93">
        <v>0</v>
      </c>
      <c r="L93">
        <v>0</v>
      </c>
      <c r="N93">
        <v>0</v>
      </c>
      <c r="P93">
        <v>0</v>
      </c>
      <c r="Q93">
        <v>0</v>
      </c>
      <c r="R93">
        <v>0</v>
      </c>
      <c r="S93">
        <v>0</v>
      </c>
      <c r="T93">
        <v>0</v>
      </c>
      <c r="U93">
        <v>0</v>
      </c>
      <c r="V93">
        <v>0</v>
      </c>
      <c r="W93">
        <v>0</v>
      </c>
      <c r="X93">
        <v>0</v>
      </c>
      <c r="Y93">
        <v>0</v>
      </c>
      <c r="Z93">
        <v>0</v>
      </c>
      <c r="AB93">
        <v>0</v>
      </c>
      <c r="AC93">
        <v>0</v>
      </c>
      <c r="AD93">
        <v>0</v>
      </c>
      <c r="AE93">
        <v>0</v>
      </c>
      <c r="AF93">
        <v>0</v>
      </c>
      <c r="AG93">
        <v>0</v>
      </c>
      <c r="AH93">
        <v>0</v>
      </c>
      <c r="AI93">
        <v>0</v>
      </c>
      <c r="AJ93">
        <v>0</v>
      </c>
      <c r="AK93">
        <v>0</v>
      </c>
      <c r="AL93">
        <v>0</v>
      </c>
      <c r="AM93">
        <v>0</v>
      </c>
      <c r="AN93">
        <v>0</v>
      </c>
      <c r="AP93">
        <v>0</v>
      </c>
      <c r="AQ93">
        <v>0</v>
      </c>
      <c r="AR93">
        <v>0</v>
      </c>
      <c r="AT93">
        <v>0</v>
      </c>
      <c r="AU93">
        <v>0</v>
      </c>
      <c r="AV93">
        <v>0</v>
      </c>
      <c r="AX93">
        <v>0</v>
      </c>
      <c r="AY93">
        <v>0</v>
      </c>
      <c r="BA93">
        <v>0</v>
      </c>
      <c r="BB93">
        <v>0</v>
      </c>
      <c r="BD93">
        <v>0</v>
      </c>
      <c r="BE93">
        <v>0</v>
      </c>
      <c r="BH93">
        <v>0</v>
      </c>
      <c r="BI93">
        <v>0</v>
      </c>
      <c r="BJ93">
        <v>0</v>
      </c>
      <c r="BK93">
        <v>0</v>
      </c>
      <c r="BL93">
        <v>0</v>
      </c>
      <c r="BM93">
        <v>0</v>
      </c>
      <c r="BN93">
        <v>0</v>
      </c>
      <c r="BO93">
        <v>7802</v>
      </c>
      <c r="BP93">
        <v>0</v>
      </c>
      <c r="BQ93">
        <v>0</v>
      </c>
      <c r="BR93">
        <v>0</v>
      </c>
      <c r="BS93">
        <v>0</v>
      </c>
      <c r="BT93">
        <v>0</v>
      </c>
      <c r="BU93">
        <v>0</v>
      </c>
      <c r="BW93">
        <v>0</v>
      </c>
      <c r="BX93">
        <v>0</v>
      </c>
      <c r="BY93">
        <v>0</v>
      </c>
      <c r="BZ93">
        <v>0</v>
      </c>
      <c r="CA93">
        <v>0</v>
      </c>
    </row>
    <row r="94" spans="1:79" x14ac:dyDescent="0.3">
      <c r="A94">
        <v>384</v>
      </c>
      <c r="B94" t="s">
        <v>116</v>
      </c>
      <c r="D94">
        <v>0</v>
      </c>
      <c r="E94">
        <v>0</v>
      </c>
      <c r="G94">
        <v>0</v>
      </c>
      <c r="H94">
        <v>0</v>
      </c>
      <c r="I94">
        <v>0</v>
      </c>
      <c r="J94">
        <v>0</v>
      </c>
      <c r="K94">
        <v>0</v>
      </c>
      <c r="L94">
        <v>0</v>
      </c>
      <c r="N94">
        <v>0</v>
      </c>
      <c r="P94">
        <v>0</v>
      </c>
      <c r="Q94">
        <v>0</v>
      </c>
      <c r="R94">
        <v>0</v>
      </c>
      <c r="S94">
        <v>0</v>
      </c>
      <c r="T94">
        <v>0</v>
      </c>
      <c r="U94">
        <v>0</v>
      </c>
      <c r="V94">
        <v>0</v>
      </c>
      <c r="W94">
        <v>0</v>
      </c>
      <c r="X94">
        <v>0</v>
      </c>
      <c r="Y94">
        <v>0</v>
      </c>
      <c r="Z94">
        <v>9853</v>
      </c>
      <c r="AB94">
        <v>0</v>
      </c>
      <c r="AC94">
        <v>0</v>
      </c>
      <c r="AD94">
        <v>0</v>
      </c>
      <c r="AE94">
        <v>0</v>
      </c>
      <c r="AF94">
        <v>0</v>
      </c>
      <c r="AG94">
        <v>0</v>
      </c>
      <c r="AH94">
        <v>0</v>
      </c>
      <c r="AI94">
        <v>0</v>
      </c>
      <c r="AJ94">
        <v>0</v>
      </c>
      <c r="AK94">
        <v>0</v>
      </c>
      <c r="AL94">
        <v>0</v>
      </c>
      <c r="AM94">
        <v>0</v>
      </c>
      <c r="AN94">
        <v>0</v>
      </c>
      <c r="AP94">
        <v>0</v>
      </c>
      <c r="AQ94">
        <v>0</v>
      </c>
      <c r="AR94">
        <v>0</v>
      </c>
      <c r="AT94">
        <v>0</v>
      </c>
      <c r="AU94">
        <v>0</v>
      </c>
      <c r="AV94">
        <v>0</v>
      </c>
      <c r="AX94">
        <v>0</v>
      </c>
      <c r="AY94">
        <v>0</v>
      </c>
      <c r="BA94">
        <v>0</v>
      </c>
      <c r="BB94">
        <v>0</v>
      </c>
      <c r="BD94">
        <v>0</v>
      </c>
      <c r="BE94">
        <v>0</v>
      </c>
      <c r="BH94">
        <v>0</v>
      </c>
      <c r="BI94">
        <v>0</v>
      </c>
      <c r="BJ94">
        <v>0</v>
      </c>
      <c r="BK94">
        <v>0</v>
      </c>
      <c r="BL94">
        <v>0</v>
      </c>
      <c r="BM94">
        <v>0</v>
      </c>
      <c r="BN94">
        <v>0</v>
      </c>
      <c r="BO94">
        <v>0</v>
      </c>
      <c r="BP94">
        <v>0</v>
      </c>
      <c r="BQ94">
        <v>0</v>
      </c>
      <c r="BR94">
        <v>0</v>
      </c>
      <c r="BS94">
        <v>0</v>
      </c>
      <c r="BT94">
        <v>0</v>
      </c>
      <c r="BU94">
        <v>0</v>
      </c>
      <c r="BW94">
        <v>0</v>
      </c>
      <c r="BX94">
        <v>0</v>
      </c>
      <c r="BY94">
        <v>0</v>
      </c>
      <c r="BZ94">
        <v>0</v>
      </c>
      <c r="CA94">
        <v>0</v>
      </c>
    </row>
    <row r="95" spans="1:79" x14ac:dyDescent="0.3">
      <c r="A95">
        <v>385</v>
      </c>
      <c r="B95" t="s">
        <v>107</v>
      </c>
      <c r="D95">
        <v>7263313</v>
      </c>
      <c r="E95">
        <v>132832315</v>
      </c>
      <c r="G95">
        <v>192091873</v>
      </c>
      <c r="H95">
        <v>19610224</v>
      </c>
      <c r="I95">
        <v>831996</v>
      </c>
      <c r="J95">
        <v>5204857</v>
      </c>
      <c r="K95">
        <v>6086245</v>
      </c>
      <c r="L95">
        <v>372292842</v>
      </c>
      <c r="N95">
        <v>2666550</v>
      </c>
      <c r="P95">
        <v>238350391</v>
      </c>
      <c r="Q95">
        <v>73526821</v>
      </c>
      <c r="R95">
        <v>19818678</v>
      </c>
      <c r="S95">
        <v>44857436</v>
      </c>
      <c r="T95">
        <v>1065767</v>
      </c>
      <c r="U95">
        <v>64606474</v>
      </c>
      <c r="V95">
        <v>291489</v>
      </c>
      <c r="W95">
        <v>40635585</v>
      </c>
      <c r="X95">
        <v>170453844</v>
      </c>
      <c r="Y95">
        <v>25438310</v>
      </c>
      <c r="Z95">
        <v>7128266</v>
      </c>
      <c r="AB95">
        <v>3063648</v>
      </c>
      <c r="AC95">
        <v>820688</v>
      </c>
      <c r="AD95">
        <v>4419498</v>
      </c>
      <c r="AE95">
        <v>13427051</v>
      </c>
      <c r="AF95">
        <v>1929141</v>
      </c>
      <c r="AG95">
        <v>203021</v>
      </c>
      <c r="AH95">
        <v>1296260</v>
      </c>
      <c r="AI95">
        <v>8720355</v>
      </c>
      <c r="AJ95">
        <v>28655946</v>
      </c>
      <c r="AK95">
        <v>1752049</v>
      </c>
      <c r="AL95">
        <v>166745</v>
      </c>
      <c r="AM95">
        <v>161628806</v>
      </c>
      <c r="AN95">
        <v>55790694</v>
      </c>
      <c r="AP95">
        <v>27796218</v>
      </c>
      <c r="AQ95">
        <v>85784575</v>
      </c>
      <c r="AR95">
        <v>5624675</v>
      </c>
      <c r="AT95">
        <v>18688312</v>
      </c>
      <c r="AU95">
        <v>43056153</v>
      </c>
      <c r="AV95">
        <v>1236381</v>
      </c>
      <c r="AX95">
        <v>22071405</v>
      </c>
      <c r="AY95">
        <v>9754764</v>
      </c>
      <c r="BA95">
        <v>565300</v>
      </c>
      <c r="BB95">
        <v>8942982</v>
      </c>
      <c r="BD95">
        <v>438784</v>
      </c>
      <c r="BE95">
        <v>72904728</v>
      </c>
      <c r="BH95">
        <v>13469697</v>
      </c>
      <c r="BI95">
        <v>14302565</v>
      </c>
      <c r="BJ95">
        <v>1282286</v>
      </c>
      <c r="BK95">
        <v>19419730</v>
      </c>
      <c r="BL95">
        <v>17604418</v>
      </c>
      <c r="BM95">
        <v>266969</v>
      </c>
      <c r="BN95">
        <v>24927784</v>
      </c>
      <c r="BO95">
        <v>11578357</v>
      </c>
      <c r="BP95">
        <v>2564672</v>
      </c>
      <c r="BQ95">
        <v>7362564</v>
      </c>
      <c r="BR95">
        <v>17283562</v>
      </c>
      <c r="BS95">
        <v>299173434</v>
      </c>
      <c r="BT95">
        <v>6351935</v>
      </c>
      <c r="BU95">
        <v>8260696</v>
      </c>
      <c r="BW95">
        <v>5358271</v>
      </c>
      <c r="BX95">
        <v>283305</v>
      </c>
      <c r="BY95">
        <v>292647</v>
      </c>
      <c r="BZ95">
        <v>106764027</v>
      </c>
      <c r="CA95">
        <v>391555</v>
      </c>
    </row>
    <row r="96" spans="1:79" x14ac:dyDescent="0.3">
      <c r="A96">
        <v>386</v>
      </c>
      <c r="B96" t="s">
        <v>185</v>
      </c>
      <c r="D96">
        <v>0</v>
      </c>
      <c r="E96">
        <v>12748891</v>
      </c>
      <c r="G96">
        <v>0</v>
      </c>
      <c r="H96">
        <v>0</v>
      </c>
      <c r="I96">
        <v>0</v>
      </c>
      <c r="J96">
        <v>0</v>
      </c>
      <c r="K96">
        <v>0</v>
      </c>
      <c r="L96">
        <v>0</v>
      </c>
      <c r="N96">
        <v>0</v>
      </c>
      <c r="P96">
        <v>0</v>
      </c>
      <c r="Q96">
        <v>0</v>
      </c>
      <c r="R96">
        <v>0</v>
      </c>
      <c r="S96">
        <v>1500000</v>
      </c>
      <c r="T96">
        <v>0</v>
      </c>
      <c r="U96">
        <v>0</v>
      </c>
      <c r="V96">
        <v>0</v>
      </c>
      <c r="W96">
        <v>0</v>
      </c>
      <c r="X96">
        <v>0</v>
      </c>
      <c r="Y96">
        <v>0</v>
      </c>
      <c r="Z96">
        <v>20000</v>
      </c>
      <c r="AB96">
        <v>448661</v>
      </c>
      <c r="AC96">
        <v>0</v>
      </c>
      <c r="AD96">
        <v>0</v>
      </c>
      <c r="AE96">
        <v>0</v>
      </c>
      <c r="AF96">
        <v>0</v>
      </c>
      <c r="AG96">
        <v>0</v>
      </c>
      <c r="AH96">
        <v>0</v>
      </c>
      <c r="AI96">
        <v>0</v>
      </c>
      <c r="AJ96">
        <v>1257263</v>
      </c>
      <c r="AK96">
        <v>0</v>
      </c>
      <c r="AL96">
        <v>0</v>
      </c>
      <c r="AM96">
        <v>0</v>
      </c>
      <c r="AN96">
        <v>0</v>
      </c>
      <c r="AP96">
        <v>0</v>
      </c>
      <c r="AQ96">
        <v>4935657</v>
      </c>
      <c r="AR96">
        <v>0</v>
      </c>
      <c r="AT96">
        <v>0</v>
      </c>
      <c r="AU96">
        <v>419687</v>
      </c>
      <c r="AV96">
        <v>0</v>
      </c>
      <c r="AX96">
        <v>0</v>
      </c>
      <c r="AY96">
        <v>60000</v>
      </c>
      <c r="BA96">
        <v>0</v>
      </c>
      <c r="BB96">
        <v>0</v>
      </c>
      <c r="BD96">
        <v>0</v>
      </c>
      <c r="BE96">
        <v>0</v>
      </c>
      <c r="BH96">
        <v>0</v>
      </c>
      <c r="BI96">
        <v>0</v>
      </c>
      <c r="BJ96">
        <v>0</v>
      </c>
      <c r="BK96">
        <v>0</v>
      </c>
      <c r="BL96">
        <v>0</v>
      </c>
      <c r="BM96">
        <v>0</v>
      </c>
      <c r="BN96">
        <v>0</v>
      </c>
      <c r="BO96">
        <v>0</v>
      </c>
      <c r="BP96">
        <v>0</v>
      </c>
      <c r="BQ96">
        <v>0</v>
      </c>
      <c r="BR96">
        <v>0</v>
      </c>
      <c r="BS96">
        <v>0</v>
      </c>
      <c r="BT96">
        <v>0</v>
      </c>
      <c r="BU96">
        <v>0</v>
      </c>
      <c r="BW96">
        <v>0</v>
      </c>
      <c r="BX96">
        <v>0</v>
      </c>
      <c r="BY96">
        <v>0</v>
      </c>
      <c r="BZ96">
        <v>0</v>
      </c>
      <c r="CA96">
        <v>0</v>
      </c>
    </row>
    <row r="97" spans="1:79" x14ac:dyDescent="0.3">
      <c r="A97">
        <v>387</v>
      </c>
      <c r="B97" t="s">
        <v>186</v>
      </c>
      <c r="D97">
        <v>0</v>
      </c>
      <c r="E97">
        <v>12748891</v>
      </c>
      <c r="G97">
        <v>2048783</v>
      </c>
      <c r="H97">
        <v>0</v>
      </c>
      <c r="I97">
        <v>0</v>
      </c>
      <c r="J97">
        <v>0</v>
      </c>
      <c r="K97">
        <v>100000</v>
      </c>
      <c r="L97">
        <v>85542</v>
      </c>
      <c r="N97">
        <v>0</v>
      </c>
      <c r="P97">
        <v>237937</v>
      </c>
      <c r="Q97">
        <v>0</v>
      </c>
      <c r="R97">
        <v>63000</v>
      </c>
      <c r="S97">
        <v>0</v>
      </c>
      <c r="T97">
        <v>0</v>
      </c>
      <c r="U97">
        <v>120506</v>
      </c>
      <c r="V97">
        <v>0</v>
      </c>
      <c r="W97">
        <v>0</v>
      </c>
      <c r="X97">
        <v>0</v>
      </c>
      <c r="Y97">
        <v>321931</v>
      </c>
      <c r="Z97">
        <v>0</v>
      </c>
      <c r="AB97">
        <v>0</v>
      </c>
      <c r="AC97">
        <v>24594</v>
      </c>
      <c r="AD97">
        <v>0</v>
      </c>
      <c r="AE97">
        <v>0</v>
      </c>
      <c r="AF97">
        <v>0</v>
      </c>
      <c r="AG97">
        <v>0</v>
      </c>
      <c r="AH97">
        <v>0</v>
      </c>
      <c r="AI97">
        <v>0</v>
      </c>
      <c r="AJ97">
        <v>0</v>
      </c>
      <c r="AK97">
        <v>18048</v>
      </c>
      <c r="AL97">
        <v>0</v>
      </c>
      <c r="AM97">
        <v>0</v>
      </c>
      <c r="AN97">
        <v>0</v>
      </c>
      <c r="AP97">
        <v>0</v>
      </c>
      <c r="AQ97">
        <v>9267139</v>
      </c>
      <c r="AR97">
        <v>500156</v>
      </c>
      <c r="AT97">
        <v>0</v>
      </c>
      <c r="AU97">
        <v>0</v>
      </c>
      <c r="AV97">
        <v>0</v>
      </c>
      <c r="AX97">
        <v>0</v>
      </c>
      <c r="AY97">
        <v>0</v>
      </c>
      <c r="BA97">
        <v>9448</v>
      </c>
      <c r="BB97">
        <v>0</v>
      </c>
      <c r="BD97">
        <v>0</v>
      </c>
      <c r="BE97">
        <v>47453</v>
      </c>
      <c r="BH97">
        <v>337546</v>
      </c>
      <c r="BI97">
        <v>0</v>
      </c>
      <c r="BJ97">
        <v>0</v>
      </c>
      <c r="BK97">
        <v>0</v>
      </c>
      <c r="BL97">
        <v>0</v>
      </c>
      <c r="BM97">
        <v>0</v>
      </c>
      <c r="BN97">
        <v>0</v>
      </c>
      <c r="BO97">
        <v>0</v>
      </c>
      <c r="BP97">
        <v>144689</v>
      </c>
      <c r="BQ97">
        <v>0</v>
      </c>
      <c r="BR97">
        <v>0</v>
      </c>
      <c r="BS97">
        <v>0</v>
      </c>
      <c r="BT97">
        <v>0</v>
      </c>
      <c r="BU97">
        <v>142243</v>
      </c>
      <c r="BW97">
        <v>0</v>
      </c>
      <c r="BX97">
        <v>0</v>
      </c>
      <c r="BY97">
        <v>0</v>
      </c>
      <c r="BZ97">
        <v>13682</v>
      </c>
      <c r="CA97">
        <v>0</v>
      </c>
    </row>
    <row r="98" spans="1:79" x14ac:dyDescent="0.3">
      <c r="A98">
        <v>388</v>
      </c>
      <c r="B98" t="s">
        <v>180</v>
      </c>
      <c r="D98">
        <v>2606752</v>
      </c>
      <c r="E98">
        <v>18404784</v>
      </c>
      <c r="G98">
        <v>57760279</v>
      </c>
      <c r="H98">
        <v>6353309</v>
      </c>
      <c r="I98">
        <v>397955</v>
      </c>
      <c r="J98">
        <v>1622788</v>
      </c>
      <c r="K98">
        <v>3109804</v>
      </c>
      <c r="L98">
        <v>60075600</v>
      </c>
      <c r="N98">
        <v>908191</v>
      </c>
      <c r="P98">
        <v>40459534</v>
      </c>
      <c r="Q98">
        <v>22062113</v>
      </c>
      <c r="R98">
        <v>8914940</v>
      </c>
      <c r="S98">
        <v>19696174</v>
      </c>
      <c r="T98">
        <v>148219</v>
      </c>
      <c r="U98">
        <v>30240040</v>
      </c>
      <c r="V98">
        <v>28246</v>
      </c>
      <c r="W98">
        <v>11761973</v>
      </c>
      <c r="X98">
        <v>27532668</v>
      </c>
      <c r="Y98">
        <v>7279032</v>
      </c>
      <c r="Z98">
        <v>1874515</v>
      </c>
      <c r="AB98">
        <v>1556119</v>
      </c>
      <c r="AC98">
        <v>320772</v>
      </c>
      <c r="AD98">
        <v>1613968</v>
      </c>
      <c r="AE98">
        <v>4041591</v>
      </c>
      <c r="AF98">
        <v>198801</v>
      </c>
      <c r="AG98">
        <v>43813</v>
      </c>
      <c r="AH98">
        <v>124827</v>
      </c>
      <c r="AI98">
        <v>3083253</v>
      </c>
      <c r="AJ98">
        <v>9061193</v>
      </c>
      <c r="AK98">
        <v>316212</v>
      </c>
      <c r="AL98">
        <v>31376</v>
      </c>
      <c r="AM98">
        <v>33671639</v>
      </c>
      <c r="AN98">
        <v>24122327</v>
      </c>
      <c r="AP98">
        <v>6558193</v>
      </c>
      <c r="AQ98">
        <v>28856077</v>
      </c>
      <c r="AR98">
        <v>4499940</v>
      </c>
      <c r="AT98">
        <v>6558482</v>
      </c>
      <c r="AU98">
        <v>14554689</v>
      </c>
      <c r="AV98">
        <v>122650</v>
      </c>
      <c r="AX98">
        <v>5116947</v>
      </c>
      <c r="AY98">
        <v>5028221</v>
      </c>
      <c r="BA98">
        <v>698769</v>
      </c>
      <c r="BB98">
        <v>2871934</v>
      </c>
      <c r="BD98">
        <v>130491</v>
      </c>
      <c r="BE98">
        <v>39046163</v>
      </c>
      <c r="BH98">
        <v>4290371</v>
      </c>
      <c r="BI98">
        <v>3311758</v>
      </c>
      <c r="BJ98">
        <v>897663</v>
      </c>
      <c r="BK98">
        <v>11602244</v>
      </c>
      <c r="BL98">
        <v>5984082</v>
      </c>
      <c r="BM98">
        <v>32632</v>
      </c>
      <c r="BN98">
        <v>9041739</v>
      </c>
      <c r="BO98">
        <v>2629521</v>
      </c>
      <c r="BP98">
        <v>1430522</v>
      </c>
      <c r="BQ98">
        <v>2420950</v>
      </c>
      <c r="BR98">
        <v>2515890</v>
      </c>
      <c r="BS98">
        <v>29414105</v>
      </c>
      <c r="BT98">
        <v>2925868</v>
      </c>
      <c r="BU98">
        <v>3947195</v>
      </c>
      <c r="BW98">
        <v>957700</v>
      </c>
      <c r="BX98">
        <v>30181</v>
      </c>
      <c r="BY98">
        <v>42178</v>
      </c>
      <c r="BZ98">
        <v>25444171</v>
      </c>
      <c r="CA98">
        <v>89113</v>
      </c>
    </row>
    <row r="99" spans="1:79" x14ac:dyDescent="0.3">
      <c r="A99">
        <v>389</v>
      </c>
      <c r="B99" t="s">
        <v>187</v>
      </c>
      <c r="D99">
        <v>0</v>
      </c>
      <c r="E99">
        <v>0</v>
      </c>
      <c r="G99">
        <v>0</v>
      </c>
      <c r="H99">
        <v>0</v>
      </c>
      <c r="I99">
        <v>0</v>
      </c>
      <c r="J99">
        <v>0</v>
      </c>
      <c r="K99">
        <v>0</v>
      </c>
      <c r="L99">
        <v>2687500</v>
      </c>
      <c r="N99">
        <v>0</v>
      </c>
      <c r="P99">
        <v>0</v>
      </c>
      <c r="Q99">
        <v>0</v>
      </c>
      <c r="R99">
        <v>0</v>
      </c>
      <c r="S99">
        <v>0</v>
      </c>
      <c r="T99">
        <v>0</v>
      </c>
      <c r="U99">
        <v>0</v>
      </c>
      <c r="V99">
        <v>0</v>
      </c>
      <c r="W99">
        <v>0</v>
      </c>
      <c r="X99">
        <v>0</v>
      </c>
      <c r="Y99">
        <v>0</v>
      </c>
      <c r="Z99">
        <v>0</v>
      </c>
      <c r="AB99">
        <v>0</v>
      </c>
      <c r="AC99">
        <v>0</v>
      </c>
      <c r="AD99">
        <v>0</v>
      </c>
      <c r="AE99">
        <v>0</v>
      </c>
      <c r="AF99">
        <v>0</v>
      </c>
      <c r="AG99">
        <v>0</v>
      </c>
      <c r="AH99">
        <v>0</v>
      </c>
      <c r="AI99">
        <v>0</v>
      </c>
      <c r="AJ99">
        <v>0</v>
      </c>
      <c r="AK99">
        <v>0</v>
      </c>
      <c r="AL99">
        <v>0</v>
      </c>
      <c r="AM99">
        <v>0</v>
      </c>
      <c r="AN99">
        <v>0</v>
      </c>
      <c r="AP99">
        <v>0</v>
      </c>
      <c r="AQ99">
        <v>4562661</v>
      </c>
      <c r="AR99">
        <v>0</v>
      </c>
      <c r="AT99">
        <v>0</v>
      </c>
      <c r="AU99">
        <v>0</v>
      </c>
      <c r="AV99">
        <v>0</v>
      </c>
      <c r="AX99">
        <v>0</v>
      </c>
      <c r="AY99">
        <v>0</v>
      </c>
      <c r="BA99">
        <v>0</v>
      </c>
      <c r="BB99">
        <v>0</v>
      </c>
      <c r="BD99">
        <v>0</v>
      </c>
      <c r="BE99">
        <v>0</v>
      </c>
      <c r="BH99">
        <v>0</v>
      </c>
      <c r="BI99">
        <v>0</v>
      </c>
      <c r="BJ99">
        <v>0</v>
      </c>
      <c r="BK99">
        <v>0</v>
      </c>
      <c r="BL99">
        <v>0</v>
      </c>
      <c r="BM99">
        <v>0</v>
      </c>
      <c r="BN99">
        <v>0</v>
      </c>
      <c r="BO99">
        <v>0</v>
      </c>
      <c r="BP99">
        <v>0</v>
      </c>
      <c r="BQ99">
        <v>0</v>
      </c>
      <c r="BR99">
        <v>0</v>
      </c>
      <c r="BS99">
        <v>0</v>
      </c>
      <c r="BT99">
        <v>0</v>
      </c>
      <c r="BU99">
        <v>0</v>
      </c>
      <c r="BW99">
        <v>0</v>
      </c>
      <c r="BX99">
        <v>0</v>
      </c>
      <c r="BY99">
        <v>0</v>
      </c>
      <c r="BZ99">
        <v>0</v>
      </c>
      <c r="CA99">
        <v>0</v>
      </c>
    </row>
    <row r="100" spans="1:79" x14ac:dyDescent="0.3">
      <c r="A100">
        <v>391</v>
      </c>
      <c r="B100" t="s">
        <v>192</v>
      </c>
      <c r="D100">
        <v>174616</v>
      </c>
      <c r="E100">
        <v>6406033</v>
      </c>
      <c r="G100">
        <v>7911760</v>
      </c>
      <c r="H100">
        <v>383608</v>
      </c>
      <c r="I100">
        <v>60502</v>
      </c>
      <c r="J100">
        <v>171623</v>
      </c>
      <c r="K100">
        <v>608480</v>
      </c>
      <c r="L100">
        <v>5279310</v>
      </c>
      <c r="N100">
        <v>128723</v>
      </c>
      <c r="P100">
        <v>5638460</v>
      </c>
      <c r="Q100">
        <v>5983058</v>
      </c>
      <c r="R100">
        <v>281455</v>
      </c>
      <c r="S100">
        <v>1514425</v>
      </c>
      <c r="T100">
        <v>136850</v>
      </c>
      <c r="U100">
        <v>2692487</v>
      </c>
      <c r="V100">
        <v>2920</v>
      </c>
      <c r="W100">
        <v>1349534</v>
      </c>
      <c r="X100">
        <v>2850941</v>
      </c>
      <c r="Y100">
        <v>611675</v>
      </c>
      <c r="Z100">
        <v>117439</v>
      </c>
      <c r="AB100">
        <v>129279</v>
      </c>
      <c r="AC100">
        <v>7405</v>
      </c>
      <c r="AD100">
        <v>185525</v>
      </c>
      <c r="AE100">
        <v>438787</v>
      </c>
      <c r="AF100">
        <v>11697</v>
      </c>
      <c r="AG100">
        <v>4232</v>
      </c>
      <c r="AH100">
        <v>8569</v>
      </c>
      <c r="AI100">
        <v>298183</v>
      </c>
      <c r="AJ100">
        <v>1862980</v>
      </c>
      <c r="AK100">
        <v>31848</v>
      </c>
      <c r="AL100">
        <v>2899</v>
      </c>
      <c r="AM100">
        <v>2517714</v>
      </c>
      <c r="AN100">
        <v>1995458</v>
      </c>
      <c r="AP100">
        <v>536072</v>
      </c>
      <c r="AQ100">
        <v>5677535</v>
      </c>
      <c r="AR100">
        <v>543136</v>
      </c>
      <c r="AT100">
        <v>1039913</v>
      </c>
      <c r="AU100">
        <v>1337389</v>
      </c>
      <c r="AV100">
        <v>11851</v>
      </c>
      <c r="AX100">
        <v>391830</v>
      </c>
      <c r="AY100">
        <v>419793</v>
      </c>
      <c r="BA100">
        <v>49111</v>
      </c>
      <c r="BB100">
        <v>381580</v>
      </c>
      <c r="BD100">
        <v>10682</v>
      </c>
      <c r="BE100">
        <v>2557508</v>
      </c>
      <c r="BH100">
        <v>515175</v>
      </c>
      <c r="BI100">
        <v>590172</v>
      </c>
      <c r="BJ100">
        <v>128531</v>
      </c>
      <c r="BK100">
        <v>681534</v>
      </c>
      <c r="BL100">
        <v>557330</v>
      </c>
      <c r="BM100">
        <v>5800</v>
      </c>
      <c r="BN100">
        <v>1936083</v>
      </c>
      <c r="BO100">
        <v>881707</v>
      </c>
      <c r="BP100">
        <v>91164</v>
      </c>
      <c r="BQ100">
        <v>227998</v>
      </c>
      <c r="BR100">
        <v>159696</v>
      </c>
      <c r="BS100">
        <v>1840822</v>
      </c>
      <c r="BT100">
        <v>278487</v>
      </c>
      <c r="BU100">
        <v>329865</v>
      </c>
      <c r="BW100">
        <v>552475</v>
      </c>
      <c r="BX100">
        <v>974</v>
      </c>
      <c r="BY100">
        <v>6843</v>
      </c>
      <c r="BZ100">
        <v>6191378</v>
      </c>
      <c r="CA100">
        <v>3933</v>
      </c>
    </row>
    <row r="101" spans="1:79" x14ac:dyDescent="0.3">
      <c r="A101">
        <v>500</v>
      </c>
      <c r="B101" t="s">
        <v>175</v>
      </c>
      <c r="D101">
        <v>1889097</v>
      </c>
      <c r="E101">
        <v>29808339</v>
      </c>
      <c r="G101">
        <v>8051564</v>
      </c>
      <c r="H101">
        <v>759981</v>
      </c>
      <c r="I101">
        <v>156594</v>
      </c>
      <c r="J101">
        <v>167794</v>
      </c>
      <c r="K101">
        <v>299850</v>
      </c>
      <c r="L101">
        <v>3838253</v>
      </c>
      <c r="N101">
        <v>348148</v>
      </c>
      <c r="P101">
        <v>26235679</v>
      </c>
      <c r="Q101">
        <v>7146180</v>
      </c>
      <c r="R101">
        <v>1922059</v>
      </c>
      <c r="S101">
        <v>346878</v>
      </c>
      <c r="T101">
        <v>402226</v>
      </c>
      <c r="U101">
        <v>0</v>
      </c>
      <c r="V101">
        <v>106386</v>
      </c>
      <c r="W101">
        <v>3594720</v>
      </c>
      <c r="X101">
        <v>9087510</v>
      </c>
      <c r="Y101">
        <v>680740</v>
      </c>
      <c r="Z101">
        <v>1194598</v>
      </c>
      <c r="AB101">
        <v>806992</v>
      </c>
      <c r="AC101">
        <v>0</v>
      </c>
      <c r="AD101">
        <v>198032</v>
      </c>
      <c r="AE101">
        <v>698992</v>
      </c>
      <c r="AF101">
        <v>518860</v>
      </c>
      <c r="AG101">
        <v>10030</v>
      </c>
      <c r="AH101">
        <v>147023</v>
      </c>
      <c r="AI101">
        <v>1252582</v>
      </c>
      <c r="AJ101">
        <v>2639035</v>
      </c>
      <c r="AK101">
        <v>345853</v>
      </c>
      <c r="AL101">
        <v>0</v>
      </c>
      <c r="AM101">
        <v>8738436</v>
      </c>
      <c r="AN101">
        <v>349055</v>
      </c>
      <c r="AP101">
        <v>2781563</v>
      </c>
      <c r="AQ101">
        <v>688328</v>
      </c>
      <c r="AR101">
        <v>825461</v>
      </c>
      <c r="AT101">
        <v>3826244</v>
      </c>
      <c r="AU101">
        <v>681666</v>
      </c>
      <c r="AV101">
        <v>54816</v>
      </c>
      <c r="AX101">
        <v>3385290</v>
      </c>
      <c r="AY101">
        <v>839585</v>
      </c>
      <c r="BA101">
        <v>76001</v>
      </c>
      <c r="BB101">
        <v>3390360</v>
      </c>
      <c r="BD101">
        <v>21945</v>
      </c>
      <c r="BE101">
        <v>217003</v>
      </c>
      <c r="BH101">
        <v>3591983</v>
      </c>
      <c r="BI101">
        <v>495424</v>
      </c>
      <c r="BJ101">
        <v>169571</v>
      </c>
      <c r="BK101">
        <v>612522</v>
      </c>
      <c r="BL101">
        <v>104031</v>
      </c>
      <c r="BM101">
        <v>31500</v>
      </c>
      <c r="BN101">
        <v>2819189</v>
      </c>
      <c r="BO101">
        <v>427699</v>
      </c>
      <c r="BP101">
        <v>184886</v>
      </c>
      <c r="BQ101">
        <v>187074</v>
      </c>
      <c r="BR101">
        <v>1409360</v>
      </c>
      <c r="BS101">
        <v>2742556</v>
      </c>
      <c r="BT101">
        <v>483204</v>
      </c>
      <c r="BU101">
        <v>889318</v>
      </c>
      <c r="BW101">
        <v>101101</v>
      </c>
      <c r="BX101">
        <v>16831</v>
      </c>
      <c r="BY101">
        <v>49995</v>
      </c>
      <c r="BZ101">
        <v>5222881</v>
      </c>
      <c r="CA101">
        <v>64528</v>
      </c>
    </row>
    <row r="102" spans="1:79" x14ac:dyDescent="0.3">
      <c r="A102">
        <v>502</v>
      </c>
      <c r="B102" t="s">
        <v>177</v>
      </c>
      <c r="D102">
        <v>0</v>
      </c>
      <c r="E102">
        <v>4420446</v>
      </c>
      <c r="G102">
        <v>64478809</v>
      </c>
      <c r="H102">
        <v>8771115</v>
      </c>
      <c r="I102">
        <v>212527</v>
      </c>
      <c r="J102">
        <v>6591478</v>
      </c>
      <c r="K102">
        <v>788379</v>
      </c>
      <c r="L102">
        <v>18065609</v>
      </c>
      <c r="N102">
        <v>1837432</v>
      </c>
      <c r="P102">
        <v>957330</v>
      </c>
      <c r="Q102">
        <v>9672319</v>
      </c>
      <c r="R102">
        <v>7226851</v>
      </c>
      <c r="S102">
        <v>13372524</v>
      </c>
      <c r="T102">
        <v>36621</v>
      </c>
      <c r="U102">
        <v>61631227</v>
      </c>
      <c r="V102">
        <v>0</v>
      </c>
      <c r="W102">
        <v>0</v>
      </c>
      <c r="X102">
        <v>0</v>
      </c>
      <c r="Y102">
        <v>3829785</v>
      </c>
      <c r="Z102">
        <v>2473233</v>
      </c>
      <c r="AB102">
        <v>0</v>
      </c>
      <c r="AC102">
        <v>86405</v>
      </c>
      <c r="AD102">
        <v>2318526</v>
      </c>
      <c r="AE102">
        <v>4408757</v>
      </c>
      <c r="AF102">
        <v>30801</v>
      </c>
      <c r="AG102">
        <v>0</v>
      </c>
      <c r="AH102">
        <v>0</v>
      </c>
      <c r="AI102">
        <v>78015</v>
      </c>
      <c r="AJ102">
        <v>2286774</v>
      </c>
      <c r="AK102">
        <v>75461</v>
      </c>
      <c r="AL102">
        <v>0</v>
      </c>
      <c r="AM102">
        <v>0</v>
      </c>
      <c r="AN102">
        <v>10943418</v>
      </c>
      <c r="AP102">
        <v>0</v>
      </c>
      <c r="AQ102">
        <v>62962279</v>
      </c>
      <c r="AR102">
        <v>525612</v>
      </c>
      <c r="AT102">
        <v>1064450</v>
      </c>
      <c r="AU102">
        <v>12891696</v>
      </c>
      <c r="AV102">
        <v>1448167</v>
      </c>
      <c r="AX102">
        <v>1994851</v>
      </c>
      <c r="AY102">
        <v>1273777</v>
      </c>
      <c r="BA102">
        <v>1401</v>
      </c>
      <c r="BB102">
        <v>976491</v>
      </c>
      <c r="BD102">
        <v>0</v>
      </c>
      <c r="BE102">
        <v>12420104</v>
      </c>
      <c r="BH102">
        <v>817912</v>
      </c>
      <c r="BI102">
        <v>2663098</v>
      </c>
      <c r="BJ102">
        <v>18353</v>
      </c>
      <c r="BK102">
        <v>7762742</v>
      </c>
      <c r="BL102">
        <v>4080176</v>
      </c>
      <c r="BM102">
        <v>0</v>
      </c>
      <c r="BN102">
        <v>2315385</v>
      </c>
      <c r="BO102">
        <v>4525563</v>
      </c>
      <c r="BP102">
        <v>1243940</v>
      </c>
      <c r="BQ102">
        <v>2976992</v>
      </c>
      <c r="BR102">
        <v>0</v>
      </c>
      <c r="BS102">
        <v>0</v>
      </c>
      <c r="BT102">
        <v>1005489</v>
      </c>
      <c r="BU102">
        <v>4608980</v>
      </c>
      <c r="BW102">
        <v>1920666</v>
      </c>
      <c r="BX102">
        <v>0</v>
      </c>
      <c r="BY102">
        <v>0</v>
      </c>
      <c r="BZ102">
        <v>10922599</v>
      </c>
      <c r="CA102">
        <v>0</v>
      </c>
    </row>
    <row r="103" spans="1:79" x14ac:dyDescent="0.3">
      <c r="A103">
        <v>503</v>
      </c>
      <c r="B103" t="s">
        <v>178</v>
      </c>
      <c r="D103">
        <v>0</v>
      </c>
      <c r="E103">
        <v>0</v>
      </c>
      <c r="G103">
        <v>5354831</v>
      </c>
      <c r="H103">
        <v>1836443</v>
      </c>
      <c r="I103">
        <v>33983</v>
      </c>
      <c r="J103">
        <v>91665</v>
      </c>
      <c r="K103">
        <v>32976</v>
      </c>
      <c r="L103">
        <v>7118817</v>
      </c>
      <c r="N103">
        <v>198554</v>
      </c>
      <c r="P103">
        <v>34595</v>
      </c>
      <c r="Q103">
        <v>1009200</v>
      </c>
      <c r="R103">
        <v>513933</v>
      </c>
      <c r="S103">
        <v>1539981</v>
      </c>
      <c r="T103">
        <v>0</v>
      </c>
      <c r="U103">
        <v>1735661</v>
      </c>
      <c r="V103">
        <v>0</v>
      </c>
      <c r="W103">
        <v>0</v>
      </c>
      <c r="X103">
        <v>0</v>
      </c>
      <c r="Y103">
        <v>6360</v>
      </c>
      <c r="Z103">
        <v>13045977</v>
      </c>
      <c r="AB103">
        <v>0</v>
      </c>
      <c r="AC103">
        <v>0</v>
      </c>
      <c r="AD103">
        <v>37797</v>
      </c>
      <c r="AE103">
        <v>157663</v>
      </c>
      <c r="AF103">
        <v>7283</v>
      </c>
      <c r="AG103">
        <v>0</v>
      </c>
      <c r="AH103">
        <v>0</v>
      </c>
      <c r="AI103">
        <v>0</v>
      </c>
      <c r="AJ103">
        <v>1342639</v>
      </c>
      <c r="AK103">
        <v>15859</v>
      </c>
      <c r="AL103">
        <v>0</v>
      </c>
      <c r="AM103">
        <v>0</v>
      </c>
      <c r="AN103">
        <v>198785</v>
      </c>
      <c r="AP103">
        <v>0</v>
      </c>
      <c r="AQ103">
        <v>12869464</v>
      </c>
      <c r="AR103">
        <v>20078</v>
      </c>
      <c r="AT103">
        <v>149876</v>
      </c>
      <c r="AU103">
        <v>442407</v>
      </c>
      <c r="AV103">
        <v>54884</v>
      </c>
      <c r="AX103">
        <v>124336</v>
      </c>
      <c r="AY103">
        <v>77255</v>
      </c>
      <c r="BA103">
        <v>0</v>
      </c>
      <c r="BB103">
        <v>149727</v>
      </c>
      <c r="BD103">
        <v>0</v>
      </c>
      <c r="BE103">
        <v>1810237</v>
      </c>
      <c r="BH103">
        <v>130335</v>
      </c>
      <c r="BI103">
        <v>0</v>
      </c>
      <c r="BJ103">
        <v>107133</v>
      </c>
      <c r="BK103">
        <v>213223</v>
      </c>
      <c r="BL103">
        <v>206144</v>
      </c>
      <c r="BM103">
        <v>0</v>
      </c>
      <c r="BN103">
        <v>665672</v>
      </c>
      <c r="BO103">
        <v>98360</v>
      </c>
      <c r="BP103">
        <v>37020</v>
      </c>
      <c r="BQ103">
        <v>64754</v>
      </c>
      <c r="BR103">
        <v>0</v>
      </c>
      <c r="BS103">
        <v>0</v>
      </c>
      <c r="BT103">
        <v>0</v>
      </c>
      <c r="BU103">
        <v>622779</v>
      </c>
      <c r="BW103">
        <v>30137</v>
      </c>
      <c r="BX103">
        <v>0</v>
      </c>
      <c r="BY103">
        <v>0</v>
      </c>
      <c r="BZ103">
        <v>9425907</v>
      </c>
      <c r="CA103">
        <v>0</v>
      </c>
    </row>
    <row r="104" spans="1:79" x14ac:dyDescent="0.3">
      <c r="A104">
        <v>504</v>
      </c>
      <c r="B104" t="s">
        <v>182</v>
      </c>
      <c r="D104">
        <v>18975</v>
      </c>
      <c r="E104">
        <v>4844758</v>
      </c>
      <c r="G104">
        <v>6577805</v>
      </c>
      <c r="H104">
        <v>969706</v>
      </c>
      <c r="I104">
        <v>92293</v>
      </c>
      <c r="J104">
        <v>325314</v>
      </c>
      <c r="K104">
        <v>1045100</v>
      </c>
      <c r="L104">
        <v>1643044</v>
      </c>
      <c r="N104">
        <v>34381</v>
      </c>
      <c r="P104">
        <v>8788221</v>
      </c>
      <c r="Q104">
        <v>1471972</v>
      </c>
      <c r="R104">
        <v>2266639</v>
      </c>
      <c r="S104">
        <v>3431329</v>
      </c>
      <c r="T104">
        <v>25017</v>
      </c>
      <c r="U104">
        <v>4826808</v>
      </c>
      <c r="V104">
        <v>5943</v>
      </c>
      <c r="W104">
        <v>1327739</v>
      </c>
      <c r="X104">
        <v>7511882</v>
      </c>
      <c r="Y104">
        <v>542810</v>
      </c>
      <c r="Z104">
        <v>276210</v>
      </c>
      <c r="AB104">
        <v>105082</v>
      </c>
      <c r="AC104">
        <v>6693</v>
      </c>
      <c r="AD104">
        <v>314582</v>
      </c>
      <c r="AE104">
        <v>838736</v>
      </c>
      <c r="AF104">
        <v>30698</v>
      </c>
      <c r="AG104">
        <v>2941</v>
      </c>
      <c r="AH104">
        <v>18228</v>
      </c>
      <c r="AI104">
        <v>262454</v>
      </c>
      <c r="AJ104">
        <v>3306044</v>
      </c>
      <c r="AK104">
        <v>171237</v>
      </c>
      <c r="AL104">
        <v>17528</v>
      </c>
      <c r="AM104">
        <v>4372125</v>
      </c>
      <c r="AN104">
        <v>2205850</v>
      </c>
      <c r="AP104">
        <v>1502701</v>
      </c>
      <c r="AQ104">
        <v>1578280</v>
      </c>
      <c r="AR104">
        <v>895341</v>
      </c>
      <c r="AT104">
        <v>1085817</v>
      </c>
      <c r="AU104">
        <v>3369957</v>
      </c>
      <c r="AV104">
        <v>6627</v>
      </c>
      <c r="AX104">
        <v>864965</v>
      </c>
      <c r="AY104">
        <v>1973892</v>
      </c>
      <c r="BA104">
        <v>643725</v>
      </c>
      <c r="BB104">
        <v>995461</v>
      </c>
      <c r="BD104">
        <v>19040</v>
      </c>
      <c r="BE104">
        <v>4877308</v>
      </c>
      <c r="BH104">
        <v>1111586</v>
      </c>
      <c r="BI104">
        <v>123451</v>
      </c>
      <c r="BJ104">
        <v>34574</v>
      </c>
      <c r="BK104">
        <v>1128607</v>
      </c>
      <c r="BL104">
        <v>707492</v>
      </c>
      <c r="BM104">
        <v>0</v>
      </c>
      <c r="BN104">
        <v>1616427</v>
      </c>
      <c r="BO104">
        <v>422300</v>
      </c>
      <c r="BP104">
        <v>340658</v>
      </c>
      <c r="BQ104">
        <v>930995</v>
      </c>
      <c r="BR104">
        <v>477626</v>
      </c>
      <c r="BS104">
        <v>6306796</v>
      </c>
      <c r="BT104">
        <v>1015819</v>
      </c>
      <c r="BU104">
        <v>831467</v>
      </c>
      <c r="BW104">
        <v>240376</v>
      </c>
      <c r="BX104">
        <v>3714</v>
      </c>
      <c r="BY104">
        <v>0</v>
      </c>
      <c r="BZ104">
        <v>1322247</v>
      </c>
      <c r="CA104">
        <v>5418</v>
      </c>
    </row>
    <row r="105" spans="1:79" x14ac:dyDescent="0.3">
      <c r="A105">
        <v>505</v>
      </c>
      <c r="B105" t="s">
        <v>183</v>
      </c>
      <c r="D105">
        <v>0</v>
      </c>
      <c r="E105">
        <v>7646488</v>
      </c>
      <c r="G105">
        <v>4444276</v>
      </c>
      <c r="H105">
        <v>23676</v>
      </c>
      <c r="I105">
        <v>0</v>
      </c>
      <c r="J105">
        <v>0</v>
      </c>
      <c r="K105">
        <v>0</v>
      </c>
      <c r="L105">
        <v>5444045</v>
      </c>
      <c r="N105">
        <v>0</v>
      </c>
      <c r="P105">
        <v>5508257</v>
      </c>
      <c r="Q105">
        <v>1907899</v>
      </c>
      <c r="R105">
        <v>0</v>
      </c>
      <c r="S105">
        <v>0</v>
      </c>
      <c r="T105">
        <v>0</v>
      </c>
      <c r="U105">
        <v>0</v>
      </c>
      <c r="V105">
        <v>0</v>
      </c>
      <c r="W105">
        <v>4106382</v>
      </c>
      <c r="X105">
        <v>12852828</v>
      </c>
      <c r="Y105">
        <v>0</v>
      </c>
      <c r="Z105">
        <v>0</v>
      </c>
      <c r="AB105">
        <v>0</v>
      </c>
      <c r="AC105">
        <v>8831</v>
      </c>
      <c r="AD105">
        <v>0</v>
      </c>
      <c r="AE105">
        <v>294722</v>
      </c>
      <c r="AF105">
        <v>0</v>
      </c>
      <c r="AG105">
        <v>0</v>
      </c>
      <c r="AH105">
        <v>0</v>
      </c>
      <c r="AI105">
        <v>0</v>
      </c>
      <c r="AJ105">
        <v>920000</v>
      </c>
      <c r="AK105">
        <v>141083</v>
      </c>
      <c r="AL105">
        <v>0</v>
      </c>
      <c r="AM105">
        <v>3394394</v>
      </c>
      <c r="AN105">
        <v>1214554</v>
      </c>
      <c r="AP105">
        <v>519558</v>
      </c>
      <c r="AQ105">
        <v>0</v>
      </c>
      <c r="AR105">
        <v>0</v>
      </c>
      <c r="AT105">
        <v>4018144</v>
      </c>
      <c r="AU105">
        <v>47870</v>
      </c>
      <c r="AV105">
        <v>0</v>
      </c>
      <c r="AX105">
        <v>1200</v>
      </c>
      <c r="AY105">
        <v>0</v>
      </c>
      <c r="BA105">
        <v>0</v>
      </c>
      <c r="BB105">
        <v>0</v>
      </c>
      <c r="BD105">
        <v>0</v>
      </c>
      <c r="BE105">
        <v>1532274</v>
      </c>
      <c r="BH105">
        <v>58380</v>
      </c>
      <c r="BI105">
        <v>0</v>
      </c>
      <c r="BJ105">
        <v>0</v>
      </c>
      <c r="BK105">
        <v>305119</v>
      </c>
      <c r="BL105">
        <v>0</v>
      </c>
      <c r="BM105">
        <v>0</v>
      </c>
      <c r="BN105">
        <v>962114</v>
      </c>
      <c r="BO105">
        <v>616305</v>
      </c>
      <c r="BP105">
        <v>0</v>
      </c>
      <c r="BQ105">
        <v>351000</v>
      </c>
      <c r="BR105">
        <v>93034</v>
      </c>
      <c r="BS105">
        <v>735717</v>
      </c>
      <c r="BT105">
        <v>0</v>
      </c>
      <c r="BU105">
        <v>142243</v>
      </c>
      <c r="BW105">
        <v>0</v>
      </c>
      <c r="BX105">
        <v>0</v>
      </c>
      <c r="BY105">
        <v>3200</v>
      </c>
      <c r="BZ105">
        <v>6500750</v>
      </c>
      <c r="CA105">
        <v>33065</v>
      </c>
    </row>
    <row r="106" spans="1:79" x14ac:dyDescent="0.3">
      <c r="A106">
        <v>506</v>
      </c>
      <c r="B106" t="s">
        <v>189</v>
      </c>
      <c r="D106">
        <v>1114121</v>
      </c>
      <c r="E106">
        <v>30491801</v>
      </c>
      <c r="G106">
        <v>29830564</v>
      </c>
      <c r="H106">
        <v>4055316</v>
      </c>
      <c r="I106">
        <v>408285</v>
      </c>
      <c r="J106">
        <v>3480099</v>
      </c>
      <c r="K106">
        <v>1203740</v>
      </c>
      <c r="L106">
        <v>52112912</v>
      </c>
      <c r="N106">
        <v>838261</v>
      </c>
      <c r="P106">
        <v>12749985</v>
      </c>
      <c r="Q106">
        <v>21443914</v>
      </c>
      <c r="R106">
        <v>3762357</v>
      </c>
      <c r="S106">
        <v>12213718</v>
      </c>
      <c r="T106">
        <v>264821</v>
      </c>
      <c r="U106">
        <v>15188771</v>
      </c>
      <c r="V106">
        <v>165359</v>
      </c>
      <c r="W106">
        <v>7758608</v>
      </c>
      <c r="X106">
        <v>11662392</v>
      </c>
      <c r="Y106">
        <v>6922824</v>
      </c>
      <c r="Z106">
        <v>2965865</v>
      </c>
      <c r="AB106">
        <v>1825209</v>
      </c>
      <c r="AC106">
        <v>400550</v>
      </c>
      <c r="AD106">
        <v>1545227</v>
      </c>
      <c r="AE106">
        <v>3195783</v>
      </c>
      <c r="AF106">
        <v>100008</v>
      </c>
      <c r="AG106">
        <v>67243</v>
      </c>
      <c r="AH106">
        <v>197020</v>
      </c>
      <c r="AI106">
        <v>2485294</v>
      </c>
      <c r="AJ106">
        <v>3786921</v>
      </c>
      <c r="AK106">
        <v>351776</v>
      </c>
      <c r="AL106">
        <v>143926</v>
      </c>
      <c r="AM106">
        <v>14219122</v>
      </c>
      <c r="AN106">
        <v>17742539</v>
      </c>
      <c r="AP106">
        <v>4964561</v>
      </c>
      <c r="AQ106">
        <v>17825747</v>
      </c>
      <c r="AR106">
        <v>681601</v>
      </c>
      <c r="AT106">
        <v>1998910</v>
      </c>
      <c r="AU106">
        <v>12267973</v>
      </c>
      <c r="AV106">
        <v>343914</v>
      </c>
      <c r="AX106">
        <v>5596441</v>
      </c>
      <c r="AY106">
        <v>4915926</v>
      </c>
      <c r="BA106">
        <v>172314</v>
      </c>
      <c r="BB106">
        <v>2900143</v>
      </c>
      <c r="BD106">
        <v>383739</v>
      </c>
      <c r="BE106">
        <v>10615912</v>
      </c>
      <c r="BH106">
        <v>3560125</v>
      </c>
      <c r="BI106">
        <v>4749665</v>
      </c>
      <c r="BJ106">
        <v>453281</v>
      </c>
      <c r="BK106">
        <v>4270300</v>
      </c>
      <c r="BL106">
        <v>7968781</v>
      </c>
      <c r="BM106">
        <v>194337</v>
      </c>
      <c r="BN106">
        <v>4377120</v>
      </c>
      <c r="BO106">
        <v>5086005</v>
      </c>
      <c r="BP106">
        <v>1516907</v>
      </c>
      <c r="BQ106">
        <v>3588167</v>
      </c>
      <c r="BR106">
        <v>2841436</v>
      </c>
      <c r="BS106">
        <v>25022322</v>
      </c>
      <c r="BT106">
        <v>2590855</v>
      </c>
      <c r="BU106">
        <v>2469714</v>
      </c>
      <c r="BW106">
        <v>1453500</v>
      </c>
      <c r="BX106">
        <v>242249</v>
      </c>
      <c r="BY106">
        <v>200755</v>
      </c>
      <c r="BZ106">
        <v>18243278</v>
      </c>
      <c r="CA106">
        <v>29019</v>
      </c>
    </row>
    <row r="107" spans="1:79" x14ac:dyDescent="0.3">
      <c r="A107">
        <v>507</v>
      </c>
      <c r="B107" t="s">
        <v>886</v>
      </c>
      <c r="D107">
        <v>0</v>
      </c>
      <c r="E107">
        <v>0</v>
      </c>
      <c r="G107">
        <v>0</v>
      </c>
      <c r="H107">
        <v>7549</v>
      </c>
      <c r="I107">
        <v>0</v>
      </c>
      <c r="J107">
        <v>0</v>
      </c>
      <c r="K107">
        <v>0</v>
      </c>
      <c r="L107">
        <v>0</v>
      </c>
      <c r="N107">
        <v>0</v>
      </c>
      <c r="P107">
        <v>0</v>
      </c>
      <c r="Q107">
        <v>0</v>
      </c>
      <c r="R107">
        <v>0</v>
      </c>
      <c r="S107">
        <v>0</v>
      </c>
      <c r="T107">
        <v>0</v>
      </c>
      <c r="U107">
        <v>0</v>
      </c>
      <c r="V107">
        <v>0</v>
      </c>
      <c r="W107">
        <v>0</v>
      </c>
      <c r="X107">
        <v>0</v>
      </c>
      <c r="Y107">
        <v>0</v>
      </c>
      <c r="Z107">
        <v>-7584</v>
      </c>
      <c r="AB107">
        <v>1</v>
      </c>
      <c r="AC107">
        <v>0</v>
      </c>
      <c r="AD107">
        <v>0</v>
      </c>
      <c r="AE107">
        <v>0</v>
      </c>
      <c r="AF107">
        <v>0</v>
      </c>
      <c r="AG107">
        <v>-1</v>
      </c>
      <c r="AH107">
        <v>0</v>
      </c>
      <c r="AI107">
        <v>0</v>
      </c>
      <c r="AJ107">
        <v>0</v>
      </c>
      <c r="AK107">
        <v>0</v>
      </c>
      <c r="AL107">
        <v>0</v>
      </c>
      <c r="AM107">
        <v>0</v>
      </c>
      <c r="AN107">
        <v>0</v>
      </c>
      <c r="AP107">
        <v>0</v>
      </c>
      <c r="AQ107">
        <v>0</v>
      </c>
      <c r="AR107">
        <v>0</v>
      </c>
      <c r="AT107">
        <v>1</v>
      </c>
      <c r="AU107" s="566">
        <v>-1910</v>
      </c>
      <c r="AV107">
        <v>0</v>
      </c>
      <c r="AX107">
        <v>0</v>
      </c>
      <c r="AY107">
        <v>1</v>
      </c>
      <c r="BA107">
        <v>1</v>
      </c>
      <c r="BB107">
        <v>0</v>
      </c>
      <c r="BD107">
        <v>0</v>
      </c>
      <c r="BE107">
        <v>0</v>
      </c>
      <c r="BH107">
        <v>0</v>
      </c>
      <c r="BI107">
        <v>0</v>
      </c>
      <c r="BJ107">
        <v>0</v>
      </c>
      <c r="BK107">
        <v>0</v>
      </c>
      <c r="BL107">
        <v>0</v>
      </c>
      <c r="BM107">
        <v>0</v>
      </c>
      <c r="BN107">
        <v>0</v>
      </c>
      <c r="BO107">
        <v>0</v>
      </c>
      <c r="BP107">
        <v>-1</v>
      </c>
      <c r="BQ107">
        <v>0</v>
      </c>
      <c r="BR107">
        <v>0</v>
      </c>
      <c r="BS107">
        <v>0</v>
      </c>
      <c r="BT107">
        <v>0</v>
      </c>
      <c r="BU107">
        <v>-1</v>
      </c>
      <c r="BW107">
        <v>0</v>
      </c>
      <c r="BX107">
        <v>0</v>
      </c>
      <c r="BY107">
        <v>0</v>
      </c>
      <c r="BZ107">
        <v>0</v>
      </c>
      <c r="CA107">
        <v>0</v>
      </c>
    </row>
    <row r="108" spans="1:79" x14ac:dyDescent="0.3">
      <c r="A108">
        <v>508</v>
      </c>
      <c r="B108" t="s">
        <v>204</v>
      </c>
      <c r="D108">
        <v>0</v>
      </c>
      <c r="E108">
        <v>0</v>
      </c>
      <c r="G108">
        <v>0</v>
      </c>
      <c r="H108">
        <v>0</v>
      </c>
      <c r="I108">
        <v>0</v>
      </c>
      <c r="J108">
        <v>0</v>
      </c>
      <c r="K108">
        <v>0</v>
      </c>
      <c r="L108">
        <v>0</v>
      </c>
      <c r="N108">
        <v>0</v>
      </c>
      <c r="P108">
        <v>0</v>
      </c>
      <c r="Q108">
        <v>0</v>
      </c>
      <c r="R108">
        <v>0</v>
      </c>
      <c r="S108">
        <v>0</v>
      </c>
      <c r="T108">
        <v>0</v>
      </c>
      <c r="U108">
        <v>0</v>
      </c>
      <c r="V108">
        <v>0</v>
      </c>
      <c r="W108">
        <v>0</v>
      </c>
      <c r="X108">
        <v>0</v>
      </c>
      <c r="Y108">
        <v>0</v>
      </c>
      <c r="Z108">
        <v>0</v>
      </c>
      <c r="AB108">
        <v>0</v>
      </c>
      <c r="AC108">
        <v>0</v>
      </c>
      <c r="AD108">
        <v>0</v>
      </c>
      <c r="AE108">
        <v>0</v>
      </c>
      <c r="AF108">
        <v>0</v>
      </c>
      <c r="AG108">
        <v>0</v>
      </c>
      <c r="AH108">
        <v>0</v>
      </c>
      <c r="AI108">
        <v>0</v>
      </c>
      <c r="AJ108">
        <v>0</v>
      </c>
      <c r="AK108">
        <v>0</v>
      </c>
      <c r="AL108">
        <v>0</v>
      </c>
      <c r="AM108">
        <v>0</v>
      </c>
      <c r="AN108">
        <v>0</v>
      </c>
      <c r="AP108">
        <v>0</v>
      </c>
      <c r="AQ108">
        <v>0</v>
      </c>
      <c r="AR108">
        <v>0</v>
      </c>
      <c r="AT108">
        <v>0</v>
      </c>
      <c r="AU108">
        <v>0</v>
      </c>
      <c r="AV108">
        <v>0</v>
      </c>
      <c r="AX108">
        <v>0</v>
      </c>
      <c r="AY108">
        <v>0</v>
      </c>
      <c r="BA108">
        <v>0</v>
      </c>
      <c r="BB108">
        <v>0</v>
      </c>
      <c r="BD108">
        <v>0</v>
      </c>
      <c r="BE108">
        <v>0</v>
      </c>
      <c r="BH108">
        <v>0</v>
      </c>
      <c r="BI108">
        <v>0</v>
      </c>
      <c r="BJ108">
        <v>0</v>
      </c>
      <c r="BK108">
        <v>0</v>
      </c>
      <c r="BL108">
        <v>0</v>
      </c>
      <c r="BM108">
        <v>0</v>
      </c>
      <c r="BN108">
        <v>0</v>
      </c>
      <c r="BO108">
        <v>0</v>
      </c>
      <c r="BP108">
        <v>0</v>
      </c>
      <c r="BQ108">
        <v>0</v>
      </c>
      <c r="BR108">
        <v>0</v>
      </c>
      <c r="BS108">
        <v>0</v>
      </c>
      <c r="BT108">
        <v>0</v>
      </c>
      <c r="BU108">
        <v>0</v>
      </c>
      <c r="BW108">
        <v>0</v>
      </c>
      <c r="BX108">
        <v>0</v>
      </c>
      <c r="BY108">
        <v>0</v>
      </c>
      <c r="BZ108">
        <v>0</v>
      </c>
      <c r="CA108">
        <v>0</v>
      </c>
    </row>
    <row r="109" spans="1:79" x14ac:dyDescent="0.3">
      <c r="A109">
        <v>509</v>
      </c>
      <c r="B109" t="s">
        <v>205</v>
      </c>
      <c r="D109">
        <v>0</v>
      </c>
      <c r="E109">
        <v>0</v>
      </c>
      <c r="G109">
        <v>0</v>
      </c>
      <c r="H109">
        <v>0</v>
      </c>
      <c r="I109">
        <v>0</v>
      </c>
      <c r="J109">
        <v>0</v>
      </c>
      <c r="K109">
        <v>0</v>
      </c>
      <c r="L109">
        <v>0</v>
      </c>
      <c r="N109">
        <v>0</v>
      </c>
      <c r="P109">
        <v>0</v>
      </c>
      <c r="Q109">
        <v>0</v>
      </c>
      <c r="R109">
        <v>0</v>
      </c>
      <c r="S109">
        <v>0</v>
      </c>
      <c r="T109">
        <v>0</v>
      </c>
      <c r="U109">
        <v>0</v>
      </c>
      <c r="V109">
        <v>0</v>
      </c>
      <c r="W109">
        <v>0</v>
      </c>
      <c r="X109">
        <v>0</v>
      </c>
      <c r="Y109">
        <v>0</v>
      </c>
      <c r="Z109">
        <v>0</v>
      </c>
      <c r="AB109">
        <v>0</v>
      </c>
      <c r="AC109">
        <v>0</v>
      </c>
      <c r="AD109">
        <v>0</v>
      </c>
      <c r="AE109">
        <v>0</v>
      </c>
      <c r="AF109">
        <v>0</v>
      </c>
      <c r="AG109">
        <v>0</v>
      </c>
      <c r="AH109">
        <v>0</v>
      </c>
      <c r="AI109">
        <v>0</v>
      </c>
      <c r="AJ109">
        <v>0</v>
      </c>
      <c r="AK109">
        <v>0</v>
      </c>
      <c r="AL109">
        <v>0</v>
      </c>
      <c r="AM109">
        <v>0</v>
      </c>
      <c r="AN109">
        <v>0</v>
      </c>
      <c r="AP109">
        <v>0</v>
      </c>
      <c r="AQ109">
        <v>0</v>
      </c>
      <c r="AR109">
        <v>0</v>
      </c>
      <c r="AT109">
        <v>0</v>
      </c>
      <c r="AU109">
        <v>0</v>
      </c>
      <c r="AV109">
        <v>0</v>
      </c>
      <c r="AX109">
        <v>0</v>
      </c>
      <c r="AY109">
        <v>0</v>
      </c>
      <c r="BA109">
        <v>0</v>
      </c>
      <c r="BB109">
        <v>0</v>
      </c>
      <c r="BD109">
        <v>0</v>
      </c>
      <c r="BE109">
        <v>0</v>
      </c>
      <c r="BH109">
        <v>0</v>
      </c>
      <c r="BI109">
        <v>0</v>
      </c>
      <c r="BJ109">
        <v>0</v>
      </c>
      <c r="BK109">
        <v>0</v>
      </c>
      <c r="BL109">
        <v>0</v>
      </c>
      <c r="BM109">
        <v>0</v>
      </c>
      <c r="BN109">
        <v>0</v>
      </c>
      <c r="BO109">
        <v>0</v>
      </c>
      <c r="BP109">
        <v>0</v>
      </c>
      <c r="BQ109">
        <v>0</v>
      </c>
      <c r="BR109">
        <v>0</v>
      </c>
      <c r="BS109">
        <v>0</v>
      </c>
      <c r="BT109">
        <v>0</v>
      </c>
      <c r="BU109">
        <v>0</v>
      </c>
      <c r="BW109">
        <v>0</v>
      </c>
      <c r="BX109">
        <v>0</v>
      </c>
      <c r="BY109">
        <v>0</v>
      </c>
      <c r="BZ109">
        <v>0</v>
      </c>
      <c r="CA109">
        <v>0</v>
      </c>
    </row>
    <row r="110" spans="1:79" x14ac:dyDescent="0.3">
      <c r="A110">
        <v>510</v>
      </c>
      <c r="B110" t="s">
        <v>211</v>
      </c>
      <c r="D110">
        <v>0</v>
      </c>
      <c r="E110">
        <v>0</v>
      </c>
      <c r="G110">
        <v>310178</v>
      </c>
      <c r="H110">
        <v>18416</v>
      </c>
      <c r="I110">
        <v>0</v>
      </c>
      <c r="J110">
        <v>0</v>
      </c>
      <c r="K110">
        <v>41532</v>
      </c>
      <c r="L110">
        <v>0</v>
      </c>
      <c r="N110">
        <v>0</v>
      </c>
      <c r="P110">
        <v>0</v>
      </c>
      <c r="Q110">
        <v>243295</v>
      </c>
      <c r="R110">
        <v>65150</v>
      </c>
      <c r="S110">
        <v>453167</v>
      </c>
      <c r="T110">
        <v>1163</v>
      </c>
      <c r="U110">
        <v>628498</v>
      </c>
      <c r="V110">
        <v>0</v>
      </c>
      <c r="W110">
        <v>0</v>
      </c>
      <c r="X110">
        <v>0</v>
      </c>
      <c r="Y110">
        <v>0</v>
      </c>
      <c r="Z110">
        <v>110098</v>
      </c>
      <c r="AB110">
        <v>0</v>
      </c>
      <c r="AC110">
        <v>0</v>
      </c>
      <c r="AD110">
        <v>6304</v>
      </c>
      <c r="AE110">
        <v>107</v>
      </c>
      <c r="AF110">
        <v>0</v>
      </c>
      <c r="AG110">
        <v>0</v>
      </c>
      <c r="AH110">
        <v>0</v>
      </c>
      <c r="AI110">
        <v>0</v>
      </c>
      <c r="AJ110">
        <v>172271</v>
      </c>
      <c r="AK110">
        <v>0</v>
      </c>
      <c r="AL110">
        <v>0</v>
      </c>
      <c r="AM110">
        <v>0</v>
      </c>
      <c r="AN110">
        <v>195161</v>
      </c>
      <c r="AP110">
        <v>0</v>
      </c>
      <c r="AQ110">
        <v>667319</v>
      </c>
      <c r="AR110">
        <v>0</v>
      </c>
      <c r="AT110">
        <v>42412</v>
      </c>
      <c r="AU110">
        <v>127912</v>
      </c>
      <c r="AV110">
        <v>0</v>
      </c>
      <c r="AX110">
        <v>0</v>
      </c>
      <c r="AY110">
        <v>241149</v>
      </c>
      <c r="BA110">
        <v>0</v>
      </c>
      <c r="BB110">
        <v>50609</v>
      </c>
      <c r="BD110">
        <v>0</v>
      </c>
      <c r="BE110">
        <v>800123</v>
      </c>
      <c r="BH110">
        <v>176926</v>
      </c>
      <c r="BI110">
        <v>4769</v>
      </c>
      <c r="BJ110">
        <v>0</v>
      </c>
      <c r="BK110">
        <v>208253</v>
      </c>
      <c r="BL110">
        <v>0</v>
      </c>
      <c r="BM110">
        <v>0</v>
      </c>
      <c r="BN110">
        <v>48891</v>
      </c>
      <c r="BO110">
        <v>98065</v>
      </c>
      <c r="BP110">
        <v>0</v>
      </c>
      <c r="BQ110">
        <v>72805</v>
      </c>
      <c r="BR110">
        <v>0</v>
      </c>
      <c r="BS110">
        <v>0</v>
      </c>
      <c r="BT110">
        <v>23245</v>
      </c>
      <c r="BU110">
        <v>309777</v>
      </c>
      <c r="BW110">
        <v>319</v>
      </c>
      <c r="BX110">
        <v>0</v>
      </c>
      <c r="BY110">
        <v>0</v>
      </c>
      <c r="BZ110">
        <v>0</v>
      </c>
      <c r="CA110">
        <v>0</v>
      </c>
    </row>
    <row r="111" spans="1:79" x14ac:dyDescent="0.3">
      <c r="A111">
        <v>511</v>
      </c>
      <c r="B111" t="s">
        <v>216</v>
      </c>
      <c r="D111">
        <v>0</v>
      </c>
      <c r="E111">
        <v>0</v>
      </c>
      <c r="G111">
        <v>0</v>
      </c>
      <c r="H111">
        <v>0</v>
      </c>
      <c r="I111">
        <v>0</v>
      </c>
      <c r="J111">
        <v>0</v>
      </c>
      <c r="K111">
        <v>0</v>
      </c>
      <c r="L111">
        <v>0</v>
      </c>
      <c r="N111">
        <v>0</v>
      </c>
      <c r="P111">
        <v>0</v>
      </c>
      <c r="Q111">
        <v>0</v>
      </c>
      <c r="R111">
        <v>0</v>
      </c>
      <c r="S111">
        <v>396217</v>
      </c>
      <c r="T111">
        <v>0</v>
      </c>
      <c r="U111">
        <v>2082193</v>
      </c>
      <c r="V111">
        <v>0</v>
      </c>
      <c r="W111">
        <v>0</v>
      </c>
      <c r="X111">
        <v>0</v>
      </c>
      <c r="Y111">
        <v>0</v>
      </c>
      <c r="Z111">
        <v>243042</v>
      </c>
      <c r="AB111">
        <v>0</v>
      </c>
      <c r="AC111">
        <v>0</v>
      </c>
      <c r="AD111">
        <v>0</v>
      </c>
      <c r="AE111">
        <v>322</v>
      </c>
      <c r="AF111">
        <v>0</v>
      </c>
      <c r="AG111">
        <v>0</v>
      </c>
      <c r="AH111">
        <v>0</v>
      </c>
      <c r="AI111">
        <v>0</v>
      </c>
      <c r="AJ111">
        <v>1029365</v>
      </c>
      <c r="AK111">
        <v>0</v>
      </c>
      <c r="AL111">
        <v>0</v>
      </c>
      <c r="AM111">
        <v>0</v>
      </c>
      <c r="AN111">
        <v>0</v>
      </c>
      <c r="AP111">
        <v>0</v>
      </c>
      <c r="AQ111">
        <v>3957257</v>
      </c>
      <c r="AR111">
        <v>0</v>
      </c>
      <c r="AT111">
        <v>0</v>
      </c>
      <c r="AU111">
        <v>135441</v>
      </c>
      <c r="AV111">
        <v>0</v>
      </c>
      <c r="AX111">
        <v>0</v>
      </c>
      <c r="AY111">
        <v>0</v>
      </c>
      <c r="BA111">
        <v>0</v>
      </c>
      <c r="BB111">
        <v>0</v>
      </c>
      <c r="BD111">
        <v>0</v>
      </c>
      <c r="BE111">
        <v>688014</v>
      </c>
      <c r="BH111">
        <v>0</v>
      </c>
      <c r="BI111">
        <v>0</v>
      </c>
      <c r="BJ111">
        <v>0</v>
      </c>
      <c r="BK111">
        <v>670378</v>
      </c>
      <c r="BL111">
        <v>0</v>
      </c>
      <c r="BM111">
        <v>0</v>
      </c>
      <c r="BN111">
        <v>0</v>
      </c>
      <c r="BO111">
        <v>0</v>
      </c>
      <c r="BP111">
        <v>0</v>
      </c>
      <c r="BQ111">
        <v>0</v>
      </c>
      <c r="BR111">
        <v>0</v>
      </c>
      <c r="BS111">
        <v>0</v>
      </c>
      <c r="BT111">
        <v>0</v>
      </c>
      <c r="BU111">
        <v>0</v>
      </c>
      <c r="BW111">
        <v>0</v>
      </c>
      <c r="BX111">
        <v>0</v>
      </c>
      <c r="BY111">
        <v>0</v>
      </c>
      <c r="BZ111">
        <v>0</v>
      </c>
      <c r="CA111">
        <v>0</v>
      </c>
    </row>
    <row r="112" spans="1:79" x14ac:dyDescent="0.3">
      <c r="A112">
        <v>512</v>
      </c>
      <c r="B112" t="s">
        <v>243</v>
      </c>
      <c r="D112">
        <v>0</v>
      </c>
      <c r="E112">
        <v>0</v>
      </c>
      <c r="G112">
        <v>0</v>
      </c>
      <c r="H112">
        <v>0</v>
      </c>
      <c r="I112">
        <v>0</v>
      </c>
      <c r="J112">
        <v>0</v>
      </c>
      <c r="K112">
        <v>0</v>
      </c>
      <c r="L112">
        <v>0</v>
      </c>
      <c r="N112">
        <v>0</v>
      </c>
      <c r="P112">
        <v>550582</v>
      </c>
      <c r="Q112">
        <v>580657</v>
      </c>
      <c r="R112">
        <v>0</v>
      </c>
      <c r="S112">
        <v>261590</v>
      </c>
      <c r="T112">
        <v>0</v>
      </c>
      <c r="U112">
        <v>0</v>
      </c>
      <c r="V112">
        <v>0</v>
      </c>
      <c r="W112">
        <v>0</v>
      </c>
      <c r="X112">
        <v>0</v>
      </c>
      <c r="Y112">
        <v>0</v>
      </c>
      <c r="Z112">
        <v>0</v>
      </c>
      <c r="AB112">
        <v>0</v>
      </c>
      <c r="AC112">
        <v>0</v>
      </c>
      <c r="AD112">
        <v>0</v>
      </c>
      <c r="AE112">
        <v>0</v>
      </c>
      <c r="AF112">
        <v>0</v>
      </c>
      <c r="AG112">
        <v>0</v>
      </c>
      <c r="AH112">
        <v>0</v>
      </c>
      <c r="AI112">
        <v>0</v>
      </c>
      <c r="AJ112">
        <v>0</v>
      </c>
      <c r="AK112">
        <v>0</v>
      </c>
      <c r="AL112">
        <v>0</v>
      </c>
      <c r="AM112">
        <v>0</v>
      </c>
      <c r="AN112">
        <v>0</v>
      </c>
      <c r="AP112">
        <v>0</v>
      </c>
      <c r="AQ112">
        <v>0</v>
      </c>
      <c r="AR112">
        <v>0</v>
      </c>
      <c r="AT112">
        <v>0</v>
      </c>
      <c r="AU112">
        <v>0</v>
      </c>
      <c r="AV112">
        <v>0</v>
      </c>
      <c r="AX112">
        <v>0</v>
      </c>
      <c r="AY112">
        <v>0</v>
      </c>
      <c r="BA112">
        <v>0</v>
      </c>
      <c r="BB112">
        <v>0</v>
      </c>
      <c r="BD112">
        <v>0</v>
      </c>
      <c r="BE112">
        <v>0</v>
      </c>
      <c r="BH112">
        <v>202478</v>
      </c>
      <c r="BI112">
        <v>0</v>
      </c>
      <c r="BJ112">
        <v>0</v>
      </c>
      <c r="BK112">
        <v>0</v>
      </c>
      <c r="BL112">
        <v>0</v>
      </c>
      <c r="BM112">
        <v>0</v>
      </c>
      <c r="BN112">
        <v>0</v>
      </c>
      <c r="BO112">
        <v>0</v>
      </c>
      <c r="BP112">
        <v>0</v>
      </c>
      <c r="BQ112">
        <v>0</v>
      </c>
      <c r="BR112">
        <v>0</v>
      </c>
      <c r="BS112">
        <v>0</v>
      </c>
      <c r="BT112">
        <v>0</v>
      </c>
      <c r="BU112">
        <v>0</v>
      </c>
      <c r="BW112">
        <v>0</v>
      </c>
      <c r="BX112">
        <v>0</v>
      </c>
      <c r="BY112">
        <v>0</v>
      </c>
      <c r="BZ112">
        <v>0</v>
      </c>
      <c r="CA112">
        <v>0</v>
      </c>
    </row>
    <row r="113" spans="1:79" x14ac:dyDescent="0.3">
      <c r="A113">
        <v>513</v>
      </c>
      <c r="B113" t="s">
        <v>249</v>
      </c>
      <c r="D113">
        <v>0</v>
      </c>
      <c r="E113">
        <v>0</v>
      </c>
      <c r="G113">
        <v>0</v>
      </c>
      <c r="H113">
        <v>0</v>
      </c>
      <c r="I113">
        <v>0</v>
      </c>
      <c r="J113">
        <v>0</v>
      </c>
      <c r="K113">
        <v>0</v>
      </c>
      <c r="L113">
        <v>0</v>
      </c>
      <c r="N113">
        <v>0</v>
      </c>
      <c r="P113">
        <v>0</v>
      </c>
      <c r="Q113">
        <v>0</v>
      </c>
      <c r="R113">
        <v>0</v>
      </c>
      <c r="S113">
        <v>0</v>
      </c>
      <c r="T113">
        <v>0</v>
      </c>
      <c r="U113">
        <v>0</v>
      </c>
      <c r="V113">
        <v>0</v>
      </c>
      <c r="W113">
        <v>0</v>
      </c>
      <c r="X113">
        <v>0</v>
      </c>
      <c r="Y113">
        <v>0</v>
      </c>
      <c r="Z113">
        <v>0</v>
      </c>
      <c r="AB113">
        <v>0</v>
      </c>
      <c r="AC113">
        <v>0</v>
      </c>
      <c r="AD113">
        <v>0</v>
      </c>
      <c r="AE113">
        <v>0</v>
      </c>
      <c r="AF113">
        <v>0</v>
      </c>
      <c r="AG113">
        <v>0</v>
      </c>
      <c r="AH113">
        <v>0</v>
      </c>
      <c r="AI113">
        <v>0</v>
      </c>
      <c r="AJ113">
        <v>0</v>
      </c>
      <c r="AK113">
        <v>0</v>
      </c>
      <c r="AL113">
        <v>0</v>
      </c>
      <c r="AM113">
        <v>0</v>
      </c>
      <c r="AN113">
        <v>0</v>
      </c>
      <c r="AP113">
        <v>0</v>
      </c>
      <c r="AQ113">
        <v>0</v>
      </c>
      <c r="AR113">
        <v>0</v>
      </c>
      <c r="AT113">
        <v>0</v>
      </c>
      <c r="AU113">
        <v>0</v>
      </c>
      <c r="AV113">
        <v>0</v>
      </c>
      <c r="AX113">
        <v>0</v>
      </c>
      <c r="AY113">
        <v>0</v>
      </c>
      <c r="BA113">
        <v>0</v>
      </c>
      <c r="BB113">
        <v>0</v>
      </c>
      <c r="BD113">
        <v>0</v>
      </c>
      <c r="BE113">
        <v>0</v>
      </c>
      <c r="BH113">
        <v>0</v>
      </c>
      <c r="BI113">
        <v>0</v>
      </c>
      <c r="BJ113">
        <v>0</v>
      </c>
      <c r="BK113">
        <v>0</v>
      </c>
      <c r="BL113">
        <v>0</v>
      </c>
      <c r="BM113">
        <v>0</v>
      </c>
      <c r="BN113">
        <v>0</v>
      </c>
      <c r="BO113">
        <v>0</v>
      </c>
      <c r="BP113">
        <v>0</v>
      </c>
      <c r="BQ113">
        <v>0</v>
      </c>
      <c r="BR113">
        <v>0</v>
      </c>
      <c r="BS113">
        <v>0</v>
      </c>
      <c r="BT113">
        <v>0</v>
      </c>
      <c r="BU113">
        <v>0</v>
      </c>
      <c r="BW113">
        <v>0</v>
      </c>
      <c r="BX113">
        <v>0</v>
      </c>
      <c r="BY113">
        <v>0</v>
      </c>
      <c r="BZ113">
        <v>0</v>
      </c>
      <c r="CA113">
        <v>0</v>
      </c>
    </row>
    <row r="114" spans="1:79" x14ac:dyDescent="0.3">
      <c r="A114">
        <v>514</v>
      </c>
      <c r="B114" t="s">
        <v>250</v>
      </c>
      <c r="D114">
        <v>0</v>
      </c>
      <c r="E114">
        <v>0</v>
      </c>
      <c r="G114">
        <v>0</v>
      </c>
      <c r="H114">
        <v>0</v>
      </c>
      <c r="I114">
        <v>0</v>
      </c>
      <c r="J114">
        <v>0</v>
      </c>
      <c r="K114">
        <v>0</v>
      </c>
      <c r="L114">
        <v>0</v>
      </c>
      <c r="N114">
        <v>0</v>
      </c>
      <c r="P114">
        <v>0</v>
      </c>
      <c r="Q114">
        <v>0</v>
      </c>
      <c r="R114">
        <v>0</v>
      </c>
      <c r="S114">
        <v>1000000</v>
      </c>
      <c r="T114">
        <v>0</v>
      </c>
      <c r="U114">
        <v>2746138</v>
      </c>
      <c r="V114">
        <v>0</v>
      </c>
      <c r="W114">
        <v>0</v>
      </c>
      <c r="X114">
        <v>0</v>
      </c>
      <c r="Y114">
        <v>0</v>
      </c>
      <c r="Z114">
        <v>0</v>
      </c>
      <c r="AB114">
        <v>0</v>
      </c>
      <c r="AC114">
        <v>0</v>
      </c>
      <c r="AD114">
        <v>0</v>
      </c>
      <c r="AE114">
        <v>0</v>
      </c>
      <c r="AF114">
        <v>0</v>
      </c>
      <c r="AG114">
        <v>0</v>
      </c>
      <c r="AH114">
        <v>0</v>
      </c>
      <c r="AI114">
        <v>0</v>
      </c>
      <c r="AJ114">
        <v>675877</v>
      </c>
      <c r="AK114">
        <v>0</v>
      </c>
      <c r="AL114">
        <v>0</v>
      </c>
      <c r="AM114">
        <v>0</v>
      </c>
      <c r="AN114">
        <v>0</v>
      </c>
      <c r="AP114">
        <v>0</v>
      </c>
      <c r="AQ114">
        <v>1200000</v>
      </c>
      <c r="AR114">
        <v>0</v>
      </c>
      <c r="AT114">
        <v>0</v>
      </c>
      <c r="AU114">
        <v>30465</v>
      </c>
      <c r="AV114">
        <v>0</v>
      </c>
      <c r="AX114">
        <v>0</v>
      </c>
      <c r="AY114">
        <v>0</v>
      </c>
      <c r="BA114">
        <v>0</v>
      </c>
      <c r="BB114">
        <v>0</v>
      </c>
      <c r="BD114">
        <v>0</v>
      </c>
      <c r="BE114">
        <v>570000</v>
      </c>
      <c r="BH114">
        <v>0</v>
      </c>
      <c r="BI114">
        <v>0</v>
      </c>
      <c r="BJ114">
        <v>0</v>
      </c>
      <c r="BK114">
        <v>0</v>
      </c>
      <c r="BL114">
        <v>0</v>
      </c>
      <c r="BM114">
        <v>0</v>
      </c>
      <c r="BN114">
        <v>0</v>
      </c>
      <c r="BO114">
        <v>0</v>
      </c>
      <c r="BP114">
        <v>0</v>
      </c>
      <c r="BQ114">
        <v>0</v>
      </c>
      <c r="BR114">
        <v>0</v>
      </c>
      <c r="BS114">
        <v>0</v>
      </c>
      <c r="BT114">
        <v>0</v>
      </c>
      <c r="BU114">
        <v>0</v>
      </c>
      <c r="BW114">
        <v>0</v>
      </c>
      <c r="BX114">
        <v>0</v>
      </c>
      <c r="BY114">
        <v>0</v>
      </c>
      <c r="BZ114">
        <v>0</v>
      </c>
      <c r="CA114">
        <v>0</v>
      </c>
    </row>
    <row r="115" spans="1:79" x14ac:dyDescent="0.3">
      <c r="A115">
        <v>515</v>
      </c>
      <c r="B115" t="s">
        <v>262</v>
      </c>
      <c r="D115">
        <v>0</v>
      </c>
      <c r="E115">
        <v>0</v>
      </c>
      <c r="G115">
        <v>115001183</v>
      </c>
      <c r="H115">
        <v>1419157</v>
      </c>
      <c r="I115">
        <v>0</v>
      </c>
      <c r="J115">
        <v>0</v>
      </c>
      <c r="K115">
        <v>54421</v>
      </c>
      <c r="L115">
        <v>23416054</v>
      </c>
      <c r="N115">
        <v>0</v>
      </c>
      <c r="P115">
        <v>0</v>
      </c>
      <c r="Q115">
        <v>432323</v>
      </c>
      <c r="R115">
        <v>494360</v>
      </c>
      <c r="S115">
        <v>14550217</v>
      </c>
      <c r="T115">
        <v>0</v>
      </c>
      <c r="U115">
        <v>41958129</v>
      </c>
      <c r="V115">
        <v>0</v>
      </c>
      <c r="W115">
        <v>0</v>
      </c>
      <c r="X115">
        <v>0</v>
      </c>
      <c r="Y115">
        <v>793162</v>
      </c>
      <c r="Z115">
        <v>0</v>
      </c>
      <c r="AB115">
        <v>0</v>
      </c>
      <c r="AC115">
        <v>0</v>
      </c>
      <c r="AD115">
        <v>0</v>
      </c>
      <c r="AE115">
        <v>219072</v>
      </c>
      <c r="AF115">
        <v>0</v>
      </c>
      <c r="AG115">
        <v>0</v>
      </c>
      <c r="AH115">
        <v>0</v>
      </c>
      <c r="AI115">
        <v>0</v>
      </c>
      <c r="AJ115">
        <v>0</v>
      </c>
      <c r="AK115">
        <v>73000</v>
      </c>
      <c r="AL115">
        <v>0</v>
      </c>
      <c r="AM115">
        <v>0</v>
      </c>
      <c r="AN115">
        <v>0</v>
      </c>
      <c r="AP115">
        <v>0</v>
      </c>
      <c r="AQ115">
        <v>699043</v>
      </c>
      <c r="AR115">
        <v>438864</v>
      </c>
      <c r="AT115">
        <v>267595</v>
      </c>
      <c r="AU115">
        <v>14535668</v>
      </c>
      <c r="AV115">
        <v>108060</v>
      </c>
      <c r="AX115">
        <v>0</v>
      </c>
      <c r="AY115">
        <v>0</v>
      </c>
      <c r="BA115">
        <v>0</v>
      </c>
      <c r="BB115">
        <v>16683</v>
      </c>
      <c r="BD115">
        <v>0</v>
      </c>
      <c r="BE115">
        <v>18580814</v>
      </c>
      <c r="BH115">
        <v>0</v>
      </c>
      <c r="BI115">
        <v>0</v>
      </c>
      <c r="BJ115">
        <v>0</v>
      </c>
      <c r="BK115">
        <v>390955</v>
      </c>
      <c r="BL115">
        <v>7987925</v>
      </c>
      <c r="BM115">
        <v>0</v>
      </c>
      <c r="BN115">
        <v>7538404</v>
      </c>
      <c r="BO115">
        <v>689860</v>
      </c>
      <c r="BP115">
        <v>0</v>
      </c>
      <c r="BQ115">
        <v>364151</v>
      </c>
      <c r="BR115">
        <v>0</v>
      </c>
      <c r="BS115">
        <v>0</v>
      </c>
      <c r="BT115">
        <v>2483050</v>
      </c>
      <c r="BU115">
        <v>0</v>
      </c>
      <c r="BW115">
        <v>0</v>
      </c>
      <c r="BX115">
        <v>0</v>
      </c>
      <c r="BY115">
        <v>0</v>
      </c>
      <c r="BZ115">
        <v>9886196</v>
      </c>
      <c r="CA115">
        <v>0</v>
      </c>
    </row>
    <row r="116" spans="1:79" x14ac:dyDescent="0.3">
      <c r="A116">
        <v>516</v>
      </c>
      <c r="B116" t="s">
        <v>263</v>
      </c>
      <c r="D116">
        <v>0</v>
      </c>
      <c r="E116">
        <v>0</v>
      </c>
      <c r="G116">
        <v>141679268</v>
      </c>
      <c r="H116">
        <v>14716782</v>
      </c>
      <c r="I116">
        <v>1982798</v>
      </c>
      <c r="J116">
        <v>10450708</v>
      </c>
      <c r="K116">
        <v>8137671</v>
      </c>
      <c r="L116">
        <v>151153117</v>
      </c>
      <c r="N116">
        <v>5168694</v>
      </c>
      <c r="P116">
        <v>0</v>
      </c>
      <c r="Q116">
        <v>25982281</v>
      </c>
      <c r="R116">
        <v>40035357</v>
      </c>
      <c r="S116">
        <v>31372624</v>
      </c>
      <c r="T116">
        <v>3487307</v>
      </c>
      <c r="U116">
        <v>68628049</v>
      </c>
      <c r="V116">
        <v>0</v>
      </c>
      <c r="W116">
        <v>0</v>
      </c>
      <c r="X116">
        <v>0</v>
      </c>
      <c r="Y116">
        <v>11119485</v>
      </c>
      <c r="Z116">
        <v>15387508</v>
      </c>
      <c r="AB116">
        <v>0</v>
      </c>
      <c r="AC116">
        <v>983698</v>
      </c>
      <c r="AD116">
        <v>14236357</v>
      </c>
      <c r="AE116">
        <v>19542835</v>
      </c>
      <c r="AF116">
        <v>1286321</v>
      </c>
      <c r="AG116">
        <v>0</v>
      </c>
      <c r="AH116">
        <v>0</v>
      </c>
      <c r="AI116">
        <v>0</v>
      </c>
      <c r="AJ116">
        <v>62333999</v>
      </c>
      <c r="AK116">
        <v>2131288</v>
      </c>
      <c r="AL116">
        <v>0</v>
      </c>
      <c r="AM116">
        <v>0</v>
      </c>
      <c r="AN116">
        <v>93607086</v>
      </c>
      <c r="AP116">
        <v>0</v>
      </c>
      <c r="AQ116">
        <v>73083394</v>
      </c>
      <c r="AR116">
        <v>10133068</v>
      </c>
      <c r="AT116">
        <v>7920453</v>
      </c>
      <c r="AU116">
        <v>48322687</v>
      </c>
      <c r="AV116">
        <v>1742830</v>
      </c>
      <c r="AX116">
        <v>14895210</v>
      </c>
      <c r="AY116">
        <v>17597375</v>
      </c>
      <c r="BA116">
        <v>20457</v>
      </c>
      <c r="BB116">
        <v>790666</v>
      </c>
      <c r="BD116">
        <v>0</v>
      </c>
      <c r="BE116">
        <v>84097604</v>
      </c>
      <c r="BH116">
        <v>11744116</v>
      </c>
      <c r="BI116">
        <v>8266661</v>
      </c>
      <c r="BJ116">
        <v>9540734</v>
      </c>
      <c r="BK116">
        <v>17122640</v>
      </c>
      <c r="BL116">
        <v>2900999</v>
      </c>
      <c r="BM116">
        <v>0</v>
      </c>
      <c r="BN116">
        <v>25258781</v>
      </c>
      <c r="BO116">
        <v>15564246</v>
      </c>
      <c r="BP116">
        <v>15049071</v>
      </c>
      <c r="BQ116">
        <v>7018395</v>
      </c>
      <c r="BR116">
        <v>0</v>
      </c>
      <c r="BS116">
        <v>0</v>
      </c>
      <c r="BT116">
        <v>5109890</v>
      </c>
      <c r="BU116">
        <v>24469024</v>
      </c>
      <c r="BW116">
        <v>2225233</v>
      </c>
      <c r="BX116">
        <v>0</v>
      </c>
      <c r="BY116">
        <v>0</v>
      </c>
      <c r="BZ116">
        <v>74251758</v>
      </c>
      <c r="CA116">
        <v>0</v>
      </c>
    </row>
    <row r="117" spans="1:79" x14ac:dyDescent="0.3">
      <c r="A117">
        <v>517</v>
      </c>
      <c r="B117" t="s">
        <v>264</v>
      </c>
      <c r="D117">
        <v>0</v>
      </c>
      <c r="E117">
        <v>0</v>
      </c>
      <c r="G117">
        <v>0</v>
      </c>
      <c r="H117">
        <v>0</v>
      </c>
      <c r="I117">
        <v>0</v>
      </c>
      <c r="J117">
        <v>0</v>
      </c>
      <c r="K117">
        <v>0</v>
      </c>
      <c r="L117">
        <v>0</v>
      </c>
      <c r="N117">
        <v>0</v>
      </c>
      <c r="P117">
        <v>0</v>
      </c>
      <c r="Q117">
        <v>0</v>
      </c>
      <c r="R117">
        <v>0</v>
      </c>
      <c r="S117">
        <v>0</v>
      </c>
      <c r="T117">
        <v>0</v>
      </c>
      <c r="U117">
        <v>652340</v>
      </c>
      <c r="V117">
        <v>0</v>
      </c>
      <c r="W117">
        <v>0</v>
      </c>
      <c r="X117">
        <v>0</v>
      </c>
      <c r="Y117">
        <v>0</v>
      </c>
      <c r="Z117">
        <v>0</v>
      </c>
      <c r="AB117">
        <v>0</v>
      </c>
      <c r="AC117">
        <v>0</v>
      </c>
      <c r="AD117">
        <v>0</v>
      </c>
      <c r="AE117">
        <v>0</v>
      </c>
      <c r="AF117">
        <v>0</v>
      </c>
      <c r="AG117">
        <v>0</v>
      </c>
      <c r="AH117">
        <v>0</v>
      </c>
      <c r="AI117">
        <v>0</v>
      </c>
      <c r="AJ117">
        <v>0</v>
      </c>
      <c r="AK117">
        <v>0</v>
      </c>
      <c r="AL117">
        <v>0</v>
      </c>
      <c r="AM117">
        <v>0</v>
      </c>
      <c r="AN117">
        <v>0</v>
      </c>
      <c r="AP117">
        <v>0</v>
      </c>
      <c r="AQ117">
        <v>0</v>
      </c>
      <c r="AR117">
        <v>56277</v>
      </c>
      <c r="AT117">
        <v>0</v>
      </c>
      <c r="AU117">
        <v>0</v>
      </c>
      <c r="AV117">
        <v>0</v>
      </c>
      <c r="AX117">
        <v>0</v>
      </c>
      <c r="AY117">
        <v>0</v>
      </c>
      <c r="BA117">
        <v>0</v>
      </c>
      <c r="BB117">
        <v>6492801</v>
      </c>
      <c r="BD117">
        <v>0</v>
      </c>
      <c r="BE117">
        <v>0</v>
      </c>
      <c r="BH117">
        <v>0</v>
      </c>
      <c r="BI117">
        <v>0</v>
      </c>
      <c r="BJ117">
        <v>0</v>
      </c>
      <c r="BK117">
        <v>0</v>
      </c>
      <c r="BL117">
        <v>0</v>
      </c>
      <c r="BM117">
        <v>0</v>
      </c>
      <c r="BN117">
        <v>0</v>
      </c>
      <c r="BO117">
        <v>0</v>
      </c>
      <c r="BP117">
        <v>0</v>
      </c>
      <c r="BQ117">
        <v>0</v>
      </c>
      <c r="BR117">
        <v>0</v>
      </c>
      <c r="BS117">
        <v>0</v>
      </c>
      <c r="BT117">
        <v>0</v>
      </c>
      <c r="BU117">
        <v>0</v>
      </c>
      <c r="BW117">
        <v>0</v>
      </c>
      <c r="BX117">
        <v>0</v>
      </c>
      <c r="BY117">
        <v>0</v>
      </c>
      <c r="BZ117">
        <v>0</v>
      </c>
      <c r="CA117">
        <v>0</v>
      </c>
    </row>
    <row r="118" spans="1:79" x14ac:dyDescent="0.3">
      <c r="A118">
        <v>518</v>
      </c>
      <c r="B118" t="s">
        <v>265</v>
      </c>
      <c r="D118">
        <v>0</v>
      </c>
      <c r="E118">
        <v>0</v>
      </c>
      <c r="G118">
        <v>10759248</v>
      </c>
      <c r="H118">
        <v>12396367</v>
      </c>
      <c r="I118">
        <v>274147</v>
      </c>
      <c r="J118">
        <v>432597</v>
      </c>
      <c r="K118">
        <v>20143</v>
      </c>
      <c r="L118">
        <v>6440137</v>
      </c>
      <c r="N118">
        <v>496033</v>
      </c>
      <c r="P118">
        <v>0</v>
      </c>
      <c r="Q118">
        <v>6845632</v>
      </c>
      <c r="R118">
        <v>2123069</v>
      </c>
      <c r="S118">
        <v>65421424</v>
      </c>
      <c r="T118">
        <v>0</v>
      </c>
      <c r="U118">
        <v>7224428</v>
      </c>
      <c r="V118">
        <v>0</v>
      </c>
      <c r="W118">
        <v>0</v>
      </c>
      <c r="X118">
        <v>0</v>
      </c>
      <c r="Y118">
        <v>1244782</v>
      </c>
      <c r="Z118">
        <v>1688576</v>
      </c>
      <c r="AB118">
        <v>0</v>
      </c>
      <c r="AC118">
        <v>60562</v>
      </c>
      <c r="AD118">
        <v>783640</v>
      </c>
      <c r="AE118">
        <v>1754191</v>
      </c>
      <c r="AF118">
        <v>17589</v>
      </c>
      <c r="AG118">
        <v>0</v>
      </c>
      <c r="AH118">
        <v>0</v>
      </c>
      <c r="AI118">
        <v>0</v>
      </c>
      <c r="AJ118">
        <v>6291084</v>
      </c>
      <c r="AK118">
        <v>114997</v>
      </c>
      <c r="AL118">
        <v>0</v>
      </c>
      <c r="AM118">
        <v>0</v>
      </c>
      <c r="AN118">
        <v>5363450</v>
      </c>
      <c r="AP118">
        <v>0</v>
      </c>
      <c r="AQ118">
        <v>4778668</v>
      </c>
      <c r="AR118">
        <v>807146</v>
      </c>
      <c r="AT118">
        <v>1245292</v>
      </c>
      <c r="AU118">
        <v>11898143</v>
      </c>
      <c r="AV118">
        <v>20574</v>
      </c>
      <c r="AX118">
        <v>454236</v>
      </c>
      <c r="AY118">
        <v>625740</v>
      </c>
      <c r="BA118">
        <v>0</v>
      </c>
      <c r="BB118">
        <v>713212</v>
      </c>
      <c r="BD118">
        <v>0</v>
      </c>
      <c r="BE118">
        <v>16808026</v>
      </c>
      <c r="BH118">
        <v>1040279</v>
      </c>
      <c r="BI118">
        <v>526605</v>
      </c>
      <c r="BJ118">
        <v>402945</v>
      </c>
      <c r="BK118">
        <v>2238130</v>
      </c>
      <c r="BL118">
        <v>755942</v>
      </c>
      <c r="BM118">
        <v>0</v>
      </c>
      <c r="BN118">
        <v>5285329</v>
      </c>
      <c r="BO118">
        <v>576511</v>
      </c>
      <c r="BP118">
        <v>226405</v>
      </c>
      <c r="BQ118">
        <v>870205</v>
      </c>
      <c r="BR118">
        <v>0</v>
      </c>
      <c r="BS118">
        <v>0</v>
      </c>
      <c r="BT118">
        <v>1983749</v>
      </c>
      <c r="BU118">
        <v>1273262</v>
      </c>
      <c r="BW118">
        <v>0</v>
      </c>
      <c r="BX118">
        <v>0</v>
      </c>
      <c r="BY118">
        <v>0</v>
      </c>
      <c r="BZ118">
        <v>3233461</v>
      </c>
      <c r="CA118">
        <v>0</v>
      </c>
    </row>
    <row r="119" spans="1:79" x14ac:dyDescent="0.3">
      <c r="A119">
        <v>519</v>
      </c>
      <c r="B119" t="s">
        <v>266</v>
      </c>
      <c r="D119">
        <v>0</v>
      </c>
      <c r="E119">
        <v>0</v>
      </c>
      <c r="G119">
        <v>2660189</v>
      </c>
      <c r="H119">
        <v>35126</v>
      </c>
      <c r="I119">
        <v>0</v>
      </c>
      <c r="J119">
        <v>0</v>
      </c>
      <c r="K119">
        <v>1361</v>
      </c>
      <c r="L119">
        <v>369002</v>
      </c>
      <c r="N119">
        <v>0</v>
      </c>
      <c r="P119">
        <v>0</v>
      </c>
      <c r="Q119">
        <v>2682</v>
      </c>
      <c r="R119">
        <v>8520</v>
      </c>
      <c r="S119">
        <v>160878</v>
      </c>
      <c r="T119">
        <v>0</v>
      </c>
      <c r="U119">
        <v>980349</v>
      </c>
      <c r="V119">
        <v>0</v>
      </c>
      <c r="W119">
        <v>0</v>
      </c>
      <c r="X119">
        <v>0</v>
      </c>
      <c r="Y119">
        <v>19829</v>
      </c>
      <c r="Z119">
        <v>0</v>
      </c>
      <c r="AB119">
        <v>0</v>
      </c>
      <c r="AC119">
        <v>0</v>
      </c>
      <c r="AD119">
        <v>0</v>
      </c>
      <c r="AE119">
        <v>7557</v>
      </c>
      <c r="AF119">
        <v>0</v>
      </c>
      <c r="AG119">
        <v>0</v>
      </c>
      <c r="AH119">
        <v>0</v>
      </c>
      <c r="AI119">
        <v>0</v>
      </c>
      <c r="AJ119">
        <v>0</v>
      </c>
      <c r="AK119">
        <v>0</v>
      </c>
      <c r="AL119">
        <v>0</v>
      </c>
      <c r="AM119">
        <v>0</v>
      </c>
      <c r="AN119">
        <v>0</v>
      </c>
      <c r="AP119">
        <v>0</v>
      </c>
      <c r="AQ119">
        <v>11071</v>
      </c>
      <c r="AR119">
        <v>11919</v>
      </c>
      <c r="AT119">
        <v>8454</v>
      </c>
      <c r="AU119">
        <v>332034</v>
      </c>
      <c r="AV119">
        <v>2548</v>
      </c>
      <c r="AX119">
        <v>0</v>
      </c>
      <c r="AY119">
        <v>0</v>
      </c>
      <c r="BA119">
        <v>0</v>
      </c>
      <c r="BB119">
        <v>0</v>
      </c>
      <c r="BD119">
        <v>0</v>
      </c>
      <c r="BE119">
        <v>242254</v>
      </c>
      <c r="BH119">
        <v>0</v>
      </c>
      <c r="BI119">
        <v>0</v>
      </c>
      <c r="BJ119">
        <v>0</v>
      </c>
      <c r="BK119">
        <v>29563</v>
      </c>
      <c r="BL119">
        <v>197838</v>
      </c>
      <c r="BM119">
        <v>0</v>
      </c>
      <c r="BN119">
        <v>132300</v>
      </c>
      <c r="BO119">
        <v>16727</v>
      </c>
      <c r="BP119">
        <v>0</v>
      </c>
      <c r="BQ119">
        <v>9546</v>
      </c>
      <c r="BR119">
        <v>0</v>
      </c>
      <c r="BS119">
        <v>0</v>
      </c>
      <c r="BT119">
        <v>98588</v>
      </c>
      <c r="BU119">
        <v>0</v>
      </c>
      <c r="BW119">
        <v>0</v>
      </c>
      <c r="BX119">
        <v>0</v>
      </c>
      <c r="BY119">
        <v>0</v>
      </c>
      <c r="BZ119">
        <v>217141</v>
      </c>
      <c r="CA119">
        <v>0</v>
      </c>
    </row>
    <row r="120" spans="1:79" x14ac:dyDescent="0.3">
      <c r="A120">
        <v>520</v>
      </c>
      <c r="B120" t="s">
        <v>267</v>
      </c>
      <c r="D120">
        <v>0</v>
      </c>
      <c r="E120">
        <v>0</v>
      </c>
      <c r="G120">
        <v>5361790</v>
      </c>
      <c r="H120">
        <v>281059</v>
      </c>
      <c r="I120">
        <v>20229</v>
      </c>
      <c r="J120">
        <v>210032</v>
      </c>
      <c r="K120">
        <v>157933</v>
      </c>
      <c r="L120">
        <v>2823339</v>
      </c>
      <c r="N120">
        <v>102980</v>
      </c>
      <c r="P120">
        <v>0</v>
      </c>
      <c r="Q120">
        <v>450829</v>
      </c>
      <c r="R120">
        <v>932434</v>
      </c>
      <c r="S120">
        <v>1124790</v>
      </c>
      <c r="T120">
        <v>89418</v>
      </c>
      <c r="U120">
        <v>1473490</v>
      </c>
      <c r="V120">
        <v>0</v>
      </c>
      <c r="W120">
        <v>0</v>
      </c>
      <c r="X120">
        <v>0</v>
      </c>
      <c r="Y120">
        <v>325377</v>
      </c>
      <c r="Z120">
        <v>294252</v>
      </c>
      <c r="AB120">
        <v>0</v>
      </c>
      <c r="AC120">
        <v>12704</v>
      </c>
      <c r="AD120">
        <v>221883</v>
      </c>
      <c r="AE120">
        <v>415446</v>
      </c>
      <c r="AF120">
        <v>26968</v>
      </c>
      <c r="AG120">
        <v>0</v>
      </c>
      <c r="AH120">
        <v>0</v>
      </c>
      <c r="AI120">
        <v>0</v>
      </c>
      <c r="AJ120">
        <v>1457131</v>
      </c>
      <c r="AK120">
        <v>44598</v>
      </c>
      <c r="AL120">
        <v>0</v>
      </c>
      <c r="AM120">
        <v>0</v>
      </c>
      <c r="AN120">
        <v>1073869</v>
      </c>
      <c r="AP120">
        <v>0</v>
      </c>
      <c r="AQ120">
        <v>1038447</v>
      </c>
      <c r="AR120">
        <v>196964</v>
      </c>
      <c r="AT120">
        <v>257049</v>
      </c>
      <c r="AU120">
        <v>1089943</v>
      </c>
      <c r="AV120">
        <v>39749</v>
      </c>
      <c r="AX120">
        <v>293765</v>
      </c>
      <c r="AY120">
        <v>290521</v>
      </c>
      <c r="BA120">
        <v>0</v>
      </c>
      <c r="BB120">
        <v>44395</v>
      </c>
      <c r="BD120">
        <v>0</v>
      </c>
      <c r="BE120">
        <v>1499961</v>
      </c>
      <c r="BH120">
        <v>210887</v>
      </c>
      <c r="BI120">
        <v>167150</v>
      </c>
      <c r="BJ120">
        <v>260277</v>
      </c>
      <c r="BK120">
        <v>323239</v>
      </c>
      <c r="BL120">
        <v>38477</v>
      </c>
      <c r="BM120">
        <v>0</v>
      </c>
      <c r="BN120">
        <v>570071</v>
      </c>
      <c r="BO120">
        <v>297341</v>
      </c>
      <c r="BP120">
        <v>303891</v>
      </c>
      <c r="BQ120">
        <v>367159</v>
      </c>
      <c r="BR120">
        <v>0</v>
      </c>
      <c r="BS120">
        <v>0</v>
      </c>
      <c r="BT120">
        <v>102308</v>
      </c>
      <c r="BU120">
        <v>478361</v>
      </c>
      <c r="BW120">
        <v>45215</v>
      </c>
      <c r="BX120">
        <v>0</v>
      </c>
      <c r="BY120">
        <v>0</v>
      </c>
      <c r="BZ120">
        <v>1501268</v>
      </c>
      <c r="CA120">
        <v>0</v>
      </c>
    </row>
    <row r="121" spans="1:79" x14ac:dyDescent="0.3">
      <c r="A121">
        <v>521</v>
      </c>
      <c r="B121" t="s">
        <v>268</v>
      </c>
      <c r="D121">
        <v>0</v>
      </c>
      <c r="E121">
        <v>0</v>
      </c>
      <c r="G121">
        <v>0</v>
      </c>
      <c r="H121">
        <v>0</v>
      </c>
      <c r="I121">
        <v>0</v>
      </c>
      <c r="J121">
        <v>0</v>
      </c>
      <c r="K121">
        <v>0</v>
      </c>
      <c r="L121">
        <v>0</v>
      </c>
      <c r="N121">
        <v>0</v>
      </c>
      <c r="P121">
        <v>0</v>
      </c>
      <c r="Q121">
        <v>0</v>
      </c>
      <c r="R121">
        <v>0</v>
      </c>
      <c r="S121">
        <v>0</v>
      </c>
      <c r="T121">
        <v>0</v>
      </c>
      <c r="U121">
        <v>30509</v>
      </c>
      <c r="V121">
        <v>0</v>
      </c>
      <c r="W121">
        <v>0</v>
      </c>
      <c r="X121">
        <v>0</v>
      </c>
      <c r="Y121">
        <v>0</v>
      </c>
      <c r="Z121">
        <v>0</v>
      </c>
      <c r="AB121">
        <v>0</v>
      </c>
      <c r="AC121">
        <v>0</v>
      </c>
      <c r="AD121">
        <v>0</v>
      </c>
      <c r="AE121">
        <v>0</v>
      </c>
      <c r="AF121">
        <v>0</v>
      </c>
      <c r="AG121">
        <v>0</v>
      </c>
      <c r="AH121">
        <v>0</v>
      </c>
      <c r="AI121">
        <v>0</v>
      </c>
      <c r="AJ121">
        <v>0</v>
      </c>
      <c r="AK121">
        <v>0</v>
      </c>
      <c r="AL121">
        <v>0</v>
      </c>
      <c r="AM121">
        <v>0</v>
      </c>
      <c r="AN121">
        <v>0</v>
      </c>
      <c r="AP121">
        <v>0</v>
      </c>
      <c r="AQ121">
        <v>0</v>
      </c>
      <c r="AR121">
        <v>1838</v>
      </c>
      <c r="AT121">
        <v>0</v>
      </c>
      <c r="AU121">
        <v>0</v>
      </c>
      <c r="AV121">
        <v>0</v>
      </c>
      <c r="AX121">
        <v>0</v>
      </c>
      <c r="AY121">
        <v>0</v>
      </c>
      <c r="BA121">
        <v>0</v>
      </c>
      <c r="BB121">
        <v>94647</v>
      </c>
      <c r="BD121">
        <v>0</v>
      </c>
      <c r="BE121">
        <v>0</v>
      </c>
      <c r="BH121">
        <v>0</v>
      </c>
      <c r="BI121">
        <v>0</v>
      </c>
      <c r="BJ121">
        <v>0</v>
      </c>
      <c r="BK121">
        <v>0</v>
      </c>
      <c r="BL121">
        <v>0</v>
      </c>
      <c r="BM121">
        <v>0</v>
      </c>
      <c r="BN121">
        <v>0</v>
      </c>
      <c r="BO121">
        <v>0</v>
      </c>
      <c r="BP121">
        <v>0</v>
      </c>
      <c r="BQ121">
        <v>0</v>
      </c>
      <c r="BR121">
        <v>0</v>
      </c>
      <c r="BS121">
        <v>0</v>
      </c>
      <c r="BT121">
        <v>0</v>
      </c>
      <c r="BU121">
        <v>0</v>
      </c>
      <c r="BW121">
        <v>0</v>
      </c>
      <c r="BX121">
        <v>0</v>
      </c>
      <c r="BY121">
        <v>0</v>
      </c>
      <c r="BZ121">
        <v>0</v>
      </c>
      <c r="CA121">
        <v>0</v>
      </c>
    </row>
    <row r="122" spans="1:79" x14ac:dyDescent="0.3">
      <c r="A122">
        <v>522</v>
      </c>
      <c r="B122" t="s">
        <v>269</v>
      </c>
      <c r="D122">
        <v>0</v>
      </c>
      <c r="E122">
        <v>0</v>
      </c>
      <c r="G122">
        <v>507344</v>
      </c>
      <c r="H122">
        <v>424066</v>
      </c>
      <c r="I122">
        <v>20368</v>
      </c>
      <c r="J122">
        <v>23079</v>
      </c>
      <c r="K122">
        <v>1592</v>
      </c>
      <c r="L122">
        <v>473615</v>
      </c>
      <c r="N122">
        <v>27950</v>
      </c>
      <c r="P122">
        <v>0</v>
      </c>
      <c r="Q122">
        <v>244638</v>
      </c>
      <c r="R122">
        <v>95465</v>
      </c>
      <c r="S122">
        <v>1678795</v>
      </c>
      <c r="T122">
        <v>0</v>
      </c>
      <c r="U122">
        <v>424830</v>
      </c>
      <c r="V122">
        <v>0</v>
      </c>
      <c r="W122">
        <v>0</v>
      </c>
      <c r="X122">
        <v>0</v>
      </c>
      <c r="Y122">
        <v>53815</v>
      </c>
      <c r="Z122">
        <v>57446</v>
      </c>
      <c r="AB122">
        <v>0</v>
      </c>
      <c r="AC122">
        <v>958</v>
      </c>
      <c r="AD122">
        <v>51355</v>
      </c>
      <c r="AE122">
        <v>151638</v>
      </c>
      <c r="AF122">
        <v>0</v>
      </c>
      <c r="AG122">
        <v>0</v>
      </c>
      <c r="AH122">
        <v>0</v>
      </c>
      <c r="AI122">
        <v>0</v>
      </c>
      <c r="AJ122">
        <v>286455</v>
      </c>
      <c r="AK122">
        <v>1096</v>
      </c>
      <c r="AL122">
        <v>0</v>
      </c>
      <c r="AM122">
        <v>0</v>
      </c>
      <c r="AN122">
        <v>782944</v>
      </c>
      <c r="AP122">
        <v>0</v>
      </c>
      <c r="AQ122">
        <v>403266</v>
      </c>
      <c r="AR122">
        <v>32204</v>
      </c>
      <c r="AT122">
        <v>87288</v>
      </c>
      <c r="AU122">
        <v>550405</v>
      </c>
      <c r="AV122">
        <v>0</v>
      </c>
      <c r="AX122">
        <v>42995</v>
      </c>
      <c r="AY122">
        <v>27586</v>
      </c>
      <c r="BA122">
        <v>0</v>
      </c>
      <c r="BB122">
        <v>24936</v>
      </c>
      <c r="BD122">
        <v>0</v>
      </c>
      <c r="BE122">
        <v>300164</v>
      </c>
      <c r="BH122">
        <v>8536</v>
      </c>
      <c r="BI122">
        <v>19310</v>
      </c>
      <c r="BJ122">
        <v>24224</v>
      </c>
      <c r="BK122">
        <v>67504</v>
      </c>
      <c r="BL122">
        <v>53412</v>
      </c>
      <c r="BM122">
        <v>0</v>
      </c>
      <c r="BN122">
        <v>214557</v>
      </c>
      <c r="BO122">
        <v>24583</v>
      </c>
      <c r="BP122">
        <v>17059</v>
      </c>
      <c r="BQ122">
        <v>67279</v>
      </c>
      <c r="BR122">
        <v>0</v>
      </c>
      <c r="BS122">
        <v>0</v>
      </c>
      <c r="BT122">
        <v>33419</v>
      </c>
      <c r="BU122">
        <v>79460</v>
      </c>
      <c r="BW122">
        <v>0</v>
      </c>
      <c r="BX122">
        <v>0</v>
      </c>
      <c r="BY122">
        <v>0</v>
      </c>
      <c r="BZ122">
        <v>566450</v>
      </c>
      <c r="CA122">
        <v>0</v>
      </c>
    </row>
    <row r="123" spans="1:79" x14ac:dyDescent="0.3">
      <c r="A123">
        <v>523</v>
      </c>
      <c r="B123" t="s">
        <v>270</v>
      </c>
      <c r="D123">
        <v>0</v>
      </c>
      <c r="E123">
        <v>0</v>
      </c>
      <c r="G123">
        <v>97854883</v>
      </c>
      <c r="H123">
        <v>257182</v>
      </c>
      <c r="I123">
        <v>0</v>
      </c>
      <c r="J123">
        <v>0</v>
      </c>
      <c r="K123">
        <v>14438</v>
      </c>
      <c r="L123">
        <v>12045785</v>
      </c>
      <c r="N123">
        <v>0</v>
      </c>
      <c r="P123">
        <v>0</v>
      </c>
      <c r="Q123">
        <v>396520</v>
      </c>
      <c r="R123">
        <v>344741</v>
      </c>
      <c r="S123">
        <v>13253326</v>
      </c>
      <c r="T123">
        <v>0</v>
      </c>
      <c r="U123">
        <v>17582656</v>
      </c>
      <c r="V123">
        <v>0</v>
      </c>
      <c r="W123">
        <v>0</v>
      </c>
      <c r="X123">
        <v>0</v>
      </c>
      <c r="Y123">
        <v>173326</v>
      </c>
      <c r="Z123">
        <v>0</v>
      </c>
      <c r="AB123">
        <v>0</v>
      </c>
      <c r="AC123">
        <v>0</v>
      </c>
      <c r="AD123">
        <v>0</v>
      </c>
      <c r="AE123">
        <v>143492</v>
      </c>
      <c r="AF123">
        <v>0</v>
      </c>
      <c r="AG123">
        <v>0</v>
      </c>
      <c r="AH123">
        <v>0</v>
      </c>
      <c r="AI123">
        <v>0</v>
      </c>
      <c r="AJ123">
        <v>0</v>
      </c>
      <c r="AK123">
        <v>73000</v>
      </c>
      <c r="AL123">
        <v>0</v>
      </c>
      <c r="AM123">
        <v>0</v>
      </c>
      <c r="AN123">
        <v>0</v>
      </c>
      <c r="AP123">
        <v>0</v>
      </c>
      <c r="AQ123">
        <v>195494</v>
      </c>
      <c r="AR123">
        <v>367908</v>
      </c>
      <c r="AT123">
        <v>192811</v>
      </c>
      <c r="AU123">
        <v>8249318</v>
      </c>
      <c r="AV123">
        <v>80213</v>
      </c>
      <c r="AX123">
        <v>0</v>
      </c>
      <c r="AY123">
        <v>0</v>
      </c>
      <c r="BA123">
        <v>0</v>
      </c>
      <c r="BB123">
        <v>16683</v>
      </c>
      <c r="BD123">
        <v>0</v>
      </c>
      <c r="BE123">
        <v>9560564</v>
      </c>
      <c r="BH123">
        <v>0</v>
      </c>
      <c r="BI123">
        <v>0</v>
      </c>
      <c r="BJ123">
        <v>0</v>
      </c>
      <c r="BK123">
        <v>91239</v>
      </c>
      <c r="BL123">
        <v>4689989</v>
      </c>
      <c r="BM123">
        <v>0</v>
      </c>
      <c r="BN123">
        <v>5630055</v>
      </c>
      <c r="BO123">
        <v>242030</v>
      </c>
      <c r="BP123">
        <v>0</v>
      </c>
      <c r="BQ123">
        <v>265992</v>
      </c>
      <c r="BR123">
        <v>0</v>
      </c>
      <c r="BS123">
        <v>0</v>
      </c>
      <c r="BT123">
        <v>577729</v>
      </c>
      <c r="BU123">
        <v>0</v>
      </c>
      <c r="BW123">
        <v>0</v>
      </c>
      <c r="BX123">
        <v>0</v>
      </c>
      <c r="BY123">
        <v>0</v>
      </c>
      <c r="BZ123">
        <v>4277710</v>
      </c>
      <c r="CA123">
        <v>0</v>
      </c>
    </row>
    <row r="124" spans="1:79" x14ac:dyDescent="0.3">
      <c r="A124">
        <v>524</v>
      </c>
      <c r="B124" t="s">
        <v>271</v>
      </c>
      <c r="D124">
        <v>0</v>
      </c>
      <c r="E124">
        <v>0</v>
      </c>
      <c r="G124">
        <v>97450952</v>
      </c>
      <c r="H124">
        <v>7426648</v>
      </c>
      <c r="I124">
        <v>1670128</v>
      </c>
      <c r="J124">
        <v>6142511</v>
      </c>
      <c r="K124">
        <v>3087923</v>
      </c>
      <c r="L124">
        <v>46639740</v>
      </c>
      <c r="N124">
        <v>3715235</v>
      </c>
      <c r="P124">
        <v>0</v>
      </c>
      <c r="Q124">
        <v>11649864</v>
      </c>
      <c r="R124">
        <v>17867510</v>
      </c>
      <c r="S124">
        <v>9757295</v>
      </c>
      <c r="T124">
        <v>1420392</v>
      </c>
      <c r="U124">
        <v>40426432</v>
      </c>
      <c r="V124">
        <v>0</v>
      </c>
      <c r="W124">
        <v>0</v>
      </c>
      <c r="X124">
        <v>0</v>
      </c>
      <c r="Y124">
        <v>5030444</v>
      </c>
      <c r="Z124">
        <v>9681642</v>
      </c>
      <c r="AB124">
        <v>0</v>
      </c>
      <c r="AC124">
        <v>730132</v>
      </c>
      <c r="AD124">
        <v>7290596</v>
      </c>
      <c r="AE124">
        <v>9860251</v>
      </c>
      <c r="AF124">
        <v>753822</v>
      </c>
      <c r="AG124">
        <v>0</v>
      </c>
      <c r="AH124">
        <v>0</v>
      </c>
      <c r="AI124">
        <v>0</v>
      </c>
      <c r="AJ124">
        <v>28390231</v>
      </c>
      <c r="AK124">
        <v>872025</v>
      </c>
      <c r="AL124">
        <v>0</v>
      </c>
      <c r="AM124">
        <v>0</v>
      </c>
      <c r="AN124">
        <v>32030454</v>
      </c>
      <c r="AP124">
        <v>0</v>
      </c>
      <c r="AQ124">
        <v>42225041</v>
      </c>
      <c r="AR124">
        <v>6524031</v>
      </c>
      <c r="AT124">
        <v>3882070</v>
      </c>
      <c r="AU124">
        <v>33122046</v>
      </c>
      <c r="AV124">
        <v>1327502</v>
      </c>
      <c r="AX124">
        <v>5590295</v>
      </c>
      <c r="AY124">
        <v>10996852</v>
      </c>
      <c r="BA124">
        <v>20457</v>
      </c>
      <c r="BB124">
        <v>610728</v>
      </c>
      <c r="BD124">
        <v>0</v>
      </c>
      <c r="BE124">
        <v>34005885</v>
      </c>
      <c r="BH124">
        <v>7876736</v>
      </c>
      <c r="BI124">
        <v>3580685</v>
      </c>
      <c r="BJ124">
        <v>4484726</v>
      </c>
      <c r="BK124">
        <v>10960013</v>
      </c>
      <c r="BL124">
        <v>2290633</v>
      </c>
      <c r="BM124">
        <v>0</v>
      </c>
      <c r="BN124">
        <v>11505567</v>
      </c>
      <c r="BO124">
        <v>8085517</v>
      </c>
      <c r="BP124">
        <v>8307125</v>
      </c>
      <c r="BQ124">
        <v>2961805</v>
      </c>
      <c r="BR124">
        <v>0</v>
      </c>
      <c r="BS124">
        <v>0</v>
      </c>
      <c r="BT124">
        <v>1705713</v>
      </c>
      <c r="BU124">
        <v>11330926</v>
      </c>
      <c r="BW124">
        <v>602457</v>
      </c>
      <c r="BX124">
        <v>0</v>
      </c>
      <c r="BY124">
        <v>0</v>
      </c>
      <c r="BZ124">
        <v>20406301</v>
      </c>
      <c r="CA124">
        <v>0</v>
      </c>
    </row>
    <row r="125" spans="1:79" x14ac:dyDescent="0.3">
      <c r="A125">
        <v>525</v>
      </c>
      <c r="B125" t="s">
        <v>272</v>
      </c>
      <c r="D125">
        <v>0</v>
      </c>
      <c r="E125">
        <v>0</v>
      </c>
      <c r="G125">
        <v>0</v>
      </c>
      <c r="H125">
        <v>0</v>
      </c>
      <c r="I125">
        <v>0</v>
      </c>
      <c r="J125">
        <v>0</v>
      </c>
      <c r="K125">
        <v>0</v>
      </c>
      <c r="L125">
        <v>0</v>
      </c>
      <c r="N125">
        <v>0</v>
      </c>
      <c r="P125">
        <v>0</v>
      </c>
      <c r="Q125">
        <v>0</v>
      </c>
      <c r="R125">
        <v>0</v>
      </c>
      <c r="S125">
        <v>0</v>
      </c>
      <c r="T125">
        <v>0</v>
      </c>
      <c r="U125">
        <v>281460</v>
      </c>
      <c r="V125">
        <v>0</v>
      </c>
      <c r="W125">
        <v>0</v>
      </c>
      <c r="X125">
        <v>0</v>
      </c>
      <c r="Y125">
        <v>0</v>
      </c>
      <c r="Z125">
        <v>0</v>
      </c>
      <c r="AB125">
        <v>0</v>
      </c>
      <c r="AC125">
        <v>0</v>
      </c>
      <c r="AD125">
        <v>0</v>
      </c>
      <c r="AE125">
        <v>0</v>
      </c>
      <c r="AF125">
        <v>0</v>
      </c>
      <c r="AG125">
        <v>0</v>
      </c>
      <c r="AH125">
        <v>0</v>
      </c>
      <c r="AI125">
        <v>0</v>
      </c>
      <c r="AJ125">
        <v>0</v>
      </c>
      <c r="AK125">
        <v>0</v>
      </c>
      <c r="AL125">
        <v>0</v>
      </c>
      <c r="AM125">
        <v>0</v>
      </c>
      <c r="AN125">
        <v>0</v>
      </c>
      <c r="AP125">
        <v>0</v>
      </c>
      <c r="AQ125">
        <v>0</v>
      </c>
      <c r="AR125">
        <v>55027</v>
      </c>
      <c r="AT125">
        <v>0</v>
      </c>
      <c r="AU125">
        <v>0</v>
      </c>
      <c r="AV125">
        <v>0</v>
      </c>
      <c r="AX125">
        <v>0</v>
      </c>
      <c r="AY125">
        <v>0</v>
      </c>
      <c r="BA125">
        <v>0</v>
      </c>
      <c r="BB125">
        <v>4308304</v>
      </c>
      <c r="BD125">
        <v>0</v>
      </c>
      <c r="BE125">
        <v>0</v>
      </c>
      <c r="BH125">
        <v>0</v>
      </c>
      <c r="BI125">
        <v>0</v>
      </c>
      <c r="BJ125">
        <v>0</v>
      </c>
      <c r="BK125">
        <v>0</v>
      </c>
      <c r="BL125">
        <v>0</v>
      </c>
      <c r="BM125">
        <v>0</v>
      </c>
      <c r="BN125">
        <v>0</v>
      </c>
      <c r="BO125">
        <v>0</v>
      </c>
      <c r="BP125">
        <v>0</v>
      </c>
      <c r="BQ125">
        <v>0</v>
      </c>
      <c r="BR125">
        <v>0</v>
      </c>
      <c r="BS125">
        <v>0</v>
      </c>
      <c r="BT125">
        <v>0</v>
      </c>
      <c r="BU125">
        <v>0</v>
      </c>
      <c r="BW125">
        <v>0</v>
      </c>
      <c r="BX125">
        <v>0</v>
      </c>
      <c r="BY125">
        <v>0</v>
      </c>
      <c r="BZ125">
        <v>0</v>
      </c>
      <c r="CA125">
        <v>0</v>
      </c>
    </row>
    <row r="126" spans="1:79" x14ac:dyDescent="0.3">
      <c r="A126">
        <v>526</v>
      </c>
      <c r="B126" t="s">
        <v>273</v>
      </c>
      <c r="D126">
        <v>0</v>
      </c>
      <c r="E126">
        <v>0</v>
      </c>
      <c r="G126">
        <v>9600062</v>
      </c>
      <c r="H126">
        <v>5380414</v>
      </c>
      <c r="I126">
        <v>100514</v>
      </c>
      <c r="J126">
        <v>310430</v>
      </c>
      <c r="K126">
        <v>19346</v>
      </c>
      <c r="L126">
        <v>4349236</v>
      </c>
      <c r="N126">
        <v>451735</v>
      </c>
      <c r="P126">
        <v>0</v>
      </c>
      <c r="Q126">
        <v>5009954</v>
      </c>
      <c r="R126">
        <v>1773175</v>
      </c>
      <c r="S126">
        <v>48553919</v>
      </c>
      <c r="T126">
        <v>0</v>
      </c>
      <c r="U126">
        <v>6316914</v>
      </c>
      <c r="V126">
        <v>0</v>
      </c>
      <c r="W126">
        <v>0</v>
      </c>
      <c r="X126">
        <v>0</v>
      </c>
      <c r="Y126">
        <v>888242</v>
      </c>
      <c r="Z126">
        <v>1086274</v>
      </c>
      <c r="AB126">
        <v>0</v>
      </c>
      <c r="AC126">
        <v>51925</v>
      </c>
      <c r="AD126">
        <v>452961</v>
      </c>
      <c r="AE126">
        <v>1317843</v>
      </c>
      <c r="AF126">
        <v>11131</v>
      </c>
      <c r="AG126">
        <v>0</v>
      </c>
      <c r="AH126">
        <v>0</v>
      </c>
      <c r="AI126">
        <v>0</v>
      </c>
      <c r="AJ126">
        <v>4050582</v>
      </c>
      <c r="AK126">
        <v>100744</v>
      </c>
      <c r="AL126">
        <v>0</v>
      </c>
      <c r="AM126">
        <v>0</v>
      </c>
      <c r="AN126">
        <v>5326076</v>
      </c>
      <c r="AP126">
        <v>0</v>
      </c>
      <c r="AQ126">
        <v>3583888</v>
      </c>
      <c r="AR126">
        <v>645729</v>
      </c>
      <c r="AT126">
        <v>844972</v>
      </c>
      <c r="AU126">
        <v>8649549</v>
      </c>
      <c r="AV126">
        <v>20572</v>
      </c>
      <c r="AX126">
        <v>215067</v>
      </c>
      <c r="AY126">
        <v>522158</v>
      </c>
      <c r="BA126">
        <v>0</v>
      </c>
      <c r="BB126">
        <v>547151</v>
      </c>
      <c r="BD126">
        <v>0</v>
      </c>
      <c r="BE126">
        <v>15283702</v>
      </c>
      <c r="BH126">
        <v>1017729</v>
      </c>
      <c r="BI126">
        <v>269073</v>
      </c>
      <c r="BJ126">
        <v>360594</v>
      </c>
      <c r="BK126">
        <v>1829968</v>
      </c>
      <c r="BL126">
        <v>541590</v>
      </c>
      <c r="BM126">
        <v>0</v>
      </c>
      <c r="BN126">
        <v>3778328</v>
      </c>
      <c r="BO126">
        <v>452675</v>
      </c>
      <c r="BP126">
        <v>60522</v>
      </c>
      <c r="BQ126">
        <v>786071</v>
      </c>
      <c r="BR126">
        <v>0</v>
      </c>
      <c r="BS126">
        <v>0</v>
      </c>
      <c r="BT126">
        <v>2345993</v>
      </c>
      <c r="BU126">
        <v>1047196</v>
      </c>
      <c r="BW126">
        <v>0</v>
      </c>
      <c r="BX126">
        <v>0</v>
      </c>
      <c r="BY126">
        <v>0</v>
      </c>
      <c r="BZ126">
        <v>1964579</v>
      </c>
      <c r="CA126">
        <v>0</v>
      </c>
    </row>
    <row r="127" spans="1:79" x14ac:dyDescent="0.3">
      <c r="A127">
        <v>527</v>
      </c>
      <c r="B127" t="s">
        <v>274</v>
      </c>
      <c r="D127">
        <v>0</v>
      </c>
      <c r="E127">
        <v>0</v>
      </c>
      <c r="G127">
        <v>0</v>
      </c>
      <c r="H127">
        <v>0</v>
      </c>
      <c r="I127">
        <v>0</v>
      </c>
      <c r="J127">
        <v>0</v>
      </c>
      <c r="K127">
        <v>0</v>
      </c>
      <c r="L127">
        <v>0</v>
      </c>
      <c r="N127">
        <v>0</v>
      </c>
      <c r="P127">
        <v>0</v>
      </c>
      <c r="Q127">
        <v>0</v>
      </c>
      <c r="R127">
        <v>0</v>
      </c>
      <c r="S127">
        <v>5406375</v>
      </c>
      <c r="T127">
        <v>0</v>
      </c>
      <c r="U127">
        <v>16550653</v>
      </c>
      <c r="V127">
        <v>0</v>
      </c>
      <c r="W127">
        <v>0</v>
      </c>
      <c r="X127">
        <v>0</v>
      </c>
      <c r="Y127">
        <v>0</v>
      </c>
      <c r="Z127">
        <v>6000</v>
      </c>
      <c r="AB127">
        <v>0</v>
      </c>
      <c r="AC127">
        <v>0</v>
      </c>
      <c r="AD127">
        <v>0</v>
      </c>
      <c r="AE127">
        <v>294748</v>
      </c>
      <c r="AF127">
        <v>0</v>
      </c>
      <c r="AG127">
        <v>0</v>
      </c>
      <c r="AH127">
        <v>0</v>
      </c>
      <c r="AI127">
        <v>0</v>
      </c>
      <c r="AJ127">
        <v>87367</v>
      </c>
      <c r="AK127">
        <v>0</v>
      </c>
      <c r="AL127">
        <v>0</v>
      </c>
      <c r="AM127">
        <v>0</v>
      </c>
      <c r="AN127">
        <v>0</v>
      </c>
      <c r="AP127">
        <v>0</v>
      </c>
      <c r="AQ127">
        <v>3853836</v>
      </c>
      <c r="AR127">
        <v>0</v>
      </c>
      <c r="AT127">
        <v>0</v>
      </c>
      <c r="AU127">
        <v>630414</v>
      </c>
      <c r="AV127">
        <v>0</v>
      </c>
      <c r="AX127">
        <v>0</v>
      </c>
      <c r="AY127">
        <v>0</v>
      </c>
      <c r="BA127">
        <v>0</v>
      </c>
      <c r="BB127">
        <v>0</v>
      </c>
      <c r="BD127">
        <v>0</v>
      </c>
      <c r="BE127">
        <v>2027626</v>
      </c>
      <c r="BH127">
        <v>0</v>
      </c>
      <c r="BI127">
        <v>0</v>
      </c>
      <c r="BJ127">
        <v>0</v>
      </c>
      <c r="BK127">
        <v>19800</v>
      </c>
      <c r="BL127">
        <v>0</v>
      </c>
      <c r="BM127">
        <v>0</v>
      </c>
      <c r="BN127">
        <v>0</v>
      </c>
      <c r="BO127">
        <v>0</v>
      </c>
      <c r="BP127">
        <v>0</v>
      </c>
      <c r="BQ127">
        <v>0</v>
      </c>
      <c r="BR127">
        <v>0</v>
      </c>
      <c r="BS127">
        <v>0</v>
      </c>
      <c r="BT127">
        <v>0</v>
      </c>
      <c r="BU127">
        <v>0</v>
      </c>
      <c r="BW127">
        <v>0</v>
      </c>
      <c r="BX127">
        <v>0</v>
      </c>
      <c r="BY127">
        <v>0</v>
      </c>
      <c r="BZ127">
        <v>0</v>
      </c>
      <c r="CA127">
        <v>0</v>
      </c>
    </row>
    <row r="128" spans="1:79" x14ac:dyDescent="0.3">
      <c r="A128">
        <v>528</v>
      </c>
      <c r="B128" t="s">
        <v>257</v>
      </c>
      <c r="D128">
        <v>1527740</v>
      </c>
      <c r="E128">
        <v>9930691</v>
      </c>
      <c r="G128">
        <v>25181868</v>
      </c>
      <c r="H128">
        <v>2763473</v>
      </c>
      <c r="I128">
        <v>125937</v>
      </c>
      <c r="J128">
        <v>648724</v>
      </c>
      <c r="K128">
        <v>835327</v>
      </c>
      <c r="L128">
        <v>32853965</v>
      </c>
      <c r="N128">
        <v>348650</v>
      </c>
      <c r="P128">
        <v>21137039</v>
      </c>
      <c r="Q128">
        <v>9412904</v>
      </c>
      <c r="R128">
        <v>3274025</v>
      </c>
      <c r="S128">
        <v>8437860</v>
      </c>
      <c r="T128">
        <v>91026</v>
      </c>
      <c r="U128">
        <v>9828614</v>
      </c>
      <c r="V128">
        <v>8660</v>
      </c>
      <c r="W128">
        <v>4364516</v>
      </c>
      <c r="X128">
        <v>10645523</v>
      </c>
      <c r="Y128">
        <v>3289697</v>
      </c>
      <c r="Z128">
        <v>620655</v>
      </c>
      <c r="AB128">
        <v>710818</v>
      </c>
      <c r="AC128">
        <v>251303</v>
      </c>
      <c r="AD128">
        <v>551660</v>
      </c>
      <c r="AE128">
        <v>1595815</v>
      </c>
      <c r="AF128">
        <v>39822</v>
      </c>
      <c r="AG128">
        <v>8341</v>
      </c>
      <c r="AH128">
        <v>40483</v>
      </c>
      <c r="AI128">
        <v>1867476</v>
      </c>
      <c r="AJ128">
        <v>2976912</v>
      </c>
      <c r="AK128">
        <v>72468</v>
      </c>
      <c r="AL128">
        <v>10246</v>
      </c>
      <c r="AM128">
        <v>9055963</v>
      </c>
      <c r="AN128">
        <v>10230471</v>
      </c>
      <c r="AP128">
        <v>2682258</v>
      </c>
      <c r="AQ128">
        <v>10725660</v>
      </c>
      <c r="AR128">
        <v>1161985</v>
      </c>
      <c r="AT128">
        <v>2708864</v>
      </c>
      <c r="AU128">
        <v>5282188</v>
      </c>
      <c r="AV128">
        <v>28465</v>
      </c>
      <c r="AX128">
        <v>2202570</v>
      </c>
      <c r="AY128">
        <v>1670413</v>
      </c>
      <c r="BA128">
        <v>25494</v>
      </c>
      <c r="BB128">
        <v>1625049</v>
      </c>
      <c r="BD128">
        <v>30707</v>
      </c>
      <c r="BE128">
        <v>9766638</v>
      </c>
      <c r="BH128">
        <v>1639733</v>
      </c>
      <c r="BI128">
        <v>2021291</v>
      </c>
      <c r="BJ128">
        <v>167544</v>
      </c>
      <c r="BK128">
        <v>6989021</v>
      </c>
      <c r="BL128">
        <v>2273678</v>
      </c>
      <c r="BM128">
        <v>0</v>
      </c>
      <c r="BN128">
        <v>3101635</v>
      </c>
      <c r="BO128">
        <v>753541</v>
      </c>
      <c r="BP128">
        <v>609368</v>
      </c>
      <c r="BQ128">
        <v>1565937</v>
      </c>
      <c r="BR128">
        <v>885917</v>
      </c>
      <c r="BS128">
        <v>14916228</v>
      </c>
      <c r="BT128">
        <v>721176</v>
      </c>
      <c r="BU128">
        <v>1739209</v>
      </c>
      <c r="BW128">
        <v>495050</v>
      </c>
      <c r="BX128">
        <v>1540</v>
      </c>
      <c r="BY128">
        <v>8591</v>
      </c>
      <c r="BZ128">
        <v>12769401</v>
      </c>
      <c r="CA128">
        <v>24531</v>
      </c>
    </row>
    <row r="129" spans="1:79" x14ac:dyDescent="0.3">
      <c r="A129">
        <v>529</v>
      </c>
      <c r="B129" t="s">
        <v>258</v>
      </c>
      <c r="D129">
        <v>24909</v>
      </c>
      <c r="E129">
        <v>1126169</v>
      </c>
      <c r="G129">
        <v>2640597</v>
      </c>
      <c r="H129">
        <v>254134</v>
      </c>
      <c r="I129">
        <v>28763</v>
      </c>
      <c r="J129">
        <v>66772</v>
      </c>
      <c r="K129">
        <v>91562</v>
      </c>
      <c r="L129">
        <v>3284766</v>
      </c>
      <c r="N129">
        <v>38852</v>
      </c>
      <c r="P129">
        <v>1998737</v>
      </c>
      <c r="Q129">
        <v>400049</v>
      </c>
      <c r="R129">
        <v>396389</v>
      </c>
      <c r="S129">
        <v>455414</v>
      </c>
      <c r="T129">
        <v>20508</v>
      </c>
      <c r="U129">
        <v>1284267</v>
      </c>
      <c r="V129">
        <v>1313</v>
      </c>
      <c r="W129">
        <v>229718</v>
      </c>
      <c r="X129">
        <v>974719</v>
      </c>
      <c r="Y129">
        <v>97312</v>
      </c>
      <c r="Z129">
        <v>114232</v>
      </c>
      <c r="AB129">
        <v>77762</v>
      </c>
      <c r="AC129">
        <v>3233</v>
      </c>
      <c r="AD129">
        <v>36966</v>
      </c>
      <c r="AE129">
        <v>233812</v>
      </c>
      <c r="AF129">
        <v>3346</v>
      </c>
      <c r="AG129">
        <v>1825</v>
      </c>
      <c r="AH129">
        <v>5511</v>
      </c>
      <c r="AI129">
        <v>140204</v>
      </c>
      <c r="AJ129">
        <v>426290</v>
      </c>
      <c r="AK129">
        <v>15319</v>
      </c>
      <c r="AL129">
        <v>1902</v>
      </c>
      <c r="AM129">
        <v>992429</v>
      </c>
      <c r="AN129">
        <v>916856</v>
      </c>
      <c r="AP129">
        <v>328315</v>
      </c>
      <c r="AQ129">
        <v>1031196</v>
      </c>
      <c r="AR129">
        <v>171239</v>
      </c>
      <c r="AT129">
        <v>356308</v>
      </c>
      <c r="AU129">
        <v>606477</v>
      </c>
      <c r="AV129">
        <v>4427</v>
      </c>
      <c r="AX129">
        <v>274823</v>
      </c>
      <c r="AY129">
        <v>214694</v>
      </c>
      <c r="BA129">
        <v>3815</v>
      </c>
      <c r="BB129">
        <v>199128</v>
      </c>
      <c r="BD129">
        <v>3634</v>
      </c>
      <c r="BE129">
        <v>1192792</v>
      </c>
      <c r="BH129">
        <v>147257</v>
      </c>
      <c r="BI129">
        <v>112507</v>
      </c>
      <c r="BJ129">
        <v>43401</v>
      </c>
      <c r="BK129">
        <v>146988</v>
      </c>
      <c r="BL129">
        <v>101028</v>
      </c>
      <c r="BM129">
        <v>0</v>
      </c>
      <c r="BN129">
        <v>300572</v>
      </c>
      <c r="BO129">
        <v>77927</v>
      </c>
      <c r="BP129">
        <v>39005</v>
      </c>
      <c r="BQ129">
        <v>106110</v>
      </c>
      <c r="BR129">
        <v>93125</v>
      </c>
      <c r="BS129">
        <v>1137145</v>
      </c>
      <c r="BT129">
        <v>123164</v>
      </c>
      <c r="BU129">
        <v>123301</v>
      </c>
      <c r="BW129">
        <v>44765</v>
      </c>
      <c r="BX129">
        <v>232</v>
      </c>
      <c r="BY129">
        <v>2012</v>
      </c>
      <c r="BZ129">
        <v>951786</v>
      </c>
      <c r="CA129">
        <v>7924</v>
      </c>
    </row>
    <row r="130" spans="1:79" x14ac:dyDescent="0.3">
      <c r="A130">
        <v>530</v>
      </c>
      <c r="B130" t="s">
        <v>259</v>
      </c>
      <c r="D130">
        <v>6129</v>
      </c>
      <c r="E130">
        <v>19444</v>
      </c>
      <c r="G130">
        <v>242332</v>
      </c>
      <c r="H130">
        <v>3481</v>
      </c>
      <c r="I130">
        <v>25845</v>
      </c>
      <c r="J130">
        <v>12099</v>
      </c>
      <c r="K130">
        <v>35191</v>
      </c>
      <c r="L130">
        <v>362283</v>
      </c>
      <c r="N130">
        <v>9949</v>
      </c>
      <c r="P130">
        <v>83030</v>
      </c>
      <c r="Q130">
        <v>25126</v>
      </c>
      <c r="R130">
        <v>48965</v>
      </c>
      <c r="S130">
        <v>66919</v>
      </c>
      <c r="T130">
        <v>7942</v>
      </c>
      <c r="U130">
        <v>169922</v>
      </c>
      <c r="V130">
        <v>170</v>
      </c>
      <c r="W130">
        <v>10240</v>
      </c>
      <c r="X130">
        <v>25461</v>
      </c>
      <c r="Y130">
        <v>5648</v>
      </c>
      <c r="Z130">
        <v>22826</v>
      </c>
      <c r="AB130">
        <v>311</v>
      </c>
      <c r="AC130">
        <v>2116</v>
      </c>
      <c r="AD130">
        <v>5937</v>
      </c>
      <c r="AE130">
        <v>32335</v>
      </c>
      <c r="AF130">
        <v>4224</v>
      </c>
      <c r="AG130">
        <v>472</v>
      </c>
      <c r="AH130">
        <v>1016</v>
      </c>
      <c r="AI130">
        <v>6238</v>
      </c>
      <c r="AJ130">
        <v>172555</v>
      </c>
      <c r="AK130">
        <v>4484</v>
      </c>
      <c r="AL130">
        <v>244</v>
      </c>
      <c r="AM130">
        <v>30302</v>
      </c>
      <c r="AN130">
        <v>225073</v>
      </c>
      <c r="AP130">
        <v>10132</v>
      </c>
      <c r="AQ130">
        <v>293635</v>
      </c>
      <c r="AR130">
        <v>7747</v>
      </c>
      <c r="AT130">
        <v>18301</v>
      </c>
      <c r="AU130">
        <v>93449</v>
      </c>
      <c r="AV130">
        <v>664</v>
      </c>
      <c r="AX130">
        <v>12323</v>
      </c>
      <c r="AY130">
        <v>48287</v>
      </c>
      <c r="BA130">
        <v>2850</v>
      </c>
      <c r="BB130">
        <v>12109</v>
      </c>
      <c r="BD130">
        <v>737</v>
      </c>
      <c r="BE130">
        <v>673484</v>
      </c>
      <c r="BH130">
        <v>18327</v>
      </c>
      <c r="BI130">
        <v>59425</v>
      </c>
      <c r="BJ130">
        <v>15361</v>
      </c>
      <c r="BK130">
        <v>11073</v>
      </c>
      <c r="BL130">
        <v>11668</v>
      </c>
      <c r="BM130">
        <v>0</v>
      </c>
      <c r="BN130">
        <v>11143</v>
      </c>
      <c r="BO130">
        <v>24875</v>
      </c>
      <c r="BP130">
        <v>18711</v>
      </c>
      <c r="BQ130">
        <v>7418</v>
      </c>
      <c r="BR130">
        <v>204</v>
      </c>
      <c r="BS130">
        <v>80911</v>
      </c>
      <c r="BT130">
        <v>131715</v>
      </c>
      <c r="BU130">
        <v>12787</v>
      </c>
      <c r="BW130">
        <v>2166</v>
      </c>
      <c r="BX130">
        <v>121</v>
      </c>
      <c r="BY130">
        <v>127</v>
      </c>
      <c r="BZ130">
        <v>58093</v>
      </c>
      <c r="CA130">
        <v>1712</v>
      </c>
    </row>
    <row r="131" spans="1:79" x14ac:dyDescent="0.3">
      <c r="A131">
        <v>531</v>
      </c>
      <c r="B131" t="s">
        <v>260</v>
      </c>
      <c r="D131">
        <v>0</v>
      </c>
      <c r="E131">
        <v>0</v>
      </c>
      <c r="G131">
        <v>0</v>
      </c>
      <c r="H131">
        <v>0</v>
      </c>
      <c r="I131">
        <v>0</v>
      </c>
      <c r="J131">
        <v>0</v>
      </c>
      <c r="K131">
        <v>0</v>
      </c>
      <c r="L131">
        <v>0</v>
      </c>
      <c r="N131">
        <v>0</v>
      </c>
      <c r="P131">
        <v>0</v>
      </c>
      <c r="Q131">
        <v>0</v>
      </c>
      <c r="R131">
        <v>3392</v>
      </c>
      <c r="S131">
        <v>0</v>
      </c>
      <c r="T131">
        <v>643</v>
      </c>
      <c r="U131">
        <v>0</v>
      </c>
      <c r="V131">
        <v>0</v>
      </c>
      <c r="W131">
        <v>0</v>
      </c>
      <c r="X131">
        <v>2512</v>
      </c>
      <c r="Y131">
        <v>0</v>
      </c>
      <c r="Z131">
        <v>0</v>
      </c>
      <c r="AB131">
        <v>0</v>
      </c>
      <c r="AC131">
        <v>0</v>
      </c>
      <c r="AD131">
        <v>0</v>
      </c>
      <c r="AE131">
        <v>1114</v>
      </c>
      <c r="AF131">
        <v>0</v>
      </c>
      <c r="AG131">
        <v>0</v>
      </c>
      <c r="AH131">
        <v>0</v>
      </c>
      <c r="AI131">
        <v>0</v>
      </c>
      <c r="AJ131">
        <v>0</v>
      </c>
      <c r="AK131">
        <v>307</v>
      </c>
      <c r="AL131">
        <v>0</v>
      </c>
      <c r="AM131">
        <v>0</v>
      </c>
      <c r="AN131">
        <v>0</v>
      </c>
      <c r="AP131">
        <v>0</v>
      </c>
      <c r="AQ131">
        <v>0</v>
      </c>
      <c r="AR131">
        <v>0</v>
      </c>
      <c r="AT131">
        <v>0</v>
      </c>
      <c r="AU131">
        <v>0</v>
      </c>
      <c r="AV131">
        <v>0</v>
      </c>
      <c r="AX131">
        <v>0</v>
      </c>
      <c r="AY131">
        <v>0</v>
      </c>
      <c r="BA131">
        <v>0</v>
      </c>
      <c r="BB131">
        <v>0</v>
      </c>
      <c r="BD131">
        <v>0</v>
      </c>
      <c r="BE131">
        <v>0</v>
      </c>
      <c r="BH131">
        <v>0</v>
      </c>
      <c r="BI131">
        <v>292</v>
      </c>
      <c r="BJ131">
        <v>0</v>
      </c>
      <c r="BK131">
        <v>0</v>
      </c>
      <c r="BL131">
        <v>0</v>
      </c>
      <c r="BM131">
        <v>0</v>
      </c>
      <c r="BN131">
        <v>0</v>
      </c>
      <c r="BO131">
        <v>0</v>
      </c>
      <c r="BP131">
        <v>0</v>
      </c>
      <c r="BQ131">
        <v>0</v>
      </c>
      <c r="BR131">
        <v>0</v>
      </c>
      <c r="BS131">
        <v>0</v>
      </c>
      <c r="BT131">
        <v>0</v>
      </c>
      <c r="BU131">
        <v>0</v>
      </c>
      <c r="BW131">
        <v>0</v>
      </c>
      <c r="BX131">
        <v>0</v>
      </c>
      <c r="BY131">
        <v>0</v>
      </c>
      <c r="BZ131">
        <v>10224</v>
      </c>
      <c r="CA131">
        <v>0</v>
      </c>
    </row>
    <row r="132" spans="1:79" x14ac:dyDescent="0.3">
      <c r="A132">
        <v>532</v>
      </c>
      <c r="B132" t="s">
        <v>887</v>
      </c>
      <c r="D132">
        <v>2251363</v>
      </c>
      <c r="E132">
        <v>20355200</v>
      </c>
      <c r="G132">
        <v>47647617</v>
      </c>
      <c r="H132">
        <v>7636795</v>
      </c>
      <c r="I132">
        <v>382179</v>
      </c>
      <c r="J132">
        <v>1590913</v>
      </c>
      <c r="K132">
        <v>2593361</v>
      </c>
      <c r="L132">
        <v>61815058</v>
      </c>
      <c r="N132">
        <v>906524</v>
      </c>
      <c r="P132">
        <v>47324652</v>
      </c>
      <c r="Q132">
        <v>27217578</v>
      </c>
      <c r="R132">
        <v>8512346</v>
      </c>
      <c r="S132">
        <v>19150898</v>
      </c>
      <c r="T132">
        <v>134810</v>
      </c>
      <c r="U132">
        <v>24894791</v>
      </c>
      <c r="V132">
        <v>43472</v>
      </c>
      <c r="W132">
        <v>9759727</v>
      </c>
      <c r="X132">
        <v>25876256</v>
      </c>
      <c r="Y132">
        <v>8430069</v>
      </c>
      <c r="Z132">
        <v>1672899</v>
      </c>
      <c r="AB132">
        <v>1591261</v>
      </c>
      <c r="AC132">
        <v>357593</v>
      </c>
      <c r="AD132">
        <v>1394182</v>
      </c>
      <c r="AE132">
        <v>4135946</v>
      </c>
      <c r="AF132">
        <v>182962</v>
      </c>
      <c r="AG132">
        <v>69938</v>
      </c>
      <c r="AH132">
        <v>75704</v>
      </c>
      <c r="AI132">
        <v>3227722</v>
      </c>
      <c r="AJ132">
        <v>10489855</v>
      </c>
      <c r="AK132">
        <v>484092</v>
      </c>
      <c r="AL132">
        <v>30439</v>
      </c>
      <c r="AM132">
        <v>32784755</v>
      </c>
      <c r="AN132">
        <v>21458474</v>
      </c>
      <c r="AP132">
        <v>6481894</v>
      </c>
      <c r="AQ132">
        <v>28098812</v>
      </c>
      <c r="AR132">
        <v>5055438</v>
      </c>
      <c r="AT132">
        <v>5976399</v>
      </c>
      <c r="AU132" s="1056">
        <v>15001483</v>
      </c>
      <c r="AV132">
        <v>82860</v>
      </c>
      <c r="AX132">
        <v>4018982</v>
      </c>
      <c r="AY132">
        <v>4747393</v>
      </c>
      <c r="BA132">
        <v>58200</v>
      </c>
      <c r="BB132">
        <v>2984687</v>
      </c>
      <c r="BD132">
        <v>128669</v>
      </c>
      <c r="BE132">
        <v>28626291</v>
      </c>
      <c r="BH132">
        <v>3420123</v>
      </c>
      <c r="BI132">
        <v>3696715</v>
      </c>
      <c r="BJ132">
        <v>911856</v>
      </c>
      <c r="BK132">
        <v>11026226</v>
      </c>
      <c r="BL132">
        <v>5487476</v>
      </c>
      <c r="BM132">
        <v>28596</v>
      </c>
      <c r="BN132">
        <v>9505101</v>
      </c>
      <c r="BO132">
        <v>3271695</v>
      </c>
      <c r="BP132">
        <v>1426058</v>
      </c>
      <c r="BQ132">
        <v>2664304</v>
      </c>
      <c r="BR132">
        <v>2089317</v>
      </c>
      <c r="BS132">
        <v>28423331</v>
      </c>
      <c r="BT132">
        <v>2403626</v>
      </c>
      <c r="BU132">
        <v>3896224</v>
      </c>
      <c r="BW132">
        <v>1110867</v>
      </c>
      <c r="BX132">
        <v>47005</v>
      </c>
      <c r="BY132">
        <v>40163</v>
      </c>
      <c r="BZ132">
        <v>25481676</v>
      </c>
      <c r="CA132">
        <v>108658</v>
      </c>
    </row>
    <row r="133" spans="1:79" x14ac:dyDescent="0.3">
      <c r="A133">
        <v>533</v>
      </c>
      <c r="B133" t="s">
        <v>888</v>
      </c>
      <c r="D133">
        <v>0</v>
      </c>
      <c r="E133">
        <v>0</v>
      </c>
      <c r="G133">
        <v>303218</v>
      </c>
      <c r="H133">
        <v>67817</v>
      </c>
      <c r="I133">
        <v>0</v>
      </c>
      <c r="J133">
        <v>0</v>
      </c>
      <c r="K133">
        <v>0</v>
      </c>
      <c r="L133">
        <v>5625</v>
      </c>
      <c r="N133">
        <v>0</v>
      </c>
      <c r="P133">
        <v>2589158</v>
      </c>
      <c r="Q133">
        <v>2077134</v>
      </c>
      <c r="R133">
        <v>130000</v>
      </c>
      <c r="S133">
        <v>611044</v>
      </c>
      <c r="T133">
        <v>0</v>
      </c>
      <c r="U133">
        <v>785000</v>
      </c>
      <c r="V133">
        <v>0</v>
      </c>
      <c r="W133">
        <v>0</v>
      </c>
      <c r="X133">
        <v>1589986</v>
      </c>
      <c r="Y133">
        <v>799455</v>
      </c>
      <c r="Z133">
        <v>0</v>
      </c>
      <c r="AB133">
        <v>0</v>
      </c>
      <c r="AC133">
        <v>59552</v>
      </c>
      <c r="AD133">
        <v>0</v>
      </c>
      <c r="AE133">
        <v>85992</v>
      </c>
      <c r="AF133">
        <v>0</v>
      </c>
      <c r="AG133">
        <v>0</v>
      </c>
      <c r="AH133">
        <v>0</v>
      </c>
      <c r="AI133">
        <v>180218</v>
      </c>
      <c r="AJ133">
        <v>287407</v>
      </c>
      <c r="AK133">
        <v>0</v>
      </c>
      <c r="AL133">
        <v>0</v>
      </c>
      <c r="AM133">
        <v>800000</v>
      </c>
      <c r="AN133">
        <v>0</v>
      </c>
      <c r="AP133">
        <v>0</v>
      </c>
      <c r="AQ133">
        <v>1519927</v>
      </c>
      <c r="AR133">
        <v>0</v>
      </c>
      <c r="AT133">
        <v>0</v>
      </c>
      <c r="AU133">
        <v>1074478</v>
      </c>
      <c r="AV133">
        <v>0</v>
      </c>
      <c r="AX133">
        <v>0</v>
      </c>
      <c r="AY133">
        <v>0</v>
      </c>
      <c r="BA133">
        <v>0</v>
      </c>
      <c r="BB133">
        <v>0</v>
      </c>
      <c r="BD133">
        <v>0</v>
      </c>
      <c r="BE133">
        <v>0</v>
      </c>
      <c r="BH133">
        <v>0</v>
      </c>
      <c r="BI133">
        <v>0</v>
      </c>
      <c r="BJ133">
        <v>47771</v>
      </c>
      <c r="BK133">
        <v>0</v>
      </c>
      <c r="BL133">
        <v>0</v>
      </c>
      <c r="BM133">
        <v>0</v>
      </c>
      <c r="BN133">
        <v>549850</v>
      </c>
      <c r="BO133">
        <v>0</v>
      </c>
      <c r="BP133">
        <v>0</v>
      </c>
      <c r="BQ133">
        <v>0</v>
      </c>
      <c r="BR133">
        <v>0</v>
      </c>
      <c r="BS133">
        <v>1088282</v>
      </c>
      <c r="BT133">
        <v>0</v>
      </c>
      <c r="BU133">
        <v>0</v>
      </c>
      <c r="BW133">
        <v>0</v>
      </c>
      <c r="BX133">
        <v>0</v>
      </c>
      <c r="BY133">
        <v>0</v>
      </c>
      <c r="BZ133">
        <v>916006</v>
      </c>
      <c r="CA133">
        <v>0</v>
      </c>
    </row>
    <row r="134" spans="1:79" x14ac:dyDescent="0.3">
      <c r="A134">
        <v>535</v>
      </c>
      <c r="B134" t="s">
        <v>244</v>
      </c>
      <c r="D134">
        <v>0</v>
      </c>
      <c r="E134">
        <v>8418516</v>
      </c>
      <c r="G134">
        <v>6439334</v>
      </c>
      <c r="H134">
        <v>0</v>
      </c>
      <c r="I134">
        <v>0</v>
      </c>
      <c r="J134">
        <v>0</v>
      </c>
      <c r="K134">
        <v>0</v>
      </c>
      <c r="L134">
        <v>6662498</v>
      </c>
      <c r="N134">
        <v>0</v>
      </c>
      <c r="P134">
        <v>25891624</v>
      </c>
      <c r="Q134">
        <v>1968692</v>
      </c>
      <c r="R134">
        <v>0</v>
      </c>
      <c r="S134">
        <v>1006320</v>
      </c>
      <c r="T134">
        <v>0</v>
      </c>
      <c r="U134">
        <v>0</v>
      </c>
      <c r="V134">
        <v>0</v>
      </c>
      <c r="W134">
        <v>0</v>
      </c>
      <c r="X134">
        <v>4637400</v>
      </c>
      <c r="Y134">
        <v>0</v>
      </c>
      <c r="Z134">
        <v>12666226</v>
      </c>
      <c r="AB134">
        <v>0</v>
      </c>
      <c r="AC134">
        <v>0</v>
      </c>
      <c r="AD134">
        <v>0</v>
      </c>
      <c r="AE134">
        <v>0</v>
      </c>
      <c r="AF134">
        <v>0</v>
      </c>
      <c r="AG134">
        <v>0</v>
      </c>
      <c r="AH134">
        <v>0</v>
      </c>
      <c r="AI134">
        <v>0</v>
      </c>
      <c r="AJ134">
        <v>0</v>
      </c>
      <c r="AK134">
        <v>0</v>
      </c>
      <c r="AL134">
        <v>0</v>
      </c>
      <c r="AM134">
        <v>0</v>
      </c>
      <c r="AN134">
        <v>0</v>
      </c>
      <c r="AP134">
        <v>0</v>
      </c>
      <c r="AQ134">
        <v>12026629</v>
      </c>
      <c r="AR134">
        <v>0</v>
      </c>
      <c r="AT134">
        <v>0</v>
      </c>
      <c r="AU134">
        <v>0</v>
      </c>
      <c r="AV134">
        <v>0</v>
      </c>
      <c r="AX134">
        <v>0</v>
      </c>
      <c r="AY134">
        <v>0</v>
      </c>
      <c r="BA134">
        <v>0</v>
      </c>
      <c r="BB134">
        <v>0</v>
      </c>
      <c r="BD134">
        <v>0</v>
      </c>
      <c r="BE134">
        <v>0</v>
      </c>
      <c r="BH134">
        <v>0</v>
      </c>
      <c r="BI134">
        <v>0</v>
      </c>
      <c r="BJ134">
        <v>0</v>
      </c>
      <c r="BK134">
        <v>0</v>
      </c>
      <c r="BL134">
        <v>0</v>
      </c>
      <c r="BM134">
        <v>0</v>
      </c>
      <c r="BN134">
        <v>553372</v>
      </c>
      <c r="BO134">
        <v>0</v>
      </c>
      <c r="BP134">
        <v>0</v>
      </c>
      <c r="BQ134">
        <v>0</v>
      </c>
      <c r="BR134">
        <v>0</v>
      </c>
      <c r="BS134">
        <v>0</v>
      </c>
      <c r="BT134">
        <v>0</v>
      </c>
      <c r="BU134">
        <v>0</v>
      </c>
      <c r="BW134">
        <v>0</v>
      </c>
      <c r="BX134">
        <v>0</v>
      </c>
      <c r="BY134">
        <v>0</v>
      </c>
      <c r="BZ134">
        <v>2848080</v>
      </c>
      <c r="CA134">
        <v>0</v>
      </c>
    </row>
    <row r="135" spans="1:79" x14ac:dyDescent="0.3">
      <c r="A135">
        <v>536</v>
      </c>
      <c r="B135" t="s">
        <v>190</v>
      </c>
      <c r="D135">
        <v>0</v>
      </c>
      <c r="E135">
        <v>1683199</v>
      </c>
      <c r="G135">
        <v>4748988</v>
      </c>
      <c r="H135">
        <v>209439</v>
      </c>
      <c r="I135">
        <v>156594</v>
      </c>
      <c r="J135">
        <v>77747</v>
      </c>
      <c r="K135">
        <v>35605</v>
      </c>
      <c r="L135">
        <v>2646041</v>
      </c>
      <c r="N135">
        <v>80123</v>
      </c>
      <c r="P135">
        <v>5160484</v>
      </c>
      <c r="Q135">
        <v>6800304</v>
      </c>
      <c r="R135">
        <v>257869</v>
      </c>
      <c r="S135">
        <v>327646</v>
      </c>
      <c r="T135">
        <v>186468</v>
      </c>
      <c r="U135">
        <v>0</v>
      </c>
      <c r="V135">
        <v>106386</v>
      </c>
      <c r="W135">
        <v>3594720</v>
      </c>
      <c r="X135">
        <v>890097</v>
      </c>
      <c r="Y135">
        <v>455860</v>
      </c>
      <c r="Z135">
        <v>367616</v>
      </c>
      <c r="AB135">
        <v>323842</v>
      </c>
      <c r="AC135">
        <v>0</v>
      </c>
      <c r="AD135">
        <v>198032</v>
      </c>
      <c r="AE135">
        <v>597237</v>
      </c>
      <c r="AF135">
        <v>266739</v>
      </c>
      <c r="AG135">
        <v>10030</v>
      </c>
      <c r="AH135">
        <v>100520</v>
      </c>
      <c r="AI135">
        <v>200995</v>
      </c>
      <c r="AJ135">
        <v>283699</v>
      </c>
      <c r="AK135">
        <v>271280</v>
      </c>
      <c r="AL135">
        <v>0</v>
      </c>
      <c r="AM135">
        <v>5215504</v>
      </c>
      <c r="AN135">
        <v>0</v>
      </c>
      <c r="AP135">
        <v>1070862</v>
      </c>
      <c r="AQ135">
        <v>643483</v>
      </c>
      <c r="AR135">
        <v>274594</v>
      </c>
      <c r="AT135">
        <v>311948</v>
      </c>
      <c r="AU135">
        <v>368969</v>
      </c>
      <c r="AV135">
        <v>12433</v>
      </c>
      <c r="AX135">
        <v>3385290</v>
      </c>
      <c r="AY135">
        <v>689150</v>
      </c>
      <c r="BA135">
        <v>33759</v>
      </c>
      <c r="BB135">
        <v>537790</v>
      </c>
      <c r="BD135">
        <v>21945</v>
      </c>
      <c r="BE135">
        <v>70491</v>
      </c>
      <c r="BH135">
        <v>37246</v>
      </c>
      <c r="BI135">
        <v>101195</v>
      </c>
      <c r="BJ135">
        <v>169571</v>
      </c>
      <c r="BK135">
        <v>242842</v>
      </c>
      <c r="BL135">
        <v>104031</v>
      </c>
      <c r="BM135">
        <v>31500</v>
      </c>
      <c r="BN135">
        <v>670424</v>
      </c>
      <c r="BO135">
        <v>881707</v>
      </c>
      <c r="BP135">
        <v>184886</v>
      </c>
      <c r="BQ135">
        <v>187074</v>
      </c>
      <c r="BR135">
        <v>508873</v>
      </c>
      <c r="BS135">
        <v>607429</v>
      </c>
      <c r="BT135">
        <v>123685</v>
      </c>
      <c r="BU135">
        <v>886818</v>
      </c>
      <c r="BW135">
        <v>101101</v>
      </c>
      <c r="BX135">
        <v>16831</v>
      </c>
      <c r="BY135">
        <v>25159</v>
      </c>
      <c r="BZ135">
        <v>2466135</v>
      </c>
      <c r="CA135">
        <v>30667</v>
      </c>
    </row>
    <row r="136" spans="1:79" x14ac:dyDescent="0.3">
      <c r="A136">
        <v>537</v>
      </c>
      <c r="B136" t="s">
        <v>280</v>
      </c>
      <c r="D136">
        <v>0</v>
      </c>
      <c r="E136">
        <v>0</v>
      </c>
      <c r="G136">
        <v>0</v>
      </c>
      <c r="H136">
        <v>2</v>
      </c>
      <c r="I136">
        <v>2</v>
      </c>
      <c r="J136">
        <v>1</v>
      </c>
      <c r="K136">
        <v>2</v>
      </c>
      <c r="L136">
        <v>2</v>
      </c>
      <c r="N136">
        <v>2</v>
      </c>
      <c r="P136">
        <v>0</v>
      </c>
      <c r="Q136">
        <v>1</v>
      </c>
      <c r="R136">
        <v>2</v>
      </c>
      <c r="S136">
        <v>2</v>
      </c>
      <c r="T136">
        <v>2</v>
      </c>
      <c r="U136">
        <v>2</v>
      </c>
      <c r="V136">
        <v>0</v>
      </c>
      <c r="W136">
        <v>0</v>
      </c>
      <c r="X136">
        <v>2</v>
      </c>
      <c r="Y136">
        <v>2</v>
      </c>
      <c r="Z136">
        <v>2</v>
      </c>
      <c r="AB136">
        <v>0</v>
      </c>
      <c r="AC136">
        <v>2</v>
      </c>
      <c r="AD136">
        <v>2</v>
      </c>
      <c r="AE136">
        <v>2</v>
      </c>
      <c r="AF136">
        <v>2</v>
      </c>
      <c r="AG136">
        <v>0</v>
      </c>
      <c r="AH136">
        <v>0</v>
      </c>
      <c r="AI136">
        <v>0</v>
      </c>
      <c r="AJ136">
        <v>2</v>
      </c>
      <c r="AK136">
        <v>1</v>
      </c>
      <c r="AL136">
        <v>0</v>
      </c>
      <c r="AM136">
        <v>0</v>
      </c>
      <c r="AN136">
        <v>1</v>
      </c>
      <c r="AP136">
        <v>0</v>
      </c>
      <c r="AQ136">
        <v>1</v>
      </c>
      <c r="AR136">
        <v>2</v>
      </c>
      <c r="AT136">
        <v>1</v>
      </c>
      <c r="AU136">
        <v>2</v>
      </c>
      <c r="AV136">
        <v>2</v>
      </c>
      <c r="AX136">
        <v>2</v>
      </c>
      <c r="AY136">
        <v>1</v>
      </c>
      <c r="BA136">
        <v>2</v>
      </c>
      <c r="BB136">
        <v>1</v>
      </c>
      <c r="BD136">
        <v>2</v>
      </c>
      <c r="BE136">
        <v>2</v>
      </c>
      <c r="BH136">
        <v>2</v>
      </c>
      <c r="BI136">
        <v>1</v>
      </c>
      <c r="BJ136">
        <v>2</v>
      </c>
      <c r="BK136">
        <v>1</v>
      </c>
      <c r="BL136">
        <v>2</v>
      </c>
      <c r="BM136">
        <v>0</v>
      </c>
      <c r="BN136">
        <v>1</v>
      </c>
      <c r="BO136">
        <v>1</v>
      </c>
      <c r="BP136">
        <v>1</v>
      </c>
      <c r="BQ136">
        <v>2</v>
      </c>
      <c r="BR136">
        <v>0</v>
      </c>
      <c r="BS136">
        <v>2</v>
      </c>
      <c r="BT136">
        <v>2</v>
      </c>
      <c r="BU136">
        <v>1</v>
      </c>
      <c r="BW136">
        <v>2</v>
      </c>
      <c r="BX136">
        <v>0</v>
      </c>
      <c r="BY136">
        <v>0</v>
      </c>
      <c r="BZ136">
        <v>1</v>
      </c>
      <c r="CA136">
        <v>0</v>
      </c>
    </row>
    <row r="137" spans="1:79" x14ac:dyDescent="0.3">
      <c r="A137">
        <v>538</v>
      </c>
      <c r="B137" t="s">
        <v>279</v>
      </c>
      <c r="D137">
        <v>0</v>
      </c>
      <c r="E137">
        <v>0</v>
      </c>
      <c r="G137">
        <v>2</v>
      </c>
      <c r="H137">
        <v>2</v>
      </c>
      <c r="I137">
        <v>1</v>
      </c>
      <c r="J137">
        <v>2</v>
      </c>
      <c r="K137">
        <v>1</v>
      </c>
      <c r="L137">
        <v>2</v>
      </c>
      <c r="N137">
        <v>2</v>
      </c>
      <c r="P137">
        <v>0</v>
      </c>
      <c r="Q137">
        <v>1</v>
      </c>
      <c r="R137">
        <v>2</v>
      </c>
      <c r="S137">
        <v>1</v>
      </c>
      <c r="T137">
        <v>2</v>
      </c>
      <c r="U137">
        <v>2</v>
      </c>
      <c r="V137">
        <v>0</v>
      </c>
      <c r="W137">
        <v>0</v>
      </c>
      <c r="X137">
        <v>2</v>
      </c>
      <c r="Y137">
        <v>1</v>
      </c>
      <c r="Z137">
        <v>1</v>
      </c>
      <c r="AB137">
        <v>0</v>
      </c>
      <c r="AC137">
        <v>2</v>
      </c>
      <c r="AD137">
        <v>2</v>
      </c>
      <c r="AE137">
        <v>2</v>
      </c>
      <c r="AF137">
        <v>1</v>
      </c>
      <c r="AG137">
        <v>0</v>
      </c>
      <c r="AH137">
        <v>0</v>
      </c>
      <c r="AI137">
        <v>0</v>
      </c>
      <c r="AJ137">
        <v>1</v>
      </c>
      <c r="AK137">
        <v>1</v>
      </c>
      <c r="AL137">
        <v>0</v>
      </c>
      <c r="AM137">
        <v>0</v>
      </c>
      <c r="AN137">
        <v>1</v>
      </c>
      <c r="AP137">
        <v>0</v>
      </c>
      <c r="AQ137">
        <v>1</v>
      </c>
      <c r="AR137">
        <v>2</v>
      </c>
      <c r="AT137">
        <v>2</v>
      </c>
      <c r="AU137">
        <v>2</v>
      </c>
      <c r="AV137">
        <v>2</v>
      </c>
      <c r="AX137">
        <v>2</v>
      </c>
      <c r="AY137">
        <v>1</v>
      </c>
      <c r="BA137">
        <v>2</v>
      </c>
      <c r="BB137">
        <v>2</v>
      </c>
      <c r="BD137">
        <v>2</v>
      </c>
      <c r="BE137">
        <v>1</v>
      </c>
      <c r="BH137">
        <v>2</v>
      </c>
      <c r="BI137">
        <v>1</v>
      </c>
      <c r="BJ137">
        <v>2</v>
      </c>
      <c r="BK137">
        <v>1</v>
      </c>
      <c r="BL137">
        <v>2</v>
      </c>
      <c r="BM137">
        <v>0</v>
      </c>
      <c r="BN137">
        <v>1</v>
      </c>
      <c r="BO137">
        <v>1</v>
      </c>
      <c r="BP137">
        <v>1</v>
      </c>
      <c r="BQ137">
        <v>2</v>
      </c>
      <c r="BR137">
        <v>0</v>
      </c>
      <c r="BS137">
        <v>2</v>
      </c>
      <c r="BT137">
        <v>2</v>
      </c>
      <c r="BU137">
        <v>2</v>
      </c>
      <c r="BW137">
        <v>2</v>
      </c>
      <c r="BX137">
        <v>0</v>
      </c>
      <c r="BY137">
        <v>0</v>
      </c>
      <c r="BZ137">
        <v>1</v>
      </c>
      <c r="CA137">
        <v>0</v>
      </c>
    </row>
    <row r="138" spans="1:79" x14ac:dyDescent="0.3">
      <c r="A138">
        <v>540</v>
      </c>
      <c r="B138" t="s">
        <v>253</v>
      </c>
      <c r="D138">
        <v>0</v>
      </c>
      <c r="E138">
        <v>363113</v>
      </c>
      <c r="G138">
        <v>489015</v>
      </c>
      <c r="H138">
        <v>0</v>
      </c>
      <c r="I138">
        <v>15994</v>
      </c>
      <c r="J138">
        <v>339000</v>
      </c>
      <c r="K138">
        <v>0</v>
      </c>
      <c r="L138">
        <v>0</v>
      </c>
      <c r="N138">
        <v>0</v>
      </c>
      <c r="P138">
        <v>0</v>
      </c>
      <c r="Q138">
        <v>853047</v>
      </c>
      <c r="R138">
        <v>150000</v>
      </c>
      <c r="S138">
        <v>0</v>
      </c>
      <c r="T138">
        <v>0</v>
      </c>
      <c r="U138">
        <v>538798</v>
      </c>
      <c r="V138">
        <v>10000</v>
      </c>
      <c r="W138">
        <v>0</v>
      </c>
      <c r="X138">
        <v>367075</v>
      </c>
      <c r="Y138">
        <v>0</v>
      </c>
      <c r="Z138">
        <v>0</v>
      </c>
      <c r="AB138">
        <v>0</v>
      </c>
      <c r="AC138">
        <v>0</v>
      </c>
      <c r="AD138">
        <v>302854</v>
      </c>
      <c r="AE138">
        <v>572375</v>
      </c>
      <c r="AF138">
        <v>0</v>
      </c>
      <c r="AG138">
        <v>20976</v>
      </c>
      <c r="AH138">
        <v>0</v>
      </c>
      <c r="AI138">
        <v>200000</v>
      </c>
      <c r="AJ138">
        <v>510485</v>
      </c>
      <c r="AK138">
        <v>0</v>
      </c>
      <c r="AL138">
        <v>0</v>
      </c>
      <c r="AM138">
        <v>0</v>
      </c>
      <c r="AN138">
        <v>0</v>
      </c>
      <c r="AP138">
        <v>432107</v>
      </c>
      <c r="AQ138">
        <v>2367586</v>
      </c>
      <c r="AR138">
        <v>0</v>
      </c>
      <c r="AT138">
        <v>0</v>
      </c>
      <c r="AU138">
        <v>0</v>
      </c>
      <c r="AV138">
        <v>0</v>
      </c>
      <c r="AX138">
        <v>0</v>
      </c>
      <c r="AY138">
        <v>0</v>
      </c>
      <c r="BA138">
        <v>0</v>
      </c>
      <c r="BB138">
        <v>0</v>
      </c>
      <c r="BD138">
        <v>68385</v>
      </c>
      <c r="BE138">
        <v>0</v>
      </c>
      <c r="BH138">
        <v>335000</v>
      </c>
      <c r="BI138">
        <v>366154</v>
      </c>
      <c r="BJ138">
        <v>0</v>
      </c>
      <c r="BK138">
        <v>0</v>
      </c>
      <c r="BL138">
        <v>0</v>
      </c>
      <c r="BM138">
        <v>0</v>
      </c>
      <c r="BN138">
        <v>778744</v>
      </c>
      <c r="BO138">
        <v>504626</v>
      </c>
      <c r="BP138">
        <v>50589</v>
      </c>
      <c r="BQ138">
        <v>0</v>
      </c>
      <c r="BR138">
        <v>0</v>
      </c>
      <c r="BS138">
        <v>0</v>
      </c>
      <c r="BT138">
        <v>0</v>
      </c>
      <c r="BU138">
        <v>0</v>
      </c>
      <c r="BW138">
        <v>0</v>
      </c>
      <c r="BX138">
        <v>0</v>
      </c>
      <c r="BY138">
        <v>0</v>
      </c>
      <c r="BZ138">
        <v>2797463</v>
      </c>
      <c r="CA138">
        <v>0</v>
      </c>
    </row>
    <row r="139" spans="1:79" x14ac:dyDescent="0.3">
      <c r="A139">
        <v>541</v>
      </c>
      <c r="B139" t="s">
        <v>308</v>
      </c>
      <c r="D139">
        <v>0</v>
      </c>
      <c r="E139">
        <v>0</v>
      </c>
      <c r="G139">
        <v>10600129</v>
      </c>
      <c r="H139">
        <v>-791277</v>
      </c>
      <c r="I139">
        <v>-13161</v>
      </c>
      <c r="J139">
        <v>122846</v>
      </c>
      <c r="K139">
        <v>141230</v>
      </c>
      <c r="L139">
        <v>2471474</v>
      </c>
      <c r="N139">
        <v>145167</v>
      </c>
      <c r="P139">
        <v>0</v>
      </c>
      <c r="Q139">
        <v>1949720</v>
      </c>
      <c r="R139">
        <v>621139</v>
      </c>
      <c r="S139">
        <v>-1810845</v>
      </c>
      <c r="T139">
        <v>36554</v>
      </c>
      <c r="U139">
        <v>2889964</v>
      </c>
      <c r="V139">
        <v>0</v>
      </c>
      <c r="W139">
        <v>0</v>
      </c>
      <c r="X139">
        <v>0</v>
      </c>
      <c r="Y139">
        <v>90118</v>
      </c>
      <c r="Z139">
        <v>552591</v>
      </c>
      <c r="AB139">
        <v>0</v>
      </c>
      <c r="AC139">
        <v>45718</v>
      </c>
      <c r="AD139">
        <v>40644</v>
      </c>
      <c r="AE139">
        <v>-7402</v>
      </c>
      <c r="AF139">
        <v>-9200</v>
      </c>
      <c r="AG139">
        <v>0</v>
      </c>
      <c r="AH139">
        <v>0</v>
      </c>
      <c r="AI139">
        <v>0</v>
      </c>
      <c r="AJ139">
        <v>-1772073</v>
      </c>
      <c r="AK139">
        <v>-18161</v>
      </c>
      <c r="AL139">
        <v>0</v>
      </c>
      <c r="AM139">
        <v>0</v>
      </c>
      <c r="AN139">
        <v>1427071</v>
      </c>
      <c r="AP139">
        <v>0</v>
      </c>
      <c r="AQ139">
        <v>1469965</v>
      </c>
      <c r="AR139">
        <v>-817175</v>
      </c>
      <c r="AT139">
        <v>-96076</v>
      </c>
      <c r="AU139">
        <v>85553</v>
      </c>
      <c r="AV139">
        <v>159622</v>
      </c>
      <c r="AX139">
        <v>2219124</v>
      </c>
      <c r="AY139">
        <v>128669</v>
      </c>
      <c r="BA139">
        <v>-4304</v>
      </c>
      <c r="BB139">
        <v>53175</v>
      </c>
      <c r="BD139">
        <v>0</v>
      </c>
      <c r="BE139">
        <v>-2368092</v>
      </c>
      <c r="BH139">
        <v>212843</v>
      </c>
      <c r="BI139">
        <v>244903</v>
      </c>
      <c r="BJ139">
        <v>49752</v>
      </c>
      <c r="BK139">
        <v>-79750</v>
      </c>
      <c r="BL139">
        <v>780022</v>
      </c>
      <c r="BM139">
        <v>0</v>
      </c>
      <c r="BN139">
        <v>188734</v>
      </c>
      <c r="BO139">
        <v>678784</v>
      </c>
      <c r="BP139">
        <v>-445374</v>
      </c>
      <c r="BQ139">
        <v>131615</v>
      </c>
      <c r="BR139">
        <v>0</v>
      </c>
      <c r="BS139">
        <v>0</v>
      </c>
      <c r="BT139">
        <v>-18987</v>
      </c>
      <c r="BU139">
        <v>483739</v>
      </c>
      <c r="BW139">
        <v>327589</v>
      </c>
      <c r="BX139">
        <v>0</v>
      </c>
      <c r="BY139">
        <v>0</v>
      </c>
      <c r="BZ139">
        <v>-1042797</v>
      </c>
      <c r="CA139">
        <v>0</v>
      </c>
    </row>
    <row r="140" spans="1:79" x14ac:dyDescent="0.3">
      <c r="A140">
        <v>542</v>
      </c>
      <c r="B140" t="s">
        <v>889</v>
      </c>
      <c r="D140">
        <v>0</v>
      </c>
      <c r="E140">
        <v>0</v>
      </c>
      <c r="G140">
        <v>0</v>
      </c>
      <c r="H140">
        <v>2477250</v>
      </c>
      <c r="I140">
        <v>44091</v>
      </c>
      <c r="J140">
        <v>96500</v>
      </c>
      <c r="K140">
        <v>0</v>
      </c>
      <c r="L140">
        <v>0</v>
      </c>
      <c r="N140">
        <v>0</v>
      </c>
      <c r="P140">
        <v>0</v>
      </c>
      <c r="Q140">
        <v>0</v>
      </c>
      <c r="R140">
        <v>0</v>
      </c>
      <c r="S140">
        <v>0</v>
      </c>
      <c r="T140">
        <v>0</v>
      </c>
      <c r="U140">
        <v>0</v>
      </c>
      <c r="V140">
        <v>0</v>
      </c>
      <c r="W140">
        <v>0</v>
      </c>
      <c r="X140">
        <v>0</v>
      </c>
      <c r="Y140">
        <v>0</v>
      </c>
      <c r="Z140">
        <v>0</v>
      </c>
      <c r="AB140">
        <v>0</v>
      </c>
      <c r="AC140">
        <v>0</v>
      </c>
      <c r="AD140">
        <v>0</v>
      </c>
      <c r="AE140">
        <v>0</v>
      </c>
      <c r="AF140">
        <v>10000</v>
      </c>
      <c r="AG140">
        <v>0</v>
      </c>
      <c r="AH140">
        <v>0</v>
      </c>
      <c r="AI140">
        <v>0</v>
      </c>
      <c r="AJ140">
        <v>0</v>
      </c>
      <c r="AK140">
        <v>0</v>
      </c>
      <c r="AL140">
        <v>0</v>
      </c>
      <c r="AM140">
        <v>0</v>
      </c>
      <c r="AN140">
        <v>0</v>
      </c>
      <c r="AP140">
        <v>0</v>
      </c>
      <c r="AQ140">
        <v>372181</v>
      </c>
      <c r="AR140">
        <v>0</v>
      </c>
      <c r="AT140">
        <v>0</v>
      </c>
      <c r="AU140">
        <v>0</v>
      </c>
      <c r="AV140">
        <v>0</v>
      </c>
      <c r="AX140">
        <v>0</v>
      </c>
      <c r="AY140">
        <v>0</v>
      </c>
      <c r="BA140">
        <v>0</v>
      </c>
      <c r="BB140">
        <v>0</v>
      </c>
      <c r="BD140">
        <v>0</v>
      </c>
      <c r="BE140">
        <v>0</v>
      </c>
      <c r="BH140">
        <v>0</v>
      </c>
      <c r="BI140">
        <v>0</v>
      </c>
      <c r="BJ140">
        <v>0</v>
      </c>
      <c r="BK140">
        <v>0</v>
      </c>
      <c r="BL140">
        <v>0</v>
      </c>
      <c r="BM140">
        <v>0</v>
      </c>
      <c r="BN140">
        <v>541943</v>
      </c>
      <c r="BO140">
        <v>40000</v>
      </c>
      <c r="BP140">
        <v>0</v>
      </c>
      <c r="BQ140">
        <v>0</v>
      </c>
      <c r="BR140">
        <v>0</v>
      </c>
      <c r="BS140">
        <v>0</v>
      </c>
      <c r="BT140">
        <v>0</v>
      </c>
      <c r="BU140">
        <v>0</v>
      </c>
      <c r="BW140">
        <v>0</v>
      </c>
      <c r="BX140">
        <v>0</v>
      </c>
      <c r="BY140">
        <v>0</v>
      </c>
      <c r="BZ140">
        <v>2248925</v>
      </c>
      <c r="CA140">
        <v>0</v>
      </c>
    </row>
    <row r="141" spans="1:79" x14ac:dyDescent="0.3">
      <c r="A141">
        <v>544</v>
      </c>
      <c r="B141" t="s">
        <v>52</v>
      </c>
      <c r="D141">
        <v>0</v>
      </c>
      <c r="E141">
        <v>0</v>
      </c>
      <c r="G141">
        <v>-4.2000000000000003E-2</v>
      </c>
      <c r="H141">
        <v>0</v>
      </c>
      <c r="I141">
        <v>0</v>
      </c>
      <c r="J141">
        <v>0.01</v>
      </c>
      <c r="K141">
        <v>0</v>
      </c>
      <c r="L141">
        <v>0</v>
      </c>
      <c r="N141">
        <v>0</v>
      </c>
      <c r="P141">
        <v>0</v>
      </c>
      <c r="Q141">
        <v>0</v>
      </c>
      <c r="R141">
        <v>5.0000000000000001E-4</v>
      </c>
      <c r="S141">
        <v>0</v>
      </c>
      <c r="T141">
        <v>0</v>
      </c>
      <c r="U141">
        <v>0</v>
      </c>
      <c r="V141">
        <v>0</v>
      </c>
      <c r="W141">
        <v>0</v>
      </c>
      <c r="X141">
        <v>0.03</v>
      </c>
      <c r="Y141">
        <v>0</v>
      </c>
      <c r="Z141">
        <v>0</v>
      </c>
      <c r="AB141">
        <v>0</v>
      </c>
      <c r="AC141">
        <v>0</v>
      </c>
      <c r="AD141">
        <v>0</v>
      </c>
      <c r="AE141">
        <v>0</v>
      </c>
      <c r="AF141">
        <v>0.05</v>
      </c>
      <c r="AG141">
        <v>0</v>
      </c>
      <c r="AH141">
        <v>0</v>
      </c>
      <c r="AI141">
        <v>0</v>
      </c>
      <c r="AJ141">
        <v>0</v>
      </c>
      <c r="AK141">
        <v>0</v>
      </c>
      <c r="AL141">
        <v>0</v>
      </c>
      <c r="AM141">
        <v>0</v>
      </c>
      <c r="AN141">
        <v>0</v>
      </c>
      <c r="AP141">
        <v>0</v>
      </c>
      <c r="AQ141">
        <v>0</v>
      </c>
      <c r="AR141">
        <v>0</v>
      </c>
      <c r="AT141">
        <v>0</v>
      </c>
      <c r="AU141">
        <v>0</v>
      </c>
      <c r="AV141">
        <v>0</v>
      </c>
      <c r="AX141">
        <v>0</v>
      </c>
      <c r="AY141">
        <v>0</v>
      </c>
      <c r="BA141">
        <v>0</v>
      </c>
      <c r="BB141">
        <v>0</v>
      </c>
      <c r="BD141">
        <v>0</v>
      </c>
      <c r="BE141">
        <v>0</v>
      </c>
      <c r="BH141">
        <v>0</v>
      </c>
      <c r="BI141">
        <v>0</v>
      </c>
      <c r="BJ141">
        <v>0</v>
      </c>
      <c r="BK141">
        <v>0</v>
      </c>
      <c r="BL141">
        <v>0</v>
      </c>
      <c r="BM141">
        <v>0</v>
      </c>
      <c r="BN141">
        <v>0.04</v>
      </c>
      <c r="BO141">
        <v>0</v>
      </c>
      <c r="BP141">
        <v>0</v>
      </c>
      <c r="BQ141">
        <v>0</v>
      </c>
      <c r="BR141">
        <v>0</v>
      </c>
      <c r="BS141">
        <v>0</v>
      </c>
      <c r="BT141">
        <v>0</v>
      </c>
      <c r="BU141">
        <v>0</v>
      </c>
      <c r="BW141">
        <v>0</v>
      </c>
      <c r="BX141">
        <v>0</v>
      </c>
      <c r="BY141">
        <v>0</v>
      </c>
      <c r="BZ141">
        <v>0</v>
      </c>
      <c r="CA141">
        <v>0</v>
      </c>
    </row>
    <row r="142" spans="1:79" x14ac:dyDescent="0.3">
      <c r="A142">
        <v>545</v>
      </c>
      <c r="B142" t="s">
        <v>53</v>
      </c>
      <c r="D142">
        <v>0</v>
      </c>
      <c r="E142">
        <v>0</v>
      </c>
      <c r="G142">
        <v>0</v>
      </c>
      <c r="H142">
        <v>0</v>
      </c>
      <c r="I142">
        <v>0</v>
      </c>
      <c r="J142">
        <v>0</v>
      </c>
      <c r="K142">
        <v>0</v>
      </c>
      <c r="L142">
        <v>0</v>
      </c>
      <c r="N142">
        <v>0</v>
      </c>
      <c r="P142">
        <v>0</v>
      </c>
      <c r="Q142">
        <v>3.5000000000000003E-2</v>
      </c>
      <c r="R142">
        <v>0</v>
      </c>
      <c r="S142">
        <v>0.05</v>
      </c>
      <c r="T142">
        <v>0</v>
      </c>
      <c r="U142">
        <v>0</v>
      </c>
      <c r="V142">
        <v>0</v>
      </c>
      <c r="W142">
        <v>0</v>
      </c>
      <c r="X142">
        <v>0</v>
      </c>
      <c r="Y142">
        <v>0</v>
      </c>
      <c r="Z142">
        <v>0</v>
      </c>
      <c r="AB142">
        <v>0</v>
      </c>
      <c r="AC142">
        <v>0</v>
      </c>
      <c r="AD142">
        <v>0</v>
      </c>
      <c r="AE142">
        <v>0</v>
      </c>
      <c r="AF142">
        <v>0</v>
      </c>
      <c r="AG142">
        <v>0</v>
      </c>
      <c r="AH142">
        <v>0</v>
      </c>
      <c r="AI142">
        <v>0</v>
      </c>
      <c r="AJ142">
        <v>0</v>
      </c>
      <c r="AK142">
        <v>0</v>
      </c>
      <c r="AL142">
        <v>0</v>
      </c>
      <c r="AM142">
        <v>0</v>
      </c>
      <c r="AN142">
        <v>0</v>
      </c>
      <c r="AP142">
        <v>0</v>
      </c>
      <c r="AQ142">
        <v>0</v>
      </c>
      <c r="AR142">
        <v>0</v>
      </c>
      <c r="AT142">
        <v>0</v>
      </c>
      <c r="AU142">
        <v>0</v>
      </c>
      <c r="AV142">
        <v>0</v>
      </c>
      <c r="AX142">
        <v>0</v>
      </c>
      <c r="AY142">
        <v>0</v>
      </c>
      <c r="BA142">
        <v>0</v>
      </c>
      <c r="BB142">
        <v>0</v>
      </c>
      <c r="BD142">
        <v>0</v>
      </c>
      <c r="BE142">
        <v>0</v>
      </c>
      <c r="BH142">
        <v>0</v>
      </c>
      <c r="BI142">
        <v>0</v>
      </c>
      <c r="BJ142">
        <v>0</v>
      </c>
      <c r="BK142">
        <v>0</v>
      </c>
      <c r="BL142">
        <v>0</v>
      </c>
      <c r="BM142">
        <v>0</v>
      </c>
      <c r="BN142">
        <v>0</v>
      </c>
      <c r="BO142">
        <v>0</v>
      </c>
      <c r="BP142">
        <v>0</v>
      </c>
      <c r="BQ142">
        <v>0</v>
      </c>
      <c r="BR142">
        <v>0</v>
      </c>
      <c r="BS142">
        <v>0</v>
      </c>
      <c r="BT142">
        <v>0</v>
      </c>
      <c r="BU142">
        <v>0</v>
      </c>
      <c r="BW142">
        <v>0</v>
      </c>
      <c r="BX142">
        <v>0</v>
      </c>
      <c r="BY142">
        <v>0</v>
      </c>
      <c r="BZ142">
        <v>0</v>
      </c>
      <c r="CA142">
        <v>0</v>
      </c>
    </row>
    <row r="143" spans="1:79" x14ac:dyDescent="0.3">
      <c r="A143">
        <v>547</v>
      </c>
      <c r="B143" t="s">
        <v>890</v>
      </c>
      <c r="D143">
        <v>2</v>
      </c>
      <c r="E143">
        <v>2</v>
      </c>
      <c r="G143">
        <v>1</v>
      </c>
      <c r="H143">
        <v>3</v>
      </c>
      <c r="I143">
        <v>4</v>
      </c>
      <c r="J143">
        <v>2</v>
      </c>
      <c r="K143">
        <v>3</v>
      </c>
      <c r="L143">
        <v>3</v>
      </c>
      <c r="N143">
        <v>3</v>
      </c>
      <c r="P143">
        <v>3</v>
      </c>
      <c r="Q143">
        <v>3</v>
      </c>
      <c r="R143">
        <v>3</v>
      </c>
      <c r="S143">
        <v>3</v>
      </c>
      <c r="T143">
        <v>2</v>
      </c>
      <c r="U143">
        <v>3</v>
      </c>
      <c r="V143">
        <v>2</v>
      </c>
      <c r="W143">
        <v>3</v>
      </c>
      <c r="X143">
        <v>3</v>
      </c>
      <c r="Y143">
        <v>3</v>
      </c>
      <c r="Z143">
        <v>2</v>
      </c>
      <c r="AB143">
        <v>2</v>
      </c>
      <c r="AC143">
        <v>2</v>
      </c>
      <c r="AD143">
        <v>2</v>
      </c>
      <c r="AE143">
        <v>2</v>
      </c>
      <c r="AF143">
        <v>2</v>
      </c>
      <c r="AG143">
        <v>0</v>
      </c>
      <c r="AH143">
        <v>2</v>
      </c>
      <c r="AI143">
        <v>2</v>
      </c>
      <c r="AJ143">
        <v>3</v>
      </c>
      <c r="AK143">
        <v>2</v>
      </c>
      <c r="AL143">
        <v>2</v>
      </c>
      <c r="AM143">
        <v>2</v>
      </c>
      <c r="AN143">
        <v>3</v>
      </c>
      <c r="AP143">
        <v>2</v>
      </c>
      <c r="AQ143">
        <v>3</v>
      </c>
      <c r="AR143">
        <v>2</v>
      </c>
      <c r="AT143">
        <v>3</v>
      </c>
      <c r="AU143">
        <v>3</v>
      </c>
      <c r="AV143">
        <v>2</v>
      </c>
      <c r="AX143">
        <v>2</v>
      </c>
      <c r="AY143">
        <v>1</v>
      </c>
      <c r="BA143">
        <v>2</v>
      </c>
      <c r="BB143">
        <v>4</v>
      </c>
      <c r="BD143">
        <v>2</v>
      </c>
      <c r="BE143">
        <v>3</v>
      </c>
      <c r="BH143">
        <v>3</v>
      </c>
      <c r="BI143">
        <v>3</v>
      </c>
      <c r="BJ143">
        <v>2</v>
      </c>
      <c r="BK143">
        <v>3</v>
      </c>
      <c r="BL143">
        <v>3</v>
      </c>
      <c r="BM143">
        <v>2</v>
      </c>
      <c r="BN143">
        <v>3</v>
      </c>
      <c r="BO143">
        <v>2</v>
      </c>
      <c r="BP143">
        <v>2</v>
      </c>
      <c r="BQ143">
        <v>2</v>
      </c>
      <c r="BR143">
        <v>2</v>
      </c>
      <c r="BS143">
        <v>2</v>
      </c>
      <c r="BT143">
        <v>2</v>
      </c>
      <c r="BU143">
        <v>3</v>
      </c>
      <c r="BW143">
        <v>2</v>
      </c>
      <c r="BX143">
        <v>2</v>
      </c>
      <c r="BY143">
        <v>2</v>
      </c>
      <c r="BZ143">
        <v>3</v>
      </c>
      <c r="CA143">
        <v>2</v>
      </c>
    </row>
    <row r="144" spans="1:79" x14ac:dyDescent="0.3">
      <c r="A144">
        <v>554</v>
      </c>
      <c r="B144" t="s">
        <v>318</v>
      </c>
      <c r="E144" s="566">
        <v>4025021</v>
      </c>
      <c r="G144">
        <v>3169395</v>
      </c>
      <c r="H144">
        <v>1431311</v>
      </c>
      <c r="K144">
        <v>919369</v>
      </c>
      <c r="L144">
        <v>1110471</v>
      </c>
      <c r="P144">
        <v>5556367</v>
      </c>
      <c r="Q144">
        <v>3081598</v>
      </c>
      <c r="R144">
        <v>566098</v>
      </c>
      <c r="S144">
        <v>4723028</v>
      </c>
      <c r="U144">
        <v>9901715</v>
      </c>
      <c r="W144">
        <v>1147954</v>
      </c>
      <c r="X144">
        <v>5065555</v>
      </c>
      <c r="Z144">
        <v>892762</v>
      </c>
      <c r="AE144">
        <v>1018433</v>
      </c>
      <c r="AJ144">
        <v>6245963</v>
      </c>
      <c r="AM144">
        <v>3980481</v>
      </c>
      <c r="AN144">
        <v>3818870</v>
      </c>
      <c r="AP144">
        <v>1625161</v>
      </c>
      <c r="AQ144">
        <v>6565027</v>
      </c>
      <c r="AT144">
        <v>947050</v>
      </c>
      <c r="AU144">
        <v>2784706</v>
      </c>
      <c r="AY144">
        <v>1594451</v>
      </c>
      <c r="BB144">
        <v>1151273</v>
      </c>
      <c r="BE144">
        <v>8697167</v>
      </c>
      <c r="BH144">
        <v>497162</v>
      </c>
      <c r="BK144">
        <v>1102647</v>
      </c>
      <c r="BL144">
        <v>993113</v>
      </c>
      <c r="BO144">
        <v>955752</v>
      </c>
      <c r="BQ144">
        <v>852293</v>
      </c>
      <c r="BS144">
        <v>5848998</v>
      </c>
      <c r="BU144">
        <v>243803</v>
      </c>
      <c r="BX144">
        <v>0</v>
      </c>
      <c r="BZ144">
        <v>2026767</v>
      </c>
    </row>
    <row r="145" spans="1:79" x14ac:dyDescent="0.3">
      <c r="A145">
        <v>555</v>
      </c>
      <c r="B145" t="s">
        <v>319</v>
      </c>
      <c r="E145" s="566">
        <v>3984827</v>
      </c>
      <c r="G145">
        <v>1610617</v>
      </c>
      <c r="H145">
        <v>1431311</v>
      </c>
      <c r="K145">
        <v>505915</v>
      </c>
      <c r="L145">
        <v>608548</v>
      </c>
      <c r="P145">
        <v>5421513</v>
      </c>
      <c r="Q145">
        <v>2337008</v>
      </c>
      <c r="R145">
        <v>0</v>
      </c>
      <c r="S145">
        <v>4611413</v>
      </c>
      <c r="U145">
        <v>8738369</v>
      </c>
      <c r="W145">
        <v>1138069</v>
      </c>
      <c r="X145">
        <v>5058055</v>
      </c>
      <c r="Z145">
        <v>859421</v>
      </c>
      <c r="AE145">
        <v>843670</v>
      </c>
      <c r="AJ145">
        <v>5787357</v>
      </c>
      <c r="AM145">
        <v>3980481</v>
      </c>
      <c r="AN145">
        <v>1678857</v>
      </c>
      <c r="AP145">
        <v>1105603</v>
      </c>
      <c r="AQ145">
        <v>6217315</v>
      </c>
      <c r="AT145">
        <v>947050</v>
      </c>
      <c r="AU145">
        <v>2784706</v>
      </c>
      <c r="AY145">
        <v>1594451</v>
      </c>
      <c r="BB145">
        <v>1151273</v>
      </c>
      <c r="BE145">
        <v>8405005</v>
      </c>
      <c r="BH145">
        <v>0</v>
      </c>
      <c r="BK145">
        <v>548638</v>
      </c>
      <c r="BL145">
        <v>529090</v>
      </c>
      <c r="BO145">
        <v>955752</v>
      </c>
      <c r="BQ145">
        <v>852293</v>
      </c>
      <c r="BS145">
        <v>5280498</v>
      </c>
      <c r="BU145">
        <v>0</v>
      </c>
      <c r="BX145">
        <v>0</v>
      </c>
      <c r="BZ145">
        <v>2016944</v>
      </c>
    </row>
    <row r="146" spans="1:79" x14ac:dyDescent="0.3">
      <c r="A146">
        <v>556</v>
      </c>
      <c r="B146" t="s">
        <v>320</v>
      </c>
      <c r="E146" s="566">
        <v>2611705</v>
      </c>
      <c r="G146">
        <v>4564183</v>
      </c>
      <c r="H146">
        <v>293390</v>
      </c>
      <c r="K146">
        <v>115731</v>
      </c>
      <c r="L146">
        <v>1543430</v>
      </c>
      <c r="P146">
        <v>2813992</v>
      </c>
      <c r="Q146">
        <v>1613586</v>
      </c>
      <c r="R146">
        <v>953143</v>
      </c>
      <c r="S146">
        <v>955683</v>
      </c>
      <c r="U146">
        <v>1364391</v>
      </c>
      <c r="W146">
        <v>1703389</v>
      </c>
      <c r="X146">
        <v>817065</v>
      </c>
      <c r="Z146">
        <v>93605</v>
      </c>
      <c r="AE146">
        <v>520767</v>
      </c>
      <c r="AJ146">
        <v>1756265</v>
      </c>
      <c r="AM146">
        <v>2055639</v>
      </c>
      <c r="AN146">
        <v>1310391</v>
      </c>
      <c r="AP146">
        <v>54593</v>
      </c>
      <c r="AQ146">
        <v>372513</v>
      </c>
      <c r="AT146">
        <v>1427452</v>
      </c>
      <c r="AU146">
        <v>357177</v>
      </c>
      <c r="AY146">
        <v>270922</v>
      </c>
      <c r="BB146">
        <v>67061</v>
      </c>
      <c r="BE146">
        <v>9657153</v>
      </c>
      <c r="BH146">
        <v>779250</v>
      </c>
      <c r="BK146">
        <v>178175</v>
      </c>
      <c r="BL146">
        <v>0</v>
      </c>
      <c r="BO146">
        <v>34626</v>
      </c>
      <c r="BQ146">
        <v>60266</v>
      </c>
      <c r="BS146">
        <v>1139905</v>
      </c>
      <c r="BU146">
        <v>820032</v>
      </c>
      <c r="BX146">
        <v>0</v>
      </c>
      <c r="BZ146">
        <v>652733</v>
      </c>
    </row>
    <row r="147" spans="1:79" x14ac:dyDescent="0.3">
      <c r="A147">
        <v>557</v>
      </c>
      <c r="B147" t="s">
        <v>321</v>
      </c>
      <c r="E147" s="566">
        <v>2193375</v>
      </c>
      <c r="G147">
        <v>4257270</v>
      </c>
      <c r="H147">
        <v>0</v>
      </c>
      <c r="K147">
        <v>0</v>
      </c>
      <c r="L147">
        <v>1543430</v>
      </c>
      <c r="P147">
        <v>1827348</v>
      </c>
      <c r="Q147">
        <v>839580</v>
      </c>
      <c r="R147">
        <v>701657</v>
      </c>
      <c r="S147">
        <v>447196</v>
      </c>
      <c r="U147">
        <v>764400</v>
      </c>
      <c r="W147">
        <v>1408247</v>
      </c>
      <c r="X147">
        <v>817065</v>
      </c>
      <c r="Z147">
        <v>0</v>
      </c>
      <c r="AE147">
        <v>473969</v>
      </c>
      <c r="AJ147">
        <v>1306988</v>
      </c>
      <c r="AM147">
        <v>1739182</v>
      </c>
      <c r="AN147">
        <v>1163697</v>
      </c>
      <c r="AP147">
        <v>0</v>
      </c>
      <c r="AQ147">
        <v>0</v>
      </c>
      <c r="AT147">
        <v>654611</v>
      </c>
      <c r="AU147">
        <v>0</v>
      </c>
      <c r="AY147">
        <v>0</v>
      </c>
      <c r="BB147">
        <v>0</v>
      </c>
      <c r="BE147">
        <v>8874676</v>
      </c>
      <c r="BH147">
        <v>397311</v>
      </c>
      <c r="BK147">
        <v>0</v>
      </c>
      <c r="BL147">
        <v>0</v>
      </c>
      <c r="BO147">
        <v>0</v>
      </c>
      <c r="BQ147">
        <v>0</v>
      </c>
      <c r="BS147">
        <v>1062027</v>
      </c>
      <c r="BU147">
        <v>567823</v>
      </c>
      <c r="BX147">
        <v>0</v>
      </c>
      <c r="BZ147">
        <v>502733</v>
      </c>
    </row>
    <row r="148" spans="1:79" x14ac:dyDescent="0.3">
      <c r="A148">
        <v>575</v>
      </c>
      <c r="B148" t="s">
        <v>300</v>
      </c>
      <c r="D148">
        <v>0</v>
      </c>
      <c r="E148">
        <v>0</v>
      </c>
      <c r="G148">
        <v>196542</v>
      </c>
      <c r="H148">
        <v>0</v>
      </c>
      <c r="I148">
        <v>30523</v>
      </c>
      <c r="J148">
        <v>0</v>
      </c>
      <c r="K148">
        <v>0</v>
      </c>
      <c r="L148">
        <v>0</v>
      </c>
      <c r="N148">
        <v>0</v>
      </c>
      <c r="P148">
        <v>0</v>
      </c>
      <c r="Q148">
        <v>0</v>
      </c>
      <c r="R148">
        <v>0</v>
      </c>
      <c r="S148">
        <v>0</v>
      </c>
      <c r="T148">
        <v>117299</v>
      </c>
      <c r="U148">
        <v>0</v>
      </c>
      <c r="V148">
        <v>0</v>
      </c>
      <c r="W148">
        <v>0</v>
      </c>
      <c r="X148">
        <v>0</v>
      </c>
      <c r="Y148">
        <v>0</v>
      </c>
      <c r="Z148">
        <v>0</v>
      </c>
      <c r="AB148">
        <v>0</v>
      </c>
      <c r="AC148">
        <v>5378</v>
      </c>
      <c r="AD148">
        <v>15887</v>
      </c>
      <c r="AE148">
        <v>0</v>
      </c>
      <c r="AF148">
        <v>0</v>
      </c>
      <c r="AG148">
        <v>0</v>
      </c>
      <c r="AH148">
        <v>0</v>
      </c>
      <c r="AI148">
        <v>0</v>
      </c>
      <c r="AJ148">
        <v>0</v>
      </c>
      <c r="AK148">
        <v>0</v>
      </c>
      <c r="AL148">
        <v>0</v>
      </c>
      <c r="AM148">
        <v>0</v>
      </c>
      <c r="AN148">
        <v>0</v>
      </c>
      <c r="AP148">
        <v>0</v>
      </c>
      <c r="AQ148">
        <v>0</v>
      </c>
      <c r="AR148">
        <v>0</v>
      </c>
      <c r="AT148">
        <v>0</v>
      </c>
      <c r="AU148">
        <v>0</v>
      </c>
      <c r="AV148">
        <v>0</v>
      </c>
      <c r="AX148">
        <v>0</v>
      </c>
      <c r="AY148">
        <v>8</v>
      </c>
      <c r="BA148">
        <v>38216</v>
      </c>
      <c r="BB148">
        <v>0</v>
      </c>
      <c r="BD148">
        <v>0</v>
      </c>
      <c r="BE148">
        <v>0</v>
      </c>
      <c r="BH148">
        <v>0</v>
      </c>
      <c r="BI148">
        <v>0</v>
      </c>
      <c r="BJ148">
        <v>10798</v>
      </c>
      <c r="BK148">
        <v>0</v>
      </c>
      <c r="BL148">
        <v>0</v>
      </c>
      <c r="BM148">
        <v>0</v>
      </c>
      <c r="BN148">
        <v>22983</v>
      </c>
      <c r="BO148">
        <v>0</v>
      </c>
      <c r="BP148">
        <v>0</v>
      </c>
      <c r="BQ148">
        <v>0</v>
      </c>
      <c r="BR148">
        <v>0</v>
      </c>
      <c r="BS148">
        <v>0</v>
      </c>
      <c r="BT148">
        <v>0</v>
      </c>
      <c r="BU148">
        <v>571432</v>
      </c>
      <c r="BW148">
        <v>105445</v>
      </c>
      <c r="BX148">
        <v>0</v>
      </c>
      <c r="BY148">
        <v>0</v>
      </c>
      <c r="BZ148">
        <v>0</v>
      </c>
      <c r="CA148">
        <v>0</v>
      </c>
    </row>
    <row r="149" spans="1:79" x14ac:dyDescent="0.3">
      <c r="A149">
        <v>576</v>
      </c>
      <c r="B149" t="s">
        <v>301</v>
      </c>
      <c r="D149">
        <v>0</v>
      </c>
      <c r="E149">
        <v>0</v>
      </c>
      <c r="G149">
        <v>0</v>
      </c>
      <c r="H149">
        <v>0</v>
      </c>
      <c r="I149">
        <v>0</v>
      </c>
      <c r="J149">
        <v>0</v>
      </c>
      <c r="K149">
        <v>20615</v>
      </c>
      <c r="L149">
        <v>0</v>
      </c>
      <c r="N149">
        <v>0</v>
      </c>
      <c r="P149">
        <v>13957</v>
      </c>
      <c r="Q149">
        <v>0</v>
      </c>
      <c r="R149">
        <v>0</v>
      </c>
      <c r="S149">
        <v>0</v>
      </c>
      <c r="T149">
        <v>0</v>
      </c>
      <c r="U149">
        <v>0</v>
      </c>
      <c r="V149">
        <v>0</v>
      </c>
      <c r="W149">
        <v>0</v>
      </c>
      <c r="X149">
        <v>0</v>
      </c>
      <c r="Y149">
        <v>0</v>
      </c>
      <c r="Z149">
        <v>466298</v>
      </c>
      <c r="AB149">
        <v>0</v>
      </c>
      <c r="AC149">
        <v>0</v>
      </c>
      <c r="AD149">
        <v>0</v>
      </c>
      <c r="AE149">
        <v>0</v>
      </c>
      <c r="AF149">
        <v>0</v>
      </c>
      <c r="AG149">
        <v>0</v>
      </c>
      <c r="AH149">
        <v>0</v>
      </c>
      <c r="AI149">
        <v>0</v>
      </c>
      <c r="AJ149">
        <v>0</v>
      </c>
      <c r="AK149">
        <v>10486</v>
      </c>
      <c r="AL149">
        <v>0</v>
      </c>
      <c r="AM149">
        <v>0</v>
      </c>
      <c r="AN149">
        <v>0</v>
      </c>
      <c r="AP149">
        <v>0</v>
      </c>
      <c r="AQ149">
        <v>3735817</v>
      </c>
      <c r="AR149">
        <v>0</v>
      </c>
      <c r="AT149">
        <v>0</v>
      </c>
      <c r="AU149">
        <v>2012105</v>
      </c>
      <c r="AV149">
        <v>53981</v>
      </c>
      <c r="AX149">
        <v>3098565</v>
      </c>
      <c r="AY149">
        <v>0</v>
      </c>
      <c r="BA149">
        <v>0</v>
      </c>
      <c r="BB149">
        <v>0</v>
      </c>
      <c r="BD149">
        <v>0</v>
      </c>
      <c r="BE149">
        <v>2566000</v>
      </c>
      <c r="BH149">
        <v>0</v>
      </c>
      <c r="BI149">
        <v>0</v>
      </c>
      <c r="BJ149">
        <v>0</v>
      </c>
      <c r="BK149">
        <v>0</v>
      </c>
      <c r="BL149">
        <v>0</v>
      </c>
      <c r="BM149">
        <v>0</v>
      </c>
      <c r="BN149">
        <v>0</v>
      </c>
      <c r="BO149">
        <v>0</v>
      </c>
      <c r="BP149">
        <v>0</v>
      </c>
      <c r="BQ149">
        <v>0</v>
      </c>
      <c r="BR149">
        <v>0</v>
      </c>
      <c r="BS149">
        <v>0</v>
      </c>
      <c r="BT149">
        <v>0</v>
      </c>
      <c r="BU149">
        <v>0</v>
      </c>
      <c r="BW149">
        <v>0</v>
      </c>
      <c r="BX149">
        <v>0</v>
      </c>
      <c r="BY149">
        <v>0</v>
      </c>
      <c r="BZ149">
        <v>0</v>
      </c>
      <c r="CA149">
        <v>0</v>
      </c>
    </row>
    <row r="150" spans="1:79" x14ac:dyDescent="0.3">
      <c r="A150">
        <v>577</v>
      </c>
      <c r="B150" t="s">
        <v>891</v>
      </c>
      <c r="D150">
        <v>2</v>
      </c>
      <c r="E150">
        <v>2</v>
      </c>
      <c r="G150">
        <v>2</v>
      </c>
      <c r="H150">
        <v>1</v>
      </c>
      <c r="I150">
        <v>2</v>
      </c>
      <c r="J150">
        <v>0</v>
      </c>
      <c r="K150">
        <v>0</v>
      </c>
      <c r="L150">
        <v>2</v>
      </c>
      <c r="N150">
        <v>2</v>
      </c>
      <c r="P150">
        <v>2</v>
      </c>
      <c r="Q150">
        <v>2</v>
      </c>
      <c r="R150">
        <v>1</v>
      </c>
      <c r="S150">
        <v>2</v>
      </c>
      <c r="T150">
        <v>2</v>
      </c>
      <c r="U150">
        <v>1</v>
      </c>
      <c r="V150">
        <v>2</v>
      </c>
      <c r="W150">
        <v>2</v>
      </c>
      <c r="X150">
        <v>2</v>
      </c>
      <c r="Y150">
        <v>2</v>
      </c>
      <c r="Z150">
        <v>2</v>
      </c>
      <c r="AB150">
        <v>0</v>
      </c>
      <c r="AC150">
        <v>2</v>
      </c>
      <c r="AD150">
        <v>2</v>
      </c>
      <c r="AE150">
        <v>2</v>
      </c>
      <c r="AF150">
        <v>2</v>
      </c>
      <c r="AG150">
        <v>0</v>
      </c>
      <c r="AH150">
        <v>2</v>
      </c>
      <c r="AI150">
        <v>2</v>
      </c>
      <c r="AJ150">
        <v>2</v>
      </c>
      <c r="AK150">
        <v>2</v>
      </c>
      <c r="AL150">
        <v>2</v>
      </c>
      <c r="AM150">
        <v>2</v>
      </c>
      <c r="AN150">
        <v>2</v>
      </c>
      <c r="AP150">
        <v>2</v>
      </c>
      <c r="AQ150">
        <v>2</v>
      </c>
      <c r="AR150">
        <v>2</v>
      </c>
      <c r="AT150">
        <v>2</v>
      </c>
      <c r="AU150">
        <v>2</v>
      </c>
      <c r="AV150">
        <v>2</v>
      </c>
      <c r="AX150">
        <v>1</v>
      </c>
      <c r="AY150">
        <v>2</v>
      </c>
      <c r="BA150">
        <v>2</v>
      </c>
      <c r="BB150">
        <v>2</v>
      </c>
      <c r="BD150">
        <v>2</v>
      </c>
      <c r="BE150">
        <v>2</v>
      </c>
      <c r="BH150">
        <v>2</v>
      </c>
      <c r="BI150">
        <v>2</v>
      </c>
      <c r="BJ150">
        <v>2</v>
      </c>
      <c r="BK150">
        <v>2</v>
      </c>
      <c r="BL150">
        <v>2</v>
      </c>
      <c r="BM150">
        <v>0</v>
      </c>
      <c r="BN150">
        <v>2</v>
      </c>
      <c r="BO150">
        <v>2</v>
      </c>
      <c r="BP150">
        <v>2</v>
      </c>
      <c r="BQ150">
        <v>2</v>
      </c>
      <c r="BR150">
        <v>2</v>
      </c>
      <c r="BS150">
        <v>2</v>
      </c>
      <c r="BT150">
        <v>2</v>
      </c>
      <c r="BU150">
        <v>2</v>
      </c>
      <c r="BW150">
        <v>2</v>
      </c>
      <c r="BX150">
        <v>0</v>
      </c>
      <c r="BY150">
        <v>2</v>
      </c>
      <c r="BZ150">
        <v>2</v>
      </c>
      <c r="CA150">
        <v>2</v>
      </c>
    </row>
    <row r="151" spans="1:79" x14ac:dyDescent="0.3">
      <c r="A151">
        <v>578</v>
      </c>
      <c r="B151" t="s">
        <v>892</v>
      </c>
      <c r="D151">
        <v>0</v>
      </c>
      <c r="E151">
        <v>0</v>
      </c>
      <c r="G151">
        <v>0</v>
      </c>
      <c r="H151">
        <v>0</v>
      </c>
      <c r="I151">
        <v>0</v>
      </c>
      <c r="J151">
        <v>0</v>
      </c>
      <c r="K151">
        <v>0</v>
      </c>
      <c r="L151">
        <v>0</v>
      </c>
      <c r="N151">
        <v>0</v>
      </c>
      <c r="P151">
        <v>0</v>
      </c>
      <c r="Q151">
        <v>0</v>
      </c>
      <c r="R151">
        <v>0</v>
      </c>
      <c r="S151">
        <v>0</v>
      </c>
      <c r="T151">
        <v>0</v>
      </c>
      <c r="U151">
        <v>0</v>
      </c>
      <c r="V151">
        <v>0</v>
      </c>
      <c r="W151">
        <v>0</v>
      </c>
      <c r="X151">
        <v>0</v>
      </c>
      <c r="Y151">
        <v>0</v>
      </c>
      <c r="Z151">
        <v>0</v>
      </c>
      <c r="AB151">
        <v>0</v>
      </c>
      <c r="AC151">
        <v>0</v>
      </c>
      <c r="AD151">
        <v>0</v>
      </c>
      <c r="AE151">
        <v>0</v>
      </c>
      <c r="AF151">
        <v>0</v>
      </c>
      <c r="AG151">
        <v>0</v>
      </c>
      <c r="AH151">
        <v>0</v>
      </c>
      <c r="AI151">
        <v>0</v>
      </c>
      <c r="AJ151">
        <v>0</v>
      </c>
      <c r="AK151">
        <v>0</v>
      </c>
      <c r="AL151">
        <v>0</v>
      </c>
      <c r="AM151">
        <v>0</v>
      </c>
      <c r="AN151">
        <v>0</v>
      </c>
      <c r="AP151">
        <v>0</v>
      </c>
      <c r="AQ151">
        <v>0</v>
      </c>
      <c r="AR151">
        <v>0</v>
      </c>
      <c r="AT151">
        <v>0</v>
      </c>
      <c r="AU151">
        <v>0</v>
      </c>
      <c r="AV151">
        <v>0</v>
      </c>
      <c r="AX151">
        <v>0</v>
      </c>
      <c r="AY151">
        <v>0</v>
      </c>
      <c r="BA151">
        <v>0</v>
      </c>
      <c r="BB151">
        <v>0</v>
      </c>
      <c r="BD151">
        <v>0</v>
      </c>
      <c r="BE151">
        <v>0</v>
      </c>
      <c r="BH151">
        <v>0</v>
      </c>
      <c r="BI151">
        <v>0</v>
      </c>
      <c r="BJ151">
        <v>0</v>
      </c>
      <c r="BK151">
        <v>0</v>
      </c>
      <c r="BL151">
        <v>0</v>
      </c>
      <c r="BM151">
        <v>0</v>
      </c>
      <c r="BN151">
        <v>0</v>
      </c>
      <c r="BO151">
        <v>0</v>
      </c>
      <c r="BP151">
        <v>0</v>
      </c>
      <c r="BQ151">
        <v>0</v>
      </c>
      <c r="BR151">
        <v>0</v>
      </c>
      <c r="BS151">
        <v>0</v>
      </c>
      <c r="BT151">
        <v>0</v>
      </c>
      <c r="BU151">
        <v>0</v>
      </c>
      <c r="BW151">
        <v>0</v>
      </c>
      <c r="BX151">
        <v>0</v>
      </c>
      <c r="BY151">
        <v>0</v>
      </c>
      <c r="BZ151">
        <v>0</v>
      </c>
      <c r="CA151">
        <v>0</v>
      </c>
    </row>
    <row r="152" spans="1:79" x14ac:dyDescent="0.3">
      <c r="A152">
        <v>579</v>
      </c>
      <c r="B152" t="s">
        <v>893</v>
      </c>
      <c r="D152">
        <v>0</v>
      </c>
      <c r="E152">
        <v>0</v>
      </c>
      <c r="G152">
        <v>0</v>
      </c>
      <c r="H152">
        <v>0</v>
      </c>
      <c r="I152">
        <v>0</v>
      </c>
      <c r="J152">
        <v>0</v>
      </c>
      <c r="K152">
        <v>0</v>
      </c>
      <c r="L152">
        <v>0</v>
      </c>
      <c r="N152">
        <v>0</v>
      </c>
      <c r="P152">
        <v>0</v>
      </c>
      <c r="Q152">
        <v>0</v>
      </c>
      <c r="R152">
        <v>0</v>
      </c>
      <c r="S152">
        <v>0</v>
      </c>
      <c r="T152">
        <v>0</v>
      </c>
      <c r="U152">
        <v>0</v>
      </c>
      <c r="V152">
        <v>0</v>
      </c>
      <c r="W152">
        <v>0</v>
      </c>
      <c r="X152">
        <v>0</v>
      </c>
      <c r="Y152">
        <v>0</v>
      </c>
      <c r="Z152">
        <v>0</v>
      </c>
      <c r="AB152">
        <v>0</v>
      </c>
      <c r="AC152">
        <v>0</v>
      </c>
      <c r="AD152">
        <v>0</v>
      </c>
      <c r="AE152">
        <v>0</v>
      </c>
      <c r="AF152">
        <v>0</v>
      </c>
      <c r="AG152">
        <v>0</v>
      </c>
      <c r="AH152">
        <v>0</v>
      </c>
      <c r="AI152">
        <v>0</v>
      </c>
      <c r="AJ152">
        <v>0</v>
      </c>
      <c r="AK152">
        <v>0</v>
      </c>
      <c r="AL152">
        <v>0</v>
      </c>
      <c r="AM152">
        <v>0</v>
      </c>
      <c r="AN152">
        <v>0</v>
      </c>
      <c r="AP152">
        <v>0</v>
      </c>
      <c r="AQ152">
        <v>0</v>
      </c>
      <c r="AR152">
        <v>0</v>
      </c>
      <c r="AT152">
        <v>0</v>
      </c>
      <c r="AU152">
        <v>0</v>
      </c>
      <c r="AV152">
        <v>0</v>
      </c>
      <c r="AX152">
        <v>0</v>
      </c>
      <c r="AY152">
        <v>0</v>
      </c>
      <c r="BA152">
        <v>0</v>
      </c>
      <c r="BB152">
        <v>0</v>
      </c>
      <c r="BD152">
        <v>0</v>
      </c>
      <c r="BE152">
        <v>0</v>
      </c>
      <c r="BH152">
        <v>0</v>
      </c>
      <c r="BI152">
        <v>0</v>
      </c>
      <c r="BJ152">
        <v>0</v>
      </c>
      <c r="BK152">
        <v>0</v>
      </c>
      <c r="BL152">
        <v>0</v>
      </c>
      <c r="BM152">
        <v>0</v>
      </c>
      <c r="BN152">
        <v>0</v>
      </c>
      <c r="BO152">
        <v>0</v>
      </c>
      <c r="BP152">
        <v>0</v>
      </c>
      <c r="BQ152">
        <v>0</v>
      </c>
      <c r="BR152">
        <v>0</v>
      </c>
      <c r="BS152">
        <v>0</v>
      </c>
      <c r="BT152">
        <v>0</v>
      </c>
      <c r="BU152">
        <v>0</v>
      </c>
      <c r="BW152">
        <v>0</v>
      </c>
      <c r="BX152">
        <v>0</v>
      </c>
      <c r="BY152">
        <v>0</v>
      </c>
      <c r="BZ152">
        <v>0</v>
      </c>
      <c r="CA152">
        <v>0</v>
      </c>
    </row>
    <row r="153" spans="1:79" x14ac:dyDescent="0.3">
      <c r="A153">
        <v>580</v>
      </c>
      <c r="B153" t="s">
        <v>894</v>
      </c>
      <c r="D153">
        <v>0</v>
      </c>
      <c r="E153">
        <v>0</v>
      </c>
      <c r="G153">
        <v>0</v>
      </c>
      <c r="H153">
        <v>0</v>
      </c>
      <c r="I153">
        <v>0</v>
      </c>
      <c r="J153">
        <v>0</v>
      </c>
      <c r="K153">
        <v>0</v>
      </c>
      <c r="L153">
        <v>0</v>
      </c>
      <c r="N153">
        <v>0</v>
      </c>
      <c r="P153">
        <v>0</v>
      </c>
      <c r="Q153">
        <v>0</v>
      </c>
      <c r="R153">
        <v>0</v>
      </c>
      <c r="S153">
        <v>0</v>
      </c>
      <c r="T153">
        <v>0</v>
      </c>
      <c r="U153">
        <v>0</v>
      </c>
      <c r="V153">
        <v>0</v>
      </c>
      <c r="W153">
        <v>0</v>
      </c>
      <c r="X153">
        <v>0</v>
      </c>
      <c r="Y153">
        <v>0</v>
      </c>
      <c r="Z153">
        <v>0</v>
      </c>
      <c r="AB153">
        <v>0</v>
      </c>
      <c r="AC153">
        <v>0</v>
      </c>
      <c r="AD153">
        <v>0</v>
      </c>
      <c r="AE153">
        <v>0</v>
      </c>
      <c r="AF153">
        <v>0</v>
      </c>
      <c r="AG153">
        <v>0</v>
      </c>
      <c r="AH153">
        <v>0</v>
      </c>
      <c r="AI153">
        <v>0</v>
      </c>
      <c r="AJ153">
        <v>0</v>
      </c>
      <c r="AK153">
        <v>0</v>
      </c>
      <c r="AL153">
        <v>0</v>
      </c>
      <c r="AM153">
        <v>0</v>
      </c>
      <c r="AN153">
        <v>0</v>
      </c>
      <c r="AP153">
        <v>0</v>
      </c>
      <c r="AQ153">
        <v>0</v>
      </c>
      <c r="AR153">
        <v>0</v>
      </c>
      <c r="AT153">
        <v>0</v>
      </c>
      <c r="AU153">
        <v>0</v>
      </c>
      <c r="AV153">
        <v>0</v>
      </c>
      <c r="AX153">
        <v>0</v>
      </c>
      <c r="AY153">
        <v>0</v>
      </c>
      <c r="BA153">
        <v>0</v>
      </c>
      <c r="BB153">
        <v>0</v>
      </c>
      <c r="BD153">
        <v>0</v>
      </c>
      <c r="BE153">
        <v>0</v>
      </c>
      <c r="BH153">
        <v>0</v>
      </c>
      <c r="BI153">
        <v>0</v>
      </c>
      <c r="BJ153">
        <v>0</v>
      </c>
      <c r="BK153">
        <v>0</v>
      </c>
      <c r="BL153">
        <v>0</v>
      </c>
      <c r="BM153">
        <v>0</v>
      </c>
      <c r="BN153">
        <v>0</v>
      </c>
      <c r="BO153">
        <v>0</v>
      </c>
      <c r="BP153">
        <v>0</v>
      </c>
      <c r="BQ153">
        <v>0</v>
      </c>
      <c r="BR153">
        <v>0</v>
      </c>
      <c r="BS153">
        <v>0</v>
      </c>
      <c r="BT153">
        <v>0</v>
      </c>
      <c r="BU153">
        <v>0</v>
      </c>
      <c r="BW153">
        <v>0</v>
      </c>
      <c r="BX153">
        <v>0</v>
      </c>
      <c r="BY153">
        <v>0</v>
      </c>
      <c r="BZ153">
        <v>0</v>
      </c>
      <c r="CA153">
        <v>0</v>
      </c>
    </row>
    <row r="154" spans="1:79" x14ac:dyDescent="0.3">
      <c r="A154">
        <v>581</v>
      </c>
      <c r="B154" t="s">
        <v>895</v>
      </c>
      <c r="D154">
        <v>0</v>
      </c>
      <c r="E154">
        <v>0</v>
      </c>
      <c r="G154">
        <v>0</v>
      </c>
      <c r="H154">
        <v>0</v>
      </c>
      <c r="I154">
        <v>0</v>
      </c>
      <c r="J154">
        <v>0</v>
      </c>
      <c r="K154">
        <v>0</v>
      </c>
      <c r="L154">
        <v>0</v>
      </c>
      <c r="N154">
        <v>0</v>
      </c>
      <c r="P154">
        <v>0</v>
      </c>
      <c r="Q154">
        <v>0</v>
      </c>
      <c r="R154">
        <v>0</v>
      </c>
      <c r="S154">
        <v>0</v>
      </c>
      <c r="T154">
        <v>0</v>
      </c>
      <c r="U154">
        <v>0</v>
      </c>
      <c r="V154">
        <v>0</v>
      </c>
      <c r="W154">
        <v>0</v>
      </c>
      <c r="X154">
        <v>0</v>
      </c>
      <c r="Y154">
        <v>0</v>
      </c>
      <c r="Z154">
        <v>0</v>
      </c>
      <c r="AB154">
        <v>0</v>
      </c>
      <c r="AC154">
        <v>0</v>
      </c>
      <c r="AD154">
        <v>0</v>
      </c>
      <c r="AE154">
        <v>0</v>
      </c>
      <c r="AF154">
        <v>0</v>
      </c>
      <c r="AG154">
        <v>0</v>
      </c>
      <c r="AH154">
        <v>0</v>
      </c>
      <c r="AI154">
        <v>0</v>
      </c>
      <c r="AJ154">
        <v>0</v>
      </c>
      <c r="AK154">
        <v>0</v>
      </c>
      <c r="AL154">
        <v>0</v>
      </c>
      <c r="AM154">
        <v>0</v>
      </c>
      <c r="AN154">
        <v>0</v>
      </c>
      <c r="AP154">
        <v>0</v>
      </c>
      <c r="AQ154">
        <v>1387652</v>
      </c>
      <c r="AR154">
        <v>0</v>
      </c>
      <c r="AT154">
        <v>0</v>
      </c>
      <c r="AU154">
        <v>1854744</v>
      </c>
      <c r="AV154">
        <v>0</v>
      </c>
      <c r="AX154">
        <v>0</v>
      </c>
      <c r="AY154">
        <v>0</v>
      </c>
      <c r="BA154">
        <v>0</v>
      </c>
      <c r="BB154">
        <v>0</v>
      </c>
      <c r="BD154">
        <v>0</v>
      </c>
      <c r="BE154">
        <v>0</v>
      </c>
      <c r="BH154">
        <v>0</v>
      </c>
      <c r="BI154">
        <v>0</v>
      </c>
      <c r="BJ154">
        <v>0</v>
      </c>
      <c r="BK154">
        <v>0</v>
      </c>
      <c r="BL154">
        <v>0</v>
      </c>
      <c r="BM154">
        <v>0</v>
      </c>
      <c r="BN154">
        <v>0</v>
      </c>
      <c r="BO154">
        <v>0</v>
      </c>
      <c r="BP154">
        <v>0</v>
      </c>
      <c r="BQ154">
        <v>0</v>
      </c>
      <c r="BR154">
        <v>0</v>
      </c>
      <c r="BS154">
        <v>0</v>
      </c>
      <c r="BT154">
        <v>0</v>
      </c>
      <c r="BU154">
        <v>0</v>
      </c>
      <c r="BW154">
        <v>0</v>
      </c>
      <c r="BX154">
        <v>0</v>
      </c>
      <c r="BY154">
        <v>0</v>
      </c>
      <c r="BZ154">
        <v>0</v>
      </c>
      <c r="CA154">
        <v>0</v>
      </c>
    </row>
    <row r="155" spans="1:79" x14ac:dyDescent="0.3">
      <c r="A155">
        <v>586</v>
      </c>
      <c r="B155" t="s">
        <v>896</v>
      </c>
      <c r="D155">
        <v>0</v>
      </c>
      <c r="E155">
        <v>0</v>
      </c>
      <c r="G155">
        <v>0</v>
      </c>
      <c r="H155">
        <v>0</v>
      </c>
      <c r="I155">
        <v>0</v>
      </c>
      <c r="J155">
        <v>0</v>
      </c>
      <c r="K155">
        <v>340939</v>
      </c>
      <c r="L155">
        <v>0</v>
      </c>
      <c r="N155">
        <v>0</v>
      </c>
      <c r="P155">
        <v>0</v>
      </c>
      <c r="Q155">
        <v>0</v>
      </c>
      <c r="R155">
        <v>0</v>
      </c>
      <c r="S155">
        <v>0</v>
      </c>
      <c r="T155">
        <v>0</v>
      </c>
      <c r="U155">
        <v>0</v>
      </c>
      <c r="V155">
        <v>0</v>
      </c>
      <c r="W155">
        <v>0</v>
      </c>
      <c r="X155">
        <v>0</v>
      </c>
      <c r="Y155">
        <v>0</v>
      </c>
      <c r="Z155">
        <v>0</v>
      </c>
      <c r="AB155">
        <v>0</v>
      </c>
      <c r="AC155">
        <v>0</v>
      </c>
      <c r="AD155">
        <v>0</v>
      </c>
      <c r="AE155">
        <v>0</v>
      </c>
      <c r="AF155">
        <v>0</v>
      </c>
      <c r="AG155">
        <v>0</v>
      </c>
      <c r="AH155">
        <v>0</v>
      </c>
      <c r="AI155">
        <v>0</v>
      </c>
      <c r="AJ155">
        <v>0</v>
      </c>
      <c r="AK155">
        <v>0</v>
      </c>
      <c r="AL155">
        <v>0</v>
      </c>
      <c r="AM155">
        <v>0</v>
      </c>
      <c r="AN155">
        <v>0</v>
      </c>
      <c r="AP155">
        <v>0</v>
      </c>
      <c r="AQ155">
        <v>0</v>
      </c>
      <c r="AR155">
        <v>0</v>
      </c>
      <c r="AT155">
        <v>0</v>
      </c>
      <c r="AU155">
        <v>0</v>
      </c>
      <c r="AV155">
        <v>0</v>
      </c>
      <c r="AX155">
        <v>0</v>
      </c>
      <c r="AY155">
        <v>0</v>
      </c>
      <c r="BA155">
        <v>0</v>
      </c>
      <c r="BB155">
        <v>0</v>
      </c>
      <c r="BD155">
        <v>0</v>
      </c>
      <c r="BE155">
        <v>0</v>
      </c>
      <c r="BH155">
        <v>0</v>
      </c>
      <c r="BI155">
        <v>0</v>
      </c>
      <c r="BJ155">
        <v>0</v>
      </c>
      <c r="BK155">
        <v>0</v>
      </c>
      <c r="BL155">
        <v>0</v>
      </c>
      <c r="BM155">
        <v>0</v>
      </c>
      <c r="BN155">
        <v>0</v>
      </c>
      <c r="BO155">
        <v>0</v>
      </c>
      <c r="BP155">
        <v>0</v>
      </c>
      <c r="BQ155">
        <v>0</v>
      </c>
      <c r="BR155">
        <v>0</v>
      </c>
      <c r="BS155">
        <v>0</v>
      </c>
      <c r="BT155">
        <v>0</v>
      </c>
      <c r="BU155">
        <v>0</v>
      </c>
      <c r="BW155">
        <v>0</v>
      </c>
      <c r="BX155">
        <v>0</v>
      </c>
      <c r="BY155">
        <v>0</v>
      </c>
      <c r="BZ155">
        <v>0</v>
      </c>
      <c r="CA155">
        <v>0</v>
      </c>
    </row>
    <row r="156" spans="1:79" x14ac:dyDescent="0.3">
      <c r="A156">
        <v>590</v>
      </c>
      <c r="B156" t="s">
        <v>1576</v>
      </c>
      <c r="D156" t="s">
        <v>1975</v>
      </c>
      <c r="E156" t="s">
        <v>1975</v>
      </c>
      <c r="G156" t="s">
        <v>1975</v>
      </c>
      <c r="H156" t="s">
        <v>1975</v>
      </c>
      <c r="I156" t="s">
        <v>1975</v>
      </c>
      <c r="K156" t="s">
        <v>1975</v>
      </c>
      <c r="L156" t="s">
        <v>1975</v>
      </c>
      <c r="N156" t="s">
        <v>1975</v>
      </c>
      <c r="P156" t="s">
        <v>2482</v>
      </c>
      <c r="Q156" t="s">
        <v>1975</v>
      </c>
      <c r="R156" t="s">
        <v>1975</v>
      </c>
      <c r="S156" t="s">
        <v>1975</v>
      </c>
      <c r="T156" t="s">
        <v>1975</v>
      </c>
      <c r="U156" t="s">
        <v>1975</v>
      </c>
      <c r="V156" t="s">
        <v>2483</v>
      </c>
      <c r="W156" t="s">
        <v>1975</v>
      </c>
      <c r="X156" t="s">
        <v>1578</v>
      </c>
      <c r="Y156" t="s">
        <v>1975</v>
      </c>
      <c r="Z156" t="s">
        <v>1975</v>
      </c>
      <c r="AB156" t="s">
        <v>1975</v>
      </c>
      <c r="AC156" t="s">
        <v>1975</v>
      </c>
      <c r="AD156" t="s">
        <v>1975</v>
      </c>
      <c r="AE156" t="s">
        <v>1975</v>
      </c>
      <c r="AF156" t="s">
        <v>1578</v>
      </c>
      <c r="AG156" t="s">
        <v>1578</v>
      </c>
      <c r="AH156" t="s">
        <v>1975</v>
      </c>
      <c r="AI156" t="s">
        <v>1975</v>
      </c>
      <c r="AJ156" t="s">
        <v>1975</v>
      </c>
      <c r="AK156" t="s">
        <v>1975</v>
      </c>
      <c r="AL156" t="s">
        <v>1975</v>
      </c>
      <c r="AM156" t="s">
        <v>1975</v>
      </c>
      <c r="AN156" t="s">
        <v>1975</v>
      </c>
      <c r="AP156" t="s">
        <v>2484</v>
      </c>
      <c r="AQ156" t="s">
        <v>1975</v>
      </c>
      <c r="AR156" t="s">
        <v>2485</v>
      </c>
      <c r="AT156" t="s">
        <v>1975</v>
      </c>
      <c r="AV156" t="s">
        <v>1975</v>
      </c>
      <c r="AX156" t="s">
        <v>1975</v>
      </c>
      <c r="AY156" t="s">
        <v>1975</v>
      </c>
      <c r="BA156" t="s">
        <v>1975</v>
      </c>
      <c r="BB156" t="s">
        <v>1975</v>
      </c>
      <c r="BD156" t="s">
        <v>1578</v>
      </c>
      <c r="BE156" t="s">
        <v>1975</v>
      </c>
      <c r="BH156" t="s">
        <v>1975</v>
      </c>
      <c r="BI156" t="s">
        <v>1975</v>
      </c>
      <c r="BJ156" t="s">
        <v>1577</v>
      </c>
      <c r="BK156" t="s">
        <v>1577</v>
      </c>
      <c r="BL156" t="s">
        <v>1975</v>
      </c>
      <c r="BM156" t="s">
        <v>1975</v>
      </c>
      <c r="BN156" t="s">
        <v>1975</v>
      </c>
      <c r="BO156" t="s">
        <v>1975</v>
      </c>
      <c r="BP156" t="s">
        <v>1578</v>
      </c>
      <c r="BQ156" t="s">
        <v>1975</v>
      </c>
      <c r="BR156" t="s">
        <v>1975</v>
      </c>
      <c r="BS156" t="s">
        <v>1975</v>
      </c>
      <c r="BT156" t="s">
        <v>1975</v>
      </c>
      <c r="BU156" t="s">
        <v>1975</v>
      </c>
      <c r="BW156" t="s">
        <v>1975</v>
      </c>
      <c r="BX156" t="s">
        <v>1975</v>
      </c>
      <c r="BY156" t="s">
        <v>1975</v>
      </c>
      <c r="BZ156" t="s">
        <v>1975</v>
      </c>
      <c r="CA156" t="s">
        <v>1577</v>
      </c>
    </row>
    <row r="157" spans="1:79" x14ac:dyDescent="0.3">
      <c r="A157">
        <v>591</v>
      </c>
      <c r="B157" t="s">
        <v>327</v>
      </c>
      <c r="D157">
        <v>0</v>
      </c>
      <c r="E157">
        <v>881658</v>
      </c>
      <c r="G157">
        <v>34925821</v>
      </c>
      <c r="H157">
        <v>3719179</v>
      </c>
      <c r="I157">
        <v>231294</v>
      </c>
      <c r="J157">
        <v>1104125</v>
      </c>
      <c r="K157">
        <v>1183483</v>
      </c>
      <c r="L157">
        <v>29793224</v>
      </c>
      <c r="N157">
        <v>690433</v>
      </c>
      <c r="P157">
        <v>2116917</v>
      </c>
      <c r="Q157">
        <v>4408832</v>
      </c>
      <c r="R157">
        <v>6703691</v>
      </c>
      <c r="S157">
        <v>29971844</v>
      </c>
      <c r="T157">
        <v>337842</v>
      </c>
      <c r="U157">
        <v>63996087</v>
      </c>
      <c r="V157">
        <v>0</v>
      </c>
      <c r="W157">
        <v>0</v>
      </c>
      <c r="X157">
        <v>0</v>
      </c>
      <c r="Y157">
        <v>2156117</v>
      </c>
      <c r="Z157">
        <v>4766618</v>
      </c>
      <c r="AB157">
        <v>0</v>
      </c>
      <c r="AC157">
        <v>107061</v>
      </c>
      <c r="AD157">
        <v>1478759</v>
      </c>
      <c r="AE157">
        <v>8541617</v>
      </c>
      <c r="AF157">
        <v>86362</v>
      </c>
      <c r="AG157">
        <v>0</v>
      </c>
      <c r="AH157">
        <v>0</v>
      </c>
      <c r="AI157">
        <v>29061</v>
      </c>
      <c r="AJ157">
        <v>24801370</v>
      </c>
      <c r="AK157">
        <v>313538</v>
      </c>
      <c r="AL157">
        <v>0</v>
      </c>
      <c r="AM157">
        <v>0</v>
      </c>
      <c r="AN157">
        <v>9262802</v>
      </c>
      <c r="AP157">
        <v>0</v>
      </c>
      <c r="AQ157">
        <v>71352561</v>
      </c>
      <c r="AR157">
        <v>1683336</v>
      </c>
      <c r="AT157">
        <v>3141561</v>
      </c>
      <c r="AU157">
        <v>14706605</v>
      </c>
      <c r="AV157">
        <v>378414</v>
      </c>
      <c r="AX157">
        <v>854934</v>
      </c>
      <c r="AY157">
        <v>2294637</v>
      </c>
      <c r="BA157">
        <v>23604</v>
      </c>
      <c r="BB157">
        <v>5305159</v>
      </c>
      <c r="BD157">
        <v>0</v>
      </c>
      <c r="BE157">
        <v>43928929</v>
      </c>
      <c r="BH157">
        <v>1840436</v>
      </c>
      <c r="BI157">
        <v>898919</v>
      </c>
      <c r="BJ157">
        <v>790446</v>
      </c>
      <c r="BK157">
        <v>11449848</v>
      </c>
      <c r="BL157">
        <v>1942270</v>
      </c>
      <c r="BM157">
        <v>0</v>
      </c>
      <c r="BN157">
        <v>4671280</v>
      </c>
      <c r="BO157">
        <v>1247784</v>
      </c>
      <c r="BP157">
        <v>891449</v>
      </c>
      <c r="BQ157">
        <v>1793058</v>
      </c>
      <c r="BR157">
        <v>0</v>
      </c>
      <c r="BS157">
        <v>0</v>
      </c>
      <c r="BT157">
        <v>1024103</v>
      </c>
      <c r="BU157">
        <v>2891268</v>
      </c>
      <c r="BW157">
        <v>0</v>
      </c>
      <c r="BX157">
        <v>0</v>
      </c>
      <c r="BY157">
        <v>0</v>
      </c>
      <c r="BZ157">
        <v>8963936</v>
      </c>
      <c r="CA157">
        <v>0</v>
      </c>
    </row>
    <row r="158" spans="1:79" x14ac:dyDescent="0.3">
      <c r="A158">
        <v>592</v>
      </c>
      <c r="B158" t="s">
        <v>328</v>
      </c>
      <c r="D158">
        <v>0</v>
      </c>
      <c r="E158">
        <v>695413</v>
      </c>
      <c r="G158">
        <v>7902614</v>
      </c>
      <c r="H158">
        <v>507205</v>
      </c>
      <c r="I158">
        <v>17393</v>
      </c>
      <c r="J158">
        <v>-59277</v>
      </c>
      <c r="K158">
        <v>168056</v>
      </c>
      <c r="L158">
        <v>3512391</v>
      </c>
      <c r="N158">
        <v>58395</v>
      </c>
      <c r="P158">
        <v>-620434</v>
      </c>
      <c r="Q158">
        <v>1579743</v>
      </c>
      <c r="R158">
        <v>566535</v>
      </c>
      <c r="S158">
        <v>3202657</v>
      </c>
      <c r="T158">
        <v>-90683</v>
      </c>
      <c r="U158">
        <v>10471894</v>
      </c>
      <c r="V158">
        <v>0</v>
      </c>
      <c r="W158">
        <v>0</v>
      </c>
      <c r="X158">
        <v>0</v>
      </c>
      <c r="Y158">
        <v>608704</v>
      </c>
      <c r="Z158">
        <v>403946</v>
      </c>
      <c r="AB158">
        <v>0</v>
      </c>
      <c r="AC158">
        <v>45718</v>
      </c>
      <c r="AD158">
        <v>-106315</v>
      </c>
      <c r="AE158">
        <v>313191</v>
      </c>
      <c r="AF158">
        <v>-36168</v>
      </c>
      <c r="AG158">
        <v>0</v>
      </c>
      <c r="AH158">
        <v>0</v>
      </c>
      <c r="AI158">
        <v>48927</v>
      </c>
      <c r="AJ158">
        <v>-1563888</v>
      </c>
      <c r="AK158">
        <v>-46068</v>
      </c>
      <c r="AL158">
        <v>0</v>
      </c>
      <c r="AM158">
        <v>0</v>
      </c>
      <c r="AN158">
        <v>1427071</v>
      </c>
      <c r="AP158">
        <v>0</v>
      </c>
      <c r="AQ158">
        <v>18218779</v>
      </c>
      <c r="AR158">
        <v>-27470</v>
      </c>
      <c r="AT158">
        <v>-350522</v>
      </c>
      <c r="AU158">
        <v>1128460</v>
      </c>
      <c r="AV158">
        <v>131932</v>
      </c>
      <c r="AX158">
        <v>1940866</v>
      </c>
      <c r="AY158">
        <v>-158735</v>
      </c>
      <c r="BA158">
        <v>-4304</v>
      </c>
      <c r="BB158">
        <v>227516</v>
      </c>
      <c r="BD158">
        <v>0</v>
      </c>
      <c r="BE158">
        <v>16312316</v>
      </c>
      <c r="BH158">
        <v>413970</v>
      </c>
      <c r="BI158">
        <v>363236</v>
      </c>
      <c r="BJ158">
        <v>-22174</v>
      </c>
      <c r="BK158">
        <v>-1243390</v>
      </c>
      <c r="BL158">
        <v>1084522</v>
      </c>
      <c r="BM158">
        <v>0</v>
      </c>
      <c r="BN158">
        <v>-197414</v>
      </c>
      <c r="BO158">
        <v>384184</v>
      </c>
      <c r="BP158">
        <v>113500</v>
      </c>
      <c r="BQ158">
        <v>85175</v>
      </c>
      <c r="BR158">
        <v>0</v>
      </c>
      <c r="BS158">
        <v>0</v>
      </c>
      <c r="BT158">
        <v>-117329</v>
      </c>
      <c r="BU158">
        <v>1697626</v>
      </c>
      <c r="BW158">
        <v>0</v>
      </c>
      <c r="BX158">
        <v>0</v>
      </c>
      <c r="BY158">
        <v>0</v>
      </c>
      <c r="BZ158">
        <v>8151672</v>
      </c>
      <c r="CA158">
        <v>0</v>
      </c>
    </row>
    <row r="159" spans="1:79" x14ac:dyDescent="0.3">
      <c r="A159">
        <v>596</v>
      </c>
      <c r="B159" t="s">
        <v>333</v>
      </c>
      <c r="D159">
        <v>0</v>
      </c>
      <c r="E159">
        <v>0</v>
      </c>
      <c r="G159">
        <v>52</v>
      </c>
      <c r="H159">
        <v>52</v>
      </c>
      <c r="I159">
        <v>52</v>
      </c>
      <c r="J159">
        <v>52</v>
      </c>
      <c r="K159">
        <v>52</v>
      </c>
      <c r="L159">
        <v>52</v>
      </c>
      <c r="N159">
        <v>52</v>
      </c>
      <c r="P159">
        <v>0</v>
      </c>
      <c r="Q159">
        <v>52</v>
      </c>
      <c r="R159">
        <v>52</v>
      </c>
      <c r="S159">
        <v>52</v>
      </c>
      <c r="T159">
        <v>52</v>
      </c>
      <c r="U159">
        <v>52</v>
      </c>
      <c r="V159">
        <v>0</v>
      </c>
      <c r="W159">
        <v>0</v>
      </c>
      <c r="X159">
        <v>52</v>
      </c>
      <c r="Y159">
        <v>52</v>
      </c>
      <c r="Z159">
        <v>52</v>
      </c>
      <c r="AB159">
        <v>0</v>
      </c>
      <c r="AC159">
        <v>52</v>
      </c>
      <c r="AD159">
        <v>52</v>
      </c>
      <c r="AE159">
        <v>52</v>
      </c>
      <c r="AF159">
        <v>52</v>
      </c>
      <c r="AG159">
        <v>0</v>
      </c>
      <c r="AH159">
        <v>0</v>
      </c>
      <c r="AI159">
        <v>0</v>
      </c>
      <c r="AJ159">
        <v>52</v>
      </c>
      <c r="AK159">
        <v>52</v>
      </c>
      <c r="AL159">
        <v>0</v>
      </c>
      <c r="AM159">
        <v>52</v>
      </c>
      <c r="AN159">
        <v>52</v>
      </c>
      <c r="AP159">
        <v>0</v>
      </c>
      <c r="AQ159">
        <v>52</v>
      </c>
      <c r="AR159">
        <v>52</v>
      </c>
      <c r="AT159">
        <v>52</v>
      </c>
      <c r="AU159">
        <v>52</v>
      </c>
      <c r="AV159">
        <v>52</v>
      </c>
      <c r="AX159">
        <v>52</v>
      </c>
      <c r="AY159">
        <v>52</v>
      </c>
      <c r="BA159">
        <v>52</v>
      </c>
      <c r="BB159">
        <v>52</v>
      </c>
      <c r="BD159">
        <v>52</v>
      </c>
      <c r="BE159">
        <v>52</v>
      </c>
      <c r="BH159">
        <v>52</v>
      </c>
      <c r="BI159">
        <v>52</v>
      </c>
      <c r="BJ159">
        <v>52</v>
      </c>
      <c r="BK159">
        <v>52</v>
      </c>
      <c r="BL159">
        <v>52</v>
      </c>
      <c r="BM159">
        <v>0</v>
      </c>
      <c r="BN159">
        <v>52</v>
      </c>
      <c r="BO159">
        <v>52</v>
      </c>
      <c r="BP159">
        <v>52</v>
      </c>
      <c r="BQ159">
        <v>52</v>
      </c>
      <c r="BR159">
        <v>52</v>
      </c>
      <c r="BS159">
        <v>52</v>
      </c>
      <c r="BT159">
        <v>52</v>
      </c>
      <c r="BU159">
        <v>52</v>
      </c>
      <c r="BW159">
        <v>52</v>
      </c>
      <c r="BX159">
        <v>0</v>
      </c>
      <c r="BY159">
        <v>0</v>
      </c>
      <c r="BZ159">
        <v>52</v>
      </c>
      <c r="CA159">
        <v>52</v>
      </c>
    </row>
    <row r="160" spans="1:79" x14ac:dyDescent="0.3">
      <c r="A160">
        <v>597</v>
      </c>
      <c r="B160" t="s">
        <v>336</v>
      </c>
      <c r="D160">
        <v>85072</v>
      </c>
      <c r="E160">
        <v>2402493</v>
      </c>
      <c r="G160">
        <v>3927910</v>
      </c>
      <c r="H160">
        <v>471534</v>
      </c>
      <c r="I160">
        <v>13421</v>
      </c>
      <c r="J160">
        <v>281773</v>
      </c>
      <c r="K160">
        <v>41944</v>
      </c>
      <c r="L160">
        <v>2722096</v>
      </c>
      <c r="N160">
        <v>20282</v>
      </c>
      <c r="P160">
        <v>1358689</v>
      </c>
      <c r="Q160">
        <v>667681</v>
      </c>
      <c r="R160">
        <v>285317</v>
      </c>
      <c r="S160">
        <v>1077822</v>
      </c>
      <c r="T160">
        <v>330</v>
      </c>
      <c r="U160">
        <v>207392</v>
      </c>
      <c r="V160">
        <v>609</v>
      </c>
      <c r="W160">
        <v>0</v>
      </c>
      <c r="X160">
        <v>808518</v>
      </c>
      <c r="Y160">
        <v>121195</v>
      </c>
      <c r="Z160">
        <v>129862</v>
      </c>
      <c r="AB160">
        <v>0</v>
      </c>
      <c r="AC160">
        <v>789</v>
      </c>
      <c r="AD160">
        <v>0</v>
      </c>
      <c r="AE160">
        <v>220807</v>
      </c>
      <c r="AF160">
        <v>3086</v>
      </c>
      <c r="AG160">
        <v>173</v>
      </c>
      <c r="AH160">
        <v>5912</v>
      </c>
      <c r="AI160">
        <v>128386</v>
      </c>
      <c r="AJ160">
        <v>447795</v>
      </c>
      <c r="AK160">
        <v>647</v>
      </c>
      <c r="AL160">
        <v>2117</v>
      </c>
      <c r="AM160">
        <v>1126932</v>
      </c>
      <c r="AN160">
        <v>995416</v>
      </c>
      <c r="AP160">
        <v>409207</v>
      </c>
      <c r="AQ160">
        <v>3719923</v>
      </c>
      <c r="AR160">
        <v>88061</v>
      </c>
      <c r="AT160">
        <v>134357</v>
      </c>
      <c r="AU160">
        <v>747563</v>
      </c>
      <c r="AV160">
        <v>28</v>
      </c>
      <c r="AX160">
        <v>251778</v>
      </c>
      <c r="AY160">
        <v>130906</v>
      </c>
      <c r="BA160">
        <v>1162</v>
      </c>
      <c r="BB160">
        <v>14755</v>
      </c>
      <c r="BD160">
        <v>15445</v>
      </c>
      <c r="BE160">
        <v>215366</v>
      </c>
      <c r="BH160">
        <v>114397</v>
      </c>
      <c r="BI160">
        <v>50883</v>
      </c>
      <c r="BJ160">
        <v>584</v>
      </c>
      <c r="BK160">
        <v>476598</v>
      </c>
      <c r="BL160">
        <v>469933</v>
      </c>
      <c r="BM160">
        <v>134</v>
      </c>
      <c r="BN160">
        <v>195819</v>
      </c>
      <c r="BO160">
        <v>0</v>
      </c>
      <c r="BP160">
        <v>12568</v>
      </c>
      <c r="BQ160">
        <v>107484</v>
      </c>
      <c r="BR160">
        <v>13617</v>
      </c>
      <c r="BS160">
        <v>1146520</v>
      </c>
      <c r="BT160">
        <v>73845</v>
      </c>
      <c r="BU160">
        <v>48495</v>
      </c>
      <c r="BW160">
        <v>2277</v>
      </c>
      <c r="BX160">
        <v>0</v>
      </c>
      <c r="BY160">
        <v>5031</v>
      </c>
      <c r="BZ160">
        <v>638451</v>
      </c>
      <c r="CA160">
        <v>3</v>
      </c>
    </row>
    <row r="161" spans="1:79" x14ac:dyDescent="0.3">
      <c r="A161">
        <v>598</v>
      </c>
      <c r="B161" t="s">
        <v>341</v>
      </c>
      <c r="D161">
        <v>0</v>
      </c>
      <c r="E161">
        <v>0</v>
      </c>
      <c r="G161">
        <v>320097</v>
      </c>
      <c r="H161">
        <v>0</v>
      </c>
      <c r="I161">
        <v>0</v>
      </c>
      <c r="J161">
        <v>15070</v>
      </c>
      <c r="K161">
        <v>3120</v>
      </c>
      <c r="L161">
        <v>454160</v>
      </c>
      <c r="N161">
        <v>0</v>
      </c>
      <c r="P161">
        <v>207995</v>
      </c>
      <c r="Q161">
        <v>51318</v>
      </c>
      <c r="R161">
        <v>21694</v>
      </c>
      <c r="S161">
        <v>78588</v>
      </c>
      <c r="T161">
        <v>0</v>
      </c>
      <c r="U161">
        <v>265694</v>
      </c>
      <c r="V161">
        <v>0</v>
      </c>
      <c r="W161">
        <v>111016</v>
      </c>
      <c r="X161">
        <v>38300</v>
      </c>
      <c r="Y161">
        <v>13800</v>
      </c>
      <c r="Z161">
        <v>0</v>
      </c>
      <c r="AB161">
        <v>0</v>
      </c>
      <c r="AC161">
        <v>0</v>
      </c>
      <c r="AD161">
        <v>0</v>
      </c>
      <c r="AE161">
        <v>4035</v>
      </c>
      <c r="AF161">
        <v>0</v>
      </c>
      <c r="AG161">
        <v>0</v>
      </c>
      <c r="AH161">
        <v>0</v>
      </c>
      <c r="AI161">
        <v>0</v>
      </c>
      <c r="AJ161">
        <v>83662</v>
      </c>
      <c r="AK161">
        <v>0</v>
      </c>
      <c r="AL161">
        <v>0</v>
      </c>
      <c r="AM161">
        <v>0</v>
      </c>
      <c r="AN161">
        <v>127698</v>
      </c>
      <c r="AP161">
        <v>0</v>
      </c>
      <c r="AQ161">
        <v>233131</v>
      </c>
      <c r="AR161">
        <v>10503</v>
      </c>
      <c r="AT161">
        <v>0</v>
      </c>
      <c r="AU161">
        <v>93561</v>
      </c>
      <c r="AV161">
        <v>0</v>
      </c>
      <c r="AX161">
        <v>18594</v>
      </c>
      <c r="AY161">
        <v>33102</v>
      </c>
      <c r="BA161">
        <v>0</v>
      </c>
      <c r="BB161">
        <v>7403</v>
      </c>
      <c r="BD161">
        <v>0</v>
      </c>
      <c r="BE161">
        <v>272377</v>
      </c>
      <c r="BH161">
        <v>18502</v>
      </c>
      <c r="BI161">
        <v>42444</v>
      </c>
      <c r="BJ161">
        <v>0</v>
      </c>
      <c r="BK161">
        <v>9228</v>
      </c>
      <c r="BL161">
        <v>15779</v>
      </c>
      <c r="BM161">
        <v>0</v>
      </c>
      <c r="BN161">
        <v>18326</v>
      </c>
      <c r="BO161">
        <v>11256</v>
      </c>
      <c r="BP161">
        <v>0</v>
      </c>
      <c r="BQ161">
        <v>0</v>
      </c>
      <c r="BR161">
        <v>0</v>
      </c>
      <c r="BS161">
        <v>166769</v>
      </c>
      <c r="BT161">
        <v>29356</v>
      </c>
      <c r="BU161">
        <v>24210</v>
      </c>
      <c r="BW161">
        <v>0</v>
      </c>
      <c r="BX161">
        <v>0</v>
      </c>
      <c r="BY161">
        <v>0</v>
      </c>
      <c r="BZ161">
        <v>11858</v>
      </c>
      <c r="CA161">
        <v>0</v>
      </c>
    </row>
    <row r="162" spans="1:79" x14ac:dyDescent="0.3">
      <c r="A162">
        <v>599</v>
      </c>
      <c r="B162" t="s">
        <v>340</v>
      </c>
      <c r="D162">
        <v>115610</v>
      </c>
      <c r="E162">
        <v>0</v>
      </c>
      <c r="G162">
        <v>4389407</v>
      </c>
      <c r="H162">
        <v>0</v>
      </c>
      <c r="I162">
        <v>0</v>
      </c>
      <c r="J162">
        <v>185364</v>
      </c>
      <c r="K162">
        <v>134819</v>
      </c>
      <c r="L162">
        <v>9115875</v>
      </c>
      <c r="N162">
        <v>149052</v>
      </c>
      <c r="P162">
        <v>3400877</v>
      </c>
      <c r="Q162">
        <v>1445325</v>
      </c>
      <c r="R162">
        <v>661243</v>
      </c>
      <c r="S162">
        <v>1394763</v>
      </c>
      <c r="T162">
        <v>0</v>
      </c>
      <c r="U162">
        <v>3462401</v>
      </c>
      <c r="V162">
        <v>0</v>
      </c>
      <c r="W162">
        <v>950518</v>
      </c>
      <c r="X162">
        <v>1514749</v>
      </c>
      <c r="Y162">
        <v>486448</v>
      </c>
      <c r="Z162">
        <v>0</v>
      </c>
      <c r="AB162">
        <v>0</v>
      </c>
      <c r="AC162">
        <v>0</v>
      </c>
      <c r="AD162">
        <v>94450</v>
      </c>
      <c r="AE162">
        <v>299403</v>
      </c>
      <c r="AF162">
        <v>0</v>
      </c>
      <c r="AG162">
        <v>0</v>
      </c>
      <c r="AH162">
        <v>0</v>
      </c>
      <c r="AI162">
        <v>194889</v>
      </c>
      <c r="AJ162">
        <v>1713363</v>
      </c>
      <c r="AK162">
        <v>0</v>
      </c>
      <c r="AL162">
        <v>0</v>
      </c>
      <c r="AM162">
        <v>1134268</v>
      </c>
      <c r="AN162">
        <v>2171469</v>
      </c>
      <c r="AP162">
        <v>0</v>
      </c>
      <c r="AQ162">
        <v>2722910</v>
      </c>
      <c r="AR162">
        <v>225324</v>
      </c>
      <c r="AT162">
        <v>401142</v>
      </c>
      <c r="AU162">
        <v>1338743</v>
      </c>
      <c r="AV162">
        <v>0</v>
      </c>
      <c r="AX162">
        <v>401865</v>
      </c>
      <c r="AY162">
        <v>667358</v>
      </c>
      <c r="BA162">
        <v>0</v>
      </c>
      <c r="BB162">
        <v>304351</v>
      </c>
      <c r="BD162">
        <v>0</v>
      </c>
      <c r="BE162">
        <v>3410521</v>
      </c>
      <c r="BH162">
        <v>587399</v>
      </c>
      <c r="BI162">
        <v>389624</v>
      </c>
      <c r="BJ162">
        <v>16369</v>
      </c>
      <c r="BK162">
        <v>678799</v>
      </c>
      <c r="BL162">
        <v>497792</v>
      </c>
      <c r="BM162">
        <v>0</v>
      </c>
      <c r="BN162">
        <v>868407</v>
      </c>
      <c r="BO162">
        <v>144735</v>
      </c>
      <c r="BP162">
        <v>92342</v>
      </c>
      <c r="BQ162">
        <v>302733</v>
      </c>
      <c r="BR162">
        <v>0</v>
      </c>
      <c r="BS162">
        <v>3115378</v>
      </c>
      <c r="BT162">
        <v>81906</v>
      </c>
      <c r="BU162">
        <v>647943</v>
      </c>
      <c r="BW162">
        <v>0</v>
      </c>
      <c r="BX162">
        <v>0</v>
      </c>
      <c r="BY162">
        <v>0</v>
      </c>
      <c r="BZ162">
        <v>1176432</v>
      </c>
      <c r="CA162">
        <v>0</v>
      </c>
    </row>
    <row r="163" spans="1:79" x14ac:dyDescent="0.3">
      <c r="A163">
        <v>602</v>
      </c>
      <c r="B163" t="s">
        <v>342</v>
      </c>
      <c r="D163">
        <v>0</v>
      </c>
      <c r="E163">
        <v>0</v>
      </c>
      <c r="G163">
        <v>0</v>
      </c>
      <c r="H163">
        <v>0</v>
      </c>
      <c r="I163">
        <v>0</v>
      </c>
      <c r="J163">
        <v>0</v>
      </c>
      <c r="K163">
        <v>0</v>
      </c>
      <c r="L163">
        <v>0</v>
      </c>
      <c r="N163">
        <v>0</v>
      </c>
      <c r="P163">
        <v>0</v>
      </c>
      <c r="Q163">
        <v>0</v>
      </c>
      <c r="R163">
        <v>0</v>
      </c>
      <c r="S163">
        <v>0</v>
      </c>
      <c r="T163">
        <v>0</v>
      </c>
      <c r="U163">
        <v>0</v>
      </c>
      <c r="V163">
        <v>0</v>
      </c>
      <c r="W163">
        <v>0</v>
      </c>
      <c r="X163">
        <v>0</v>
      </c>
      <c r="Y163">
        <v>0</v>
      </c>
      <c r="Z163">
        <v>0</v>
      </c>
      <c r="AB163">
        <v>0</v>
      </c>
      <c r="AC163">
        <v>0</v>
      </c>
      <c r="AD163">
        <v>0</v>
      </c>
      <c r="AE163">
        <v>0</v>
      </c>
      <c r="AF163">
        <v>0</v>
      </c>
      <c r="AG163">
        <v>0</v>
      </c>
      <c r="AH163">
        <v>0</v>
      </c>
      <c r="AI163">
        <v>0</v>
      </c>
      <c r="AJ163">
        <v>0</v>
      </c>
      <c r="AK163">
        <v>0</v>
      </c>
      <c r="AL163">
        <v>0</v>
      </c>
      <c r="AM163">
        <v>0</v>
      </c>
      <c r="AN163">
        <v>0</v>
      </c>
      <c r="AP163">
        <v>0</v>
      </c>
      <c r="AQ163">
        <v>0</v>
      </c>
      <c r="AR163">
        <v>0</v>
      </c>
      <c r="AT163">
        <v>0</v>
      </c>
      <c r="AU163">
        <v>0</v>
      </c>
      <c r="AV163">
        <v>0</v>
      </c>
      <c r="AX163">
        <v>0</v>
      </c>
      <c r="AY163">
        <v>0</v>
      </c>
      <c r="BA163">
        <v>0</v>
      </c>
      <c r="BB163">
        <v>0</v>
      </c>
      <c r="BD163">
        <v>0</v>
      </c>
      <c r="BE163">
        <v>0</v>
      </c>
      <c r="BH163">
        <v>0</v>
      </c>
      <c r="BI163">
        <v>0</v>
      </c>
      <c r="BJ163">
        <v>0</v>
      </c>
      <c r="BK163">
        <v>0</v>
      </c>
      <c r="BL163">
        <v>0</v>
      </c>
      <c r="BM163">
        <v>0</v>
      </c>
      <c r="BN163">
        <v>0</v>
      </c>
      <c r="BO163">
        <v>0</v>
      </c>
      <c r="BP163">
        <v>0</v>
      </c>
      <c r="BQ163">
        <v>0</v>
      </c>
      <c r="BR163">
        <v>0</v>
      </c>
      <c r="BS163">
        <v>0</v>
      </c>
      <c r="BT163">
        <v>0</v>
      </c>
      <c r="BU163">
        <v>0</v>
      </c>
      <c r="BW163">
        <v>0</v>
      </c>
      <c r="BX163">
        <v>0</v>
      </c>
      <c r="BY163">
        <v>0</v>
      </c>
      <c r="BZ163">
        <v>0</v>
      </c>
      <c r="CA163">
        <v>0</v>
      </c>
    </row>
    <row r="164" spans="1:79" x14ac:dyDescent="0.3">
      <c r="A164">
        <v>606</v>
      </c>
      <c r="B164" t="s">
        <v>897</v>
      </c>
      <c r="E164">
        <v>1</v>
      </c>
      <c r="G164">
        <v>1</v>
      </c>
      <c r="H164">
        <v>1</v>
      </c>
      <c r="K164">
        <v>1</v>
      </c>
      <c r="L164">
        <v>1</v>
      </c>
      <c r="P164">
        <v>1</v>
      </c>
      <c r="Q164">
        <v>1</v>
      </c>
      <c r="R164">
        <v>1</v>
      </c>
      <c r="S164">
        <v>1</v>
      </c>
      <c r="U164">
        <v>1</v>
      </c>
      <c r="W164">
        <v>1</v>
      </c>
      <c r="X164">
        <v>1</v>
      </c>
      <c r="Z164">
        <v>1</v>
      </c>
      <c r="AE164">
        <v>1</v>
      </c>
      <c r="AJ164">
        <v>1</v>
      </c>
      <c r="AM164">
        <v>1</v>
      </c>
      <c r="AN164">
        <v>1</v>
      </c>
      <c r="AP164">
        <v>1</v>
      </c>
      <c r="AQ164">
        <v>1</v>
      </c>
      <c r="AT164">
        <v>1</v>
      </c>
      <c r="AU164">
        <v>1</v>
      </c>
      <c r="AY164">
        <v>1</v>
      </c>
      <c r="BB164">
        <v>1</v>
      </c>
      <c r="BE164">
        <v>1</v>
      </c>
      <c r="BH164">
        <v>1</v>
      </c>
      <c r="BK164">
        <v>1</v>
      </c>
      <c r="BL164">
        <v>1</v>
      </c>
      <c r="BO164">
        <v>1</v>
      </c>
      <c r="BQ164">
        <v>1</v>
      </c>
      <c r="BS164">
        <v>1</v>
      </c>
      <c r="BU164">
        <v>1</v>
      </c>
      <c r="BX164">
        <v>1</v>
      </c>
      <c r="BZ164">
        <v>1</v>
      </c>
    </row>
    <row r="165" spans="1:79" x14ac:dyDescent="0.3">
      <c r="A165">
        <v>619</v>
      </c>
      <c r="B165" t="s">
        <v>898</v>
      </c>
      <c r="D165">
        <v>0</v>
      </c>
      <c r="E165">
        <v>0</v>
      </c>
      <c r="G165">
        <v>0</v>
      </c>
      <c r="H165">
        <v>0</v>
      </c>
      <c r="I165">
        <v>0</v>
      </c>
      <c r="J165">
        <v>0</v>
      </c>
      <c r="K165">
        <v>0</v>
      </c>
      <c r="L165">
        <v>0</v>
      </c>
      <c r="N165">
        <v>0</v>
      </c>
      <c r="P165">
        <v>0</v>
      </c>
      <c r="Q165">
        <v>0</v>
      </c>
      <c r="R165">
        <v>0</v>
      </c>
      <c r="S165">
        <v>0</v>
      </c>
      <c r="T165">
        <v>0</v>
      </c>
      <c r="U165">
        <v>0</v>
      </c>
      <c r="V165">
        <v>0</v>
      </c>
      <c r="W165">
        <v>0</v>
      </c>
      <c r="X165">
        <v>0</v>
      </c>
      <c r="Y165">
        <v>0</v>
      </c>
      <c r="Z165">
        <v>0</v>
      </c>
      <c r="AB165">
        <v>0</v>
      </c>
      <c r="AC165">
        <v>0</v>
      </c>
      <c r="AD165">
        <v>0</v>
      </c>
      <c r="AE165">
        <v>0</v>
      </c>
      <c r="AF165">
        <v>0</v>
      </c>
      <c r="AG165">
        <v>0</v>
      </c>
      <c r="AH165">
        <v>0</v>
      </c>
      <c r="AI165">
        <v>0</v>
      </c>
      <c r="AJ165">
        <v>0</v>
      </c>
      <c r="AK165">
        <v>0</v>
      </c>
      <c r="AL165">
        <v>0</v>
      </c>
      <c r="AM165">
        <v>0</v>
      </c>
      <c r="AN165">
        <v>0</v>
      </c>
      <c r="AP165">
        <v>0</v>
      </c>
      <c r="AQ165">
        <v>0</v>
      </c>
      <c r="AR165">
        <v>0</v>
      </c>
      <c r="AT165">
        <v>0</v>
      </c>
      <c r="AU165">
        <v>0</v>
      </c>
      <c r="AV165">
        <v>0</v>
      </c>
      <c r="AX165">
        <v>0</v>
      </c>
      <c r="AY165">
        <v>0</v>
      </c>
      <c r="BA165">
        <v>0</v>
      </c>
      <c r="BB165">
        <v>0</v>
      </c>
      <c r="BD165">
        <v>0</v>
      </c>
      <c r="BE165">
        <v>0</v>
      </c>
      <c r="BH165">
        <v>0</v>
      </c>
      <c r="BI165">
        <v>0</v>
      </c>
      <c r="BJ165">
        <v>0</v>
      </c>
      <c r="BK165">
        <v>0</v>
      </c>
      <c r="BL165">
        <v>0</v>
      </c>
      <c r="BM165">
        <v>0</v>
      </c>
      <c r="BN165">
        <v>0</v>
      </c>
      <c r="BO165">
        <v>0</v>
      </c>
      <c r="BP165">
        <v>0</v>
      </c>
      <c r="BQ165">
        <v>0</v>
      </c>
      <c r="BR165">
        <v>0</v>
      </c>
      <c r="BS165">
        <v>0</v>
      </c>
      <c r="BT165">
        <v>0</v>
      </c>
      <c r="BU165">
        <v>0</v>
      </c>
      <c r="BW165">
        <v>0</v>
      </c>
      <c r="BX165">
        <v>0</v>
      </c>
      <c r="BY165">
        <v>0</v>
      </c>
      <c r="BZ165">
        <v>0</v>
      </c>
      <c r="CA165">
        <v>0</v>
      </c>
    </row>
    <row r="166" spans="1:79" x14ac:dyDescent="0.3">
      <c r="A166">
        <v>620</v>
      </c>
      <c r="B166" t="s">
        <v>899</v>
      </c>
      <c r="D166">
        <v>2</v>
      </c>
      <c r="E166">
        <v>2</v>
      </c>
      <c r="G166">
        <v>1</v>
      </c>
      <c r="H166">
        <v>2</v>
      </c>
      <c r="I166">
        <v>2</v>
      </c>
      <c r="J166">
        <v>2</v>
      </c>
      <c r="K166">
        <v>2</v>
      </c>
      <c r="L166">
        <v>2</v>
      </c>
      <c r="N166">
        <v>2</v>
      </c>
      <c r="P166">
        <v>1</v>
      </c>
      <c r="Q166">
        <v>2</v>
      </c>
      <c r="R166">
        <v>2</v>
      </c>
      <c r="S166">
        <v>2</v>
      </c>
      <c r="T166">
        <v>2</v>
      </c>
      <c r="U166">
        <v>1</v>
      </c>
      <c r="V166">
        <v>2</v>
      </c>
      <c r="W166">
        <v>2</v>
      </c>
      <c r="X166">
        <v>1</v>
      </c>
      <c r="Y166">
        <v>2</v>
      </c>
      <c r="Z166">
        <v>2</v>
      </c>
      <c r="AB166">
        <v>2</v>
      </c>
      <c r="AC166">
        <v>2</v>
      </c>
      <c r="AD166">
        <v>2</v>
      </c>
      <c r="AE166">
        <v>2</v>
      </c>
      <c r="AF166">
        <v>1</v>
      </c>
      <c r="AG166">
        <v>2</v>
      </c>
      <c r="AH166">
        <v>2</v>
      </c>
      <c r="AI166">
        <v>2</v>
      </c>
      <c r="AJ166">
        <v>2</v>
      </c>
      <c r="AK166">
        <v>2</v>
      </c>
      <c r="AL166">
        <v>2</v>
      </c>
      <c r="AM166">
        <v>2</v>
      </c>
      <c r="AN166">
        <v>2</v>
      </c>
      <c r="AP166">
        <v>2</v>
      </c>
      <c r="AQ166">
        <v>2</v>
      </c>
      <c r="AR166">
        <v>2</v>
      </c>
      <c r="AT166">
        <v>2</v>
      </c>
      <c r="AU166">
        <v>2</v>
      </c>
      <c r="AV166">
        <v>2</v>
      </c>
      <c r="AX166">
        <v>2</v>
      </c>
      <c r="AY166">
        <v>2</v>
      </c>
      <c r="BA166">
        <v>2</v>
      </c>
      <c r="BB166">
        <v>2</v>
      </c>
      <c r="BD166">
        <v>2</v>
      </c>
      <c r="BE166">
        <v>2</v>
      </c>
      <c r="BH166">
        <v>2</v>
      </c>
      <c r="BI166">
        <v>2</v>
      </c>
      <c r="BJ166">
        <v>1</v>
      </c>
      <c r="BK166">
        <v>2</v>
      </c>
      <c r="BL166">
        <v>2</v>
      </c>
      <c r="BM166">
        <v>1</v>
      </c>
      <c r="BN166">
        <v>1</v>
      </c>
      <c r="BO166">
        <v>2</v>
      </c>
      <c r="BP166">
        <v>2</v>
      </c>
      <c r="BQ166">
        <v>2</v>
      </c>
      <c r="BR166">
        <v>2</v>
      </c>
      <c r="BS166">
        <v>2</v>
      </c>
      <c r="BT166">
        <v>2</v>
      </c>
      <c r="BU166">
        <v>2</v>
      </c>
      <c r="BW166">
        <v>2</v>
      </c>
      <c r="BX166">
        <v>2</v>
      </c>
      <c r="BY166">
        <v>2</v>
      </c>
      <c r="BZ166">
        <v>1</v>
      </c>
      <c r="CA166">
        <v>2</v>
      </c>
    </row>
    <row r="167" spans="1:79" x14ac:dyDescent="0.3">
      <c r="A167">
        <v>621</v>
      </c>
      <c r="B167" t="s">
        <v>900</v>
      </c>
      <c r="D167">
        <v>0</v>
      </c>
      <c r="E167">
        <v>0</v>
      </c>
      <c r="G167">
        <v>0</v>
      </c>
      <c r="H167">
        <v>0</v>
      </c>
      <c r="I167">
        <v>525658</v>
      </c>
      <c r="J167">
        <v>0</v>
      </c>
      <c r="K167">
        <v>0</v>
      </c>
      <c r="L167">
        <v>0</v>
      </c>
      <c r="N167">
        <v>0</v>
      </c>
      <c r="P167">
        <v>0</v>
      </c>
      <c r="Q167">
        <v>0</v>
      </c>
      <c r="R167">
        <v>0</v>
      </c>
      <c r="S167">
        <v>0</v>
      </c>
      <c r="T167">
        <v>0</v>
      </c>
      <c r="U167">
        <v>3580163</v>
      </c>
      <c r="V167">
        <v>0</v>
      </c>
      <c r="W167">
        <v>0</v>
      </c>
      <c r="X167">
        <v>0</v>
      </c>
      <c r="Y167">
        <v>0</v>
      </c>
      <c r="Z167">
        <v>0</v>
      </c>
      <c r="AB167">
        <v>0</v>
      </c>
      <c r="AC167">
        <v>0</v>
      </c>
      <c r="AD167">
        <v>0</v>
      </c>
      <c r="AE167">
        <v>0</v>
      </c>
      <c r="AF167">
        <v>0</v>
      </c>
      <c r="AG167">
        <v>0</v>
      </c>
      <c r="AH167">
        <v>0</v>
      </c>
      <c r="AI167">
        <v>0</v>
      </c>
      <c r="AJ167">
        <v>0</v>
      </c>
      <c r="AK167">
        <v>0</v>
      </c>
      <c r="AL167">
        <v>0</v>
      </c>
      <c r="AM167">
        <v>0</v>
      </c>
      <c r="AN167">
        <v>0</v>
      </c>
      <c r="AP167">
        <v>0</v>
      </c>
      <c r="AQ167">
        <v>0</v>
      </c>
      <c r="AR167">
        <v>0</v>
      </c>
      <c r="AT167">
        <v>0</v>
      </c>
      <c r="AU167">
        <v>0</v>
      </c>
      <c r="AV167">
        <v>0</v>
      </c>
      <c r="AX167">
        <v>0</v>
      </c>
      <c r="AY167">
        <v>0</v>
      </c>
      <c r="BA167">
        <v>0</v>
      </c>
      <c r="BB167">
        <v>454053</v>
      </c>
      <c r="BD167">
        <v>0</v>
      </c>
      <c r="BE167">
        <v>0</v>
      </c>
      <c r="BH167">
        <v>0</v>
      </c>
      <c r="BI167">
        <v>0</v>
      </c>
      <c r="BJ167">
        <v>0</v>
      </c>
      <c r="BK167">
        <v>0</v>
      </c>
      <c r="BL167">
        <v>0</v>
      </c>
      <c r="BM167">
        <v>0</v>
      </c>
      <c r="BN167">
        <v>0</v>
      </c>
      <c r="BO167">
        <v>0</v>
      </c>
      <c r="BP167">
        <v>0</v>
      </c>
      <c r="BQ167">
        <v>0</v>
      </c>
      <c r="BR167">
        <v>0</v>
      </c>
      <c r="BS167">
        <v>0</v>
      </c>
      <c r="BT167">
        <v>0</v>
      </c>
      <c r="BU167">
        <v>0</v>
      </c>
      <c r="BW167">
        <v>0</v>
      </c>
      <c r="BX167">
        <v>0</v>
      </c>
      <c r="BY167">
        <v>0</v>
      </c>
      <c r="BZ167">
        <v>0</v>
      </c>
      <c r="CA167">
        <v>0</v>
      </c>
    </row>
    <row r="168" spans="1:79" x14ac:dyDescent="0.3">
      <c r="A168">
        <v>622</v>
      </c>
      <c r="B168" t="s">
        <v>901</v>
      </c>
      <c r="D168">
        <v>1163827</v>
      </c>
      <c r="E168">
        <v>2174770</v>
      </c>
      <c r="G168">
        <v>20749172</v>
      </c>
      <c r="H168">
        <v>1359584</v>
      </c>
      <c r="I168">
        <v>120162</v>
      </c>
      <c r="J168">
        <v>690511</v>
      </c>
      <c r="K168">
        <v>0</v>
      </c>
      <c r="L168">
        <v>17838760</v>
      </c>
      <c r="N168">
        <v>276994</v>
      </c>
      <c r="P168">
        <v>10737330</v>
      </c>
      <c r="Q168">
        <v>5725485</v>
      </c>
      <c r="R168">
        <v>3621233</v>
      </c>
      <c r="S168">
        <v>6867875</v>
      </c>
      <c r="T168">
        <v>0</v>
      </c>
      <c r="U168">
        <v>10896980</v>
      </c>
      <c r="V168">
        <v>0</v>
      </c>
      <c r="W168">
        <v>2250366</v>
      </c>
      <c r="X168">
        <v>6925981</v>
      </c>
      <c r="Y168">
        <v>2392530</v>
      </c>
      <c r="Z168">
        <v>906013</v>
      </c>
      <c r="AB168">
        <v>0</v>
      </c>
      <c r="AC168">
        <v>0</v>
      </c>
      <c r="AD168">
        <v>547219</v>
      </c>
      <c r="AE168">
        <v>1914137</v>
      </c>
      <c r="AF168">
        <v>0</v>
      </c>
      <c r="AG168">
        <v>0</v>
      </c>
      <c r="AH168">
        <v>0</v>
      </c>
      <c r="AI168">
        <v>713076</v>
      </c>
      <c r="AJ168">
        <v>5271350</v>
      </c>
      <c r="AK168">
        <v>40054</v>
      </c>
      <c r="AL168">
        <v>0</v>
      </c>
      <c r="AM168">
        <v>8806269</v>
      </c>
      <c r="AN168">
        <v>8321670</v>
      </c>
      <c r="AP168">
        <v>432133</v>
      </c>
      <c r="AQ168">
        <v>12751884</v>
      </c>
      <c r="AR168">
        <v>1151980</v>
      </c>
      <c r="AT168">
        <v>1701455</v>
      </c>
      <c r="AU168">
        <v>6348299</v>
      </c>
      <c r="AV168">
        <v>28771</v>
      </c>
      <c r="AX168">
        <v>1447026</v>
      </c>
      <c r="AY168">
        <v>1600473</v>
      </c>
      <c r="BA168">
        <v>0</v>
      </c>
      <c r="BB168">
        <v>877242</v>
      </c>
      <c r="BD168">
        <v>0</v>
      </c>
      <c r="BE168">
        <v>12231180</v>
      </c>
      <c r="BH168">
        <v>1210086</v>
      </c>
      <c r="BI168">
        <v>947196</v>
      </c>
      <c r="BJ168">
        <v>174884</v>
      </c>
      <c r="BK168">
        <v>2464740</v>
      </c>
      <c r="BL168">
        <v>1480311</v>
      </c>
      <c r="BM168">
        <v>0</v>
      </c>
      <c r="BN168">
        <v>3423218</v>
      </c>
      <c r="BO168">
        <v>931964</v>
      </c>
      <c r="BP168">
        <v>311407</v>
      </c>
      <c r="BQ168">
        <v>757080</v>
      </c>
      <c r="BR168">
        <v>429313</v>
      </c>
      <c r="BS168">
        <v>7547667</v>
      </c>
      <c r="BT168">
        <v>314172</v>
      </c>
      <c r="BU168">
        <v>1196547</v>
      </c>
      <c r="BW168">
        <v>26333</v>
      </c>
      <c r="BX168">
        <v>0</v>
      </c>
      <c r="BY168">
        <v>0</v>
      </c>
      <c r="BZ168">
        <v>6583546</v>
      </c>
      <c r="CA168">
        <v>0</v>
      </c>
    </row>
    <row r="169" spans="1:79" x14ac:dyDescent="0.3">
      <c r="A169">
        <v>624</v>
      </c>
      <c r="B169" t="s">
        <v>355</v>
      </c>
      <c r="D169">
        <v>2</v>
      </c>
      <c r="E169">
        <v>2</v>
      </c>
      <c r="G169">
        <v>1</v>
      </c>
      <c r="H169">
        <v>1</v>
      </c>
      <c r="I169">
        <v>1</v>
      </c>
      <c r="J169">
        <v>1</v>
      </c>
      <c r="K169">
        <v>2</v>
      </c>
      <c r="L169">
        <v>1</v>
      </c>
      <c r="N169">
        <v>1</v>
      </c>
      <c r="P169">
        <v>1</v>
      </c>
      <c r="Q169">
        <v>1</v>
      </c>
      <c r="R169">
        <v>1</v>
      </c>
      <c r="S169">
        <v>2</v>
      </c>
      <c r="T169">
        <v>1</v>
      </c>
      <c r="U169">
        <v>1</v>
      </c>
      <c r="V169">
        <v>1</v>
      </c>
      <c r="W169">
        <v>1</v>
      </c>
      <c r="X169">
        <v>1</v>
      </c>
      <c r="Y169">
        <v>1</v>
      </c>
      <c r="Z169">
        <v>1</v>
      </c>
      <c r="AB169">
        <v>1</v>
      </c>
      <c r="AC169">
        <v>1</v>
      </c>
      <c r="AD169">
        <v>1</v>
      </c>
      <c r="AE169">
        <v>1</v>
      </c>
      <c r="AF169">
        <v>1</v>
      </c>
      <c r="AG169">
        <v>1</v>
      </c>
      <c r="AH169">
        <v>1</v>
      </c>
      <c r="AI169">
        <v>1</v>
      </c>
      <c r="AJ169">
        <v>2</v>
      </c>
      <c r="AK169">
        <v>1</v>
      </c>
      <c r="AL169">
        <v>1</v>
      </c>
      <c r="AM169">
        <v>1</v>
      </c>
      <c r="AN169">
        <v>2</v>
      </c>
      <c r="AP169">
        <v>1</v>
      </c>
      <c r="AQ169">
        <v>1</v>
      </c>
      <c r="AR169">
        <v>1</v>
      </c>
      <c r="AT169">
        <v>2</v>
      </c>
      <c r="AU169">
        <v>1</v>
      </c>
      <c r="AV169">
        <v>1</v>
      </c>
      <c r="AX169">
        <v>1</v>
      </c>
      <c r="AY169">
        <v>1</v>
      </c>
      <c r="BA169">
        <v>1</v>
      </c>
      <c r="BB169">
        <v>1</v>
      </c>
      <c r="BD169">
        <v>1</v>
      </c>
      <c r="BE169">
        <v>2</v>
      </c>
      <c r="BH169">
        <v>2</v>
      </c>
      <c r="BI169">
        <v>2</v>
      </c>
      <c r="BJ169">
        <v>1</v>
      </c>
      <c r="BK169">
        <v>1</v>
      </c>
      <c r="BL169">
        <v>2</v>
      </c>
      <c r="BM169">
        <v>0</v>
      </c>
      <c r="BN169">
        <v>2</v>
      </c>
      <c r="BO169">
        <v>2</v>
      </c>
      <c r="BP169">
        <v>2</v>
      </c>
      <c r="BQ169">
        <v>1</v>
      </c>
      <c r="BR169">
        <v>2</v>
      </c>
      <c r="BS169">
        <v>1</v>
      </c>
      <c r="BT169">
        <v>2</v>
      </c>
      <c r="BU169">
        <v>1</v>
      </c>
      <c r="BW169">
        <v>1</v>
      </c>
      <c r="BX169">
        <v>1</v>
      </c>
      <c r="BY169">
        <v>1</v>
      </c>
      <c r="BZ169">
        <v>1</v>
      </c>
      <c r="CA169">
        <v>1</v>
      </c>
    </row>
    <row r="170" spans="1:79" x14ac:dyDescent="0.3">
      <c r="A170">
        <v>626</v>
      </c>
      <c r="B170" t="s">
        <v>902</v>
      </c>
      <c r="D170">
        <v>130045</v>
      </c>
      <c r="E170">
        <v>12431471</v>
      </c>
      <c r="G170">
        <v>8433147</v>
      </c>
      <c r="H170">
        <v>558152</v>
      </c>
      <c r="I170">
        <v>17528</v>
      </c>
      <c r="J170">
        <v>50883</v>
      </c>
      <c r="K170">
        <v>429951</v>
      </c>
      <c r="L170">
        <v>16619733</v>
      </c>
      <c r="N170">
        <v>53095</v>
      </c>
      <c r="P170">
        <v>13152840</v>
      </c>
      <c r="Q170">
        <v>3505274</v>
      </c>
      <c r="R170">
        <v>2515203</v>
      </c>
      <c r="S170">
        <v>1652123</v>
      </c>
      <c r="T170">
        <v>224372</v>
      </c>
      <c r="U170">
        <v>3515161</v>
      </c>
      <c r="V170">
        <v>753</v>
      </c>
      <c r="W170">
        <v>1514754</v>
      </c>
      <c r="X170">
        <v>4631976</v>
      </c>
      <c r="Y170">
        <v>1663006</v>
      </c>
      <c r="Z170">
        <v>818634</v>
      </c>
      <c r="AB170">
        <v>503470</v>
      </c>
      <c r="AC170">
        <v>10777</v>
      </c>
      <c r="AD170">
        <v>65182</v>
      </c>
      <c r="AE170">
        <v>374812</v>
      </c>
      <c r="AF170">
        <v>507490</v>
      </c>
      <c r="AG170">
        <v>1544</v>
      </c>
      <c r="AH170">
        <v>47617</v>
      </c>
      <c r="AI170">
        <v>1068221</v>
      </c>
      <c r="AJ170">
        <v>3373324</v>
      </c>
      <c r="AK170">
        <v>296552</v>
      </c>
      <c r="AL170">
        <v>4550</v>
      </c>
      <c r="AM170">
        <v>12550648</v>
      </c>
      <c r="AN170">
        <v>3874070</v>
      </c>
      <c r="AP170">
        <v>2653592</v>
      </c>
      <c r="AQ170">
        <v>7702906</v>
      </c>
      <c r="AR170">
        <v>367012</v>
      </c>
      <c r="AT170">
        <v>622759</v>
      </c>
      <c r="AU170">
        <v>3713902</v>
      </c>
      <c r="AV170">
        <v>59468</v>
      </c>
      <c r="AX170">
        <v>3437590</v>
      </c>
      <c r="AY170">
        <v>205353</v>
      </c>
      <c r="BA170">
        <v>241498</v>
      </c>
      <c r="BB170">
        <v>204087</v>
      </c>
      <c r="BD170">
        <v>1152</v>
      </c>
      <c r="BE170">
        <v>6265033</v>
      </c>
      <c r="BH170">
        <v>215276</v>
      </c>
      <c r="BI170">
        <v>606911</v>
      </c>
      <c r="BJ170">
        <v>70849</v>
      </c>
      <c r="BK170">
        <v>233523</v>
      </c>
      <c r="BL170">
        <v>244929</v>
      </c>
      <c r="BM170">
        <v>0</v>
      </c>
      <c r="BN170">
        <v>1723595</v>
      </c>
      <c r="BO170">
        <v>386107</v>
      </c>
      <c r="BP170">
        <v>34916</v>
      </c>
      <c r="BQ170">
        <v>128601</v>
      </c>
      <c r="BR170">
        <v>196844</v>
      </c>
      <c r="BS170">
        <v>3043093</v>
      </c>
      <c r="BT170">
        <v>113699</v>
      </c>
      <c r="BU170">
        <v>5704185</v>
      </c>
      <c r="BW170">
        <v>3460</v>
      </c>
      <c r="BX170">
        <v>0</v>
      </c>
      <c r="BY170">
        <v>26608</v>
      </c>
      <c r="BZ170">
        <v>4521170</v>
      </c>
      <c r="CA170">
        <v>35798</v>
      </c>
    </row>
    <row r="171" spans="1:79" x14ac:dyDescent="0.3">
      <c r="A171">
        <v>627</v>
      </c>
      <c r="B171" t="s">
        <v>903</v>
      </c>
      <c r="D171">
        <v>0</v>
      </c>
      <c r="E171">
        <v>0</v>
      </c>
      <c r="G171">
        <v>0</v>
      </c>
      <c r="H171">
        <v>0</v>
      </c>
      <c r="I171">
        <v>0</v>
      </c>
      <c r="J171">
        <v>0</v>
      </c>
      <c r="K171">
        <v>0</v>
      </c>
      <c r="L171">
        <v>0</v>
      </c>
      <c r="N171">
        <v>0</v>
      </c>
      <c r="P171">
        <v>0</v>
      </c>
      <c r="Q171">
        <v>0</v>
      </c>
      <c r="R171">
        <v>0</v>
      </c>
      <c r="S171">
        <v>0</v>
      </c>
      <c r="T171">
        <v>0</v>
      </c>
      <c r="U171">
        <v>0</v>
      </c>
      <c r="V171">
        <v>0</v>
      </c>
      <c r="W171">
        <v>0</v>
      </c>
      <c r="X171">
        <v>0</v>
      </c>
      <c r="Y171">
        <v>0</v>
      </c>
      <c r="Z171">
        <v>0</v>
      </c>
      <c r="AB171">
        <v>0</v>
      </c>
      <c r="AC171">
        <v>0</v>
      </c>
      <c r="AD171">
        <v>0</v>
      </c>
      <c r="AE171">
        <v>0</v>
      </c>
      <c r="AF171">
        <v>0</v>
      </c>
      <c r="AG171">
        <v>0</v>
      </c>
      <c r="AH171">
        <v>0</v>
      </c>
      <c r="AI171">
        <v>0</v>
      </c>
      <c r="AJ171">
        <v>0</v>
      </c>
      <c r="AK171">
        <v>0</v>
      </c>
      <c r="AL171">
        <v>0</v>
      </c>
      <c r="AM171">
        <v>0</v>
      </c>
      <c r="AN171">
        <v>0</v>
      </c>
      <c r="AP171">
        <v>0</v>
      </c>
      <c r="AQ171">
        <v>0</v>
      </c>
      <c r="AR171">
        <v>0</v>
      </c>
      <c r="AT171">
        <v>0</v>
      </c>
      <c r="AU171">
        <v>0</v>
      </c>
      <c r="AV171">
        <v>0</v>
      </c>
      <c r="AX171">
        <v>0</v>
      </c>
      <c r="AY171">
        <v>0</v>
      </c>
      <c r="BA171">
        <v>0</v>
      </c>
      <c r="BB171">
        <v>0</v>
      </c>
      <c r="BD171">
        <v>0</v>
      </c>
      <c r="BE171">
        <v>0</v>
      </c>
      <c r="BH171">
        <v>0</v>
      </c>
      <c r="BI171">
        <v>0</v>
      </c>
      <c r="BJ171">
        <v>0</v>
      </c>
      <c r="BK171">
        <v>0</v>
      </c>
      <c r="BL171">
        <v>0</v>
      </c>
      <c r="BM171">
        <v>0</v>
      </c>
      <c r="BN171">
        <v>0</v>
      </c>
      <c r="BO171">
        <v>0</v>
      </c>
      <c r="BP171">
        <v>0</v>
      </c>
      <c r="BQ171">
        <v>0</v>
      </c>
      <c r="BR171">
        <v>0</v>
      </c>
      <c r="BS171">
        <v>0</v>
      </c>
      <c r="BT171">
        <v>0</v>
      </c>
      <c r="BU171">
        <v>0</v>
      </c>
      <c r="BW171">
        <v>0</v>
      </c>
      <c r="BX171">
        <v>0</v>
      </c>
      <c r="BY171">
        <v>0</v>
      </c>
      <c r="BZ171">
        <v>0</v>
      </c>
      <c r="CA171">
        <v>0</v>
      </c>
    </row>
    <row r="172" spans="1:79" x14ac:dyDescent="0.3">
      <c r="A172">
        <v>628</v>
      </c>
      <c r="B172" t="s">
        <v>904</v>
      </c>
      <c r="D172">
        <v>0</v>
      </c>
      <c r="E172">
        <v>263140</v>
      </c>
      <c r="G172">
        <v>0</v>
      </c>
      <c r="H172">
        <v>20900</v>
      </c>
      <c r="I172">
        <v>1534</v>
      </c>
      <c r="J172">
        <v>39755</v>
      </c>
      <c r="K172">
        <v>11660</v>
      </c>
      <c r="L172">
        <v>1016000</v>
      </c>
      <c r="N172">
        <v>16408</v>
      </c>
      <c r="P172">
        <v>1792998</v>
      </c>
      <c r="Q172">
        <v>700000</v>
      </c>
      <c r="R172">
        <v>252606</v>
      </c>
      <c r="S172">
        <v>240032</v>
      </c>
      <c r="T172">
        <v>0</v>
      </c>
      <c r="U172">
        <v>207299</v>
      </c>
      <c r="V172">
        <v>0</v>
      </c>
      <c r="W172">
        <v>50000</v>
      </c>
      <c r="X172">
        <v>485193</v>
      </c>
      <c r="Y172">
        <v>170000</v>
      </c>
      <c r="Z172">
        <v>32000</v>
      </c>
      <c r="AB172">
        <v>0</v>
      </c>
      <c r="AC172">
        <v>0</v>
      </c>
      <c r="AD172">
        <v>10913</v>
      </c>
      <c r="AE172">
        <v>86900</v>
      </c>
      <c r="AF172">
        <v>0</v>
      </c>
      <c r="AG172">
        <v>0</v>
      </c>
      <c r="AH172">
        <v>0</v>
      </c>
      <c r="AI172">
        <v>0</v>
      </c>
      <c r="AJ172">
        <v>202984</v>
      </c>
      <c r="AK172">
        <v>0</v>
      </c>
      <c r="AL172">
        <v>0</v>
      </c>
      <c r="AM172">
        <v>0</v>
      </c>
      <c r="AN172">
        <v>400483</v>
      </c>
      <c r="AP172">
        <v>48616</v>
      </c>
      <c r="AQ172">
        <v>784000</v>
      </c>
      <c r="AR172">
        <v>6156</v>
      </c>
      <c r="AT172">
        <v>100000</v>
      </c>
      <c r="AU172">
        <v>243961</v>
      </c>
      <c r="AV172">
        <v>572</v>
      </c>
      <c r="AX172">
        <v>43887</v>
      </c>
      <c r="AY172">
        <v>0</v>
      </c>
      <c r="BA172">
        <v>0</v>
      </c>
      <c r="BB172">
        <v>0</v>
      </c>
      <c r="BD172">
        <v>0</v>
      </c>
      <c r="BE172">
        <v>0</v>
      </c>
      <c r="BH172">
        <v>0</v>
      </c>
      <c r="BI172">
        <v>42621</v>
      </c>
      <c r="BJ172">
        <v>8107</v>
      </c>
      <c r="BK172">
        <v>0</v>
      </c>
      <c r="BL172">
        <v>50000</v>
      </c>
      <c r="BM172">
        <v>0</v>
      </c>
      <c r="BN172">
        <v>222047</v>
      </c>
      <c r="BO172">
        <v>72662</v>
      </c>
      <c r="BP172">
        <v>19220</v>
      </c>
      <c r="BQ172">
        <v>0</v>
      </c>
      <c r="BR172">
        <v>35055</v>
      </c>
      <c r="BS172">
        <v>316156</v>
      </c>
      <c r="BT172">
        <v>0</v>
      </c>
      <c r="BU172">
        <v>119891</v>
      </c>
      <c r="BW172">
        <v>0</v>
      </c>
      <c r="BX172">
        <v>0</v>
      </c>
      <c r="BY172">
        <v>0</v>
      </c>
      <c r="BZ172">
        <v>467634</v>
      </c>
      <c r="CA172">
        <v>0</v>
      </c>
    </row>
    <row r="173" spans="1:79" x14ac:dyDescent="0.3">
      <c r="A173">
        <v>629</v>
      </c>
      <c r="B173" t="s">
        <v>905</v>
      </c>
      <c r="D173">
        <v>0</v>
      </c>
      <c r="E173">
        <v>0</v>
      </c>
      <c r="G173">
        <v>0</v>
      </c>
      <c r="H173">
        <v>0</v>
      </c>
      <c r="I173">
        <v>0</v>
      </c>
      <c r="J173">
        <v>0</v>
      </c>
      <c r="K173">
        <v>0</v>
      </c>
      <c r="L173">
        <v>202000</v>
      </c>
      <c r="N173">
        <v>0</v>
      </c>
      <c r="P173">
        <v>207995</v>
      </c>
      <c r="Q173">
        <v>48985</v>
      </c>
      <c r="R173">
        <v>21694</v>
      </c>
      <c r="S173">
        <v>0</v>
      </c>
      <c r="T173">
        <v>0</v>
      </c>
      <c r="U173">
        <v>0</v>
      </c>
      <c r="V173">
        <v>0</v>
      </c>
      <c r="W173">
        <v>0</v>
      </c>
      <c r="X173">
        <v>0</v>
      </c>
      <c r="Y173">
        <v>0</v>
      </c>
      <c r="Z173">
        <v>0</v>
      </c>
      <c r="AB173">
        <v>0</v>
      </c>
      <c r="AC173">
        <v>0</v>
      </c>
      <c r="AD173">
        <v>0</v>
      </c>
      <c r="AE173">
        <v>0</v>
      </c>
      <c r="AF173">
        <v>0</v>
      </c>
      <c r="AG173">
        <v>0</v>
      </c>
      <c r="AH173">
        <v>0</v>
      </c>
      <c r="AI173">
        <v>0</v>
      </c>
      <c r="AJ173">
        <v>0</v>
      </c>
      <c r="AK173">
        <v>0</v>
      </c>
      <c r="AL173">
        <v>0</v>
      </c>
      <c r="AM173">
        <v>0</v>
      </c>
      <c r="AN173">
        <v>0</v>
      </c>
      <c r="AP173">
        <v>0</v>
      </c>
      <c r="AQ173">
        <v>0</v>
      </c>
      <c r="AR173">
        <v>0</v>
      </c>
      <c r="AT173">
        <v>0</v>
      </c>
      <c r="AU173">
        <v>0</v>
      </c>
      <c r="AV173">
        <v>0</v>
      </c>
      <c r="AX173">
        <v>0</v>
      </c>
      <c r="AY173">
        <v>0</v>
      </c>
      <c r="BA173">
        <v>0</v>
      </c>
      <c r="BB173">
        <v>0</v>
      </c>
      <c r="BD173">
        <v>0</v>
      </c>
      <c r="BE173">
        <v>0</v>
      </c>
      <c r="BH173">
        <v>0</v>
      </c>
      <c r="BI173">
        <v>0</v>
      </c>
      <c r="BJ173">
        <v>0</v>
      </c>
      <c r="BK173">
        <v>0</v>
      </c>
      <c r="BL173">
        <v>0</v>
      </c>
      <c r="BM173">
        <v>0</v>
      </c>
      <c r="BN173">
        <v>0</v>
      </c>
      <c r="BO173">
        <v>0</v>
      </c>
      <c r="BP173">
        <v>0</v>
      </c>
      <c r="BQ173">
        <v>0</v>
      </c>
      <c r="BR173">
        <v>0</v>
      </c>
      <c r="BS173">
        <v>0</v>
      </c>
      <c r="BT173">
        <v>0</v>
      </c>
      <c r="BU173">
        <v>1461595</v>
      </c>
      <c r="BW173">
        <v>0</v>
      </c>
      <c r="BX173">
        <v>0</v>
      </c>
      <c r="BY173">
        <v>0</v>
      </c>
      <c r="BZ173">
        <v>0</v>
      </c>
      <c r="CA173">
        <v>0</v>
      </c>
    </row>
    <row r="174" spans="1:79" x14ac:dyDescent="0.3">
      <c r="A174">
        <v>630</v>
      </c>
      <c r="B174" t="s">
        <v>906</v>
      </c>
      <c r="D174">
        <v>0</v>
      </c>
      <c r="E174">
        <v>9028026</v>
      </c>
      <c r="G174">
        <v>0</v>
      </c>
      <c r="H174">
        <v>0</v>
      </c>
      <c r="I174">
        <v>0</v>
      </c>
      <c r="J174">
        <v>0</v>
      </c>
      <c r="K174">
        <v>0</v>
      </c>
      <c r="L174">
        <v>0</v>
      </c>
      <c r="N174">
        <v>0</v>
      </c>
      <c r="P174">
        <v>344055</v>
      </c>
      <c r="Q174">
        <v>0</v>
      </c>
      <c r="R174">
        <v>0</v>
      </c>
      <c r="S174">
        <v>0</v>
      </c>
      <c r="T174">
        <v>458</v>
      </c>
      <c r="U174">
        <v>0</v>
      </c>
      <c r="V174">
        <v>0</v>
      </c>
      <c r="W174">
        <v>0</v>
      </c>
      <c r="X174">
        <v>0</v>
      </c>
      <c r="Y174">
        <v>0</v>
      </c>
      <c r="Z174">
        <v>0</v>
      </c>
      <c r="AB174">
        <v>0</v>
      </c>
      <c r="AC174">
        <v>0</v>
      </c>
      <c r="AD174">
        <v>0</v>
      </c>
      <c r="AE174">
        <v>280</v>
      </c>
      <c r="AF174">
        <v>500000</v>
      </c>
      <c r="AG174">
        <v>0</v>
      </c>
      <c r="AH174">
        <v>46503</v>
      </c>
      <c r="AI174">
        <v>919808</v>
      </c>
      <c r="AJ174">
        <v>0</v>
      </c>
      <c r="AK174">
        <v>2100</v>
      </c>
      <c r="AL174">
        <v>0</v>
      </c>
      <c r="AM174">
        <v>0</v>
      </c>
      <c r="AN174">
        <v>0</v>
      </c>
      <c r="AP174">
        <v>209596</v>
      </c>
      <c r="AQ174">
        <v>64760</v>
      </c>
      <c r="AR174">
        <v>0</v>
      </c>
      <c r="AT174">
        <v>0</v>
      </c>
      <c r="AU174" s="1056">
        <v>312697</v>
      </c>
      <c r="AV174">
        <v>0</v>
      </c>
      <c r="AX174">
        <v>0</v>
      </c>
      <c r="AY174">
        <v>150435</v>
      </c>
      <c r="BA174">
        <v>0</v>
      </c>
      <c r="BB174">
        <v>0</v>
      </c>
      <c r="BD174">
        <v>0</v>
      </c>
      <c r="BE174">
        <v>0</v>
      </c>
      <c r="BH174">
        <v>0</v>
      </c>
      <c r="BI174">
        <v>13700</v>
      </c>
      <c r="BJ174">
        <v>0</v>
      </c>
      <c r="BK174">
        <v>2480</v>
      </c>
      <c r="BL174">
        <v>0</v>
      </c>
      <c r="BM174">
        <v>0</v>
      </c>
      <c r="BN174">
        <v>22631</v>
      </c>
      <c r="BO174">
        <v>0</v>
      </c>
      <c r="BP174">
        <v>0</v>
      </c>
      <c r="BQ174">
        <v>0</v>
      </c>
      <c r="BR174">
        <v>36503</v>
      </c>
      <c r="BS174">
        <v>0</v>
      </c>
      <c r="BT174">
        <v>0</v>
      </c>
      <c r="BU174">
        <v>0</v>
      </c>
      <c r="BW174">
        <v>0</v>
      </c>
      <c r="BX174">
        <v>0</v>
      </c>
      <c r="BY174">
        <v>24836</v>
      </c>
      <c r="BZ174">
        <v>1302375</v>
      </c>
      <c r="CA174">
        <v>0</v>
      </c>
    </row>
    <row r="175" spans="1:79" x14ac:dyDescent="0.3">
      <c r="A175">
        <v>631</v>
      </c>
      <c r="B175" t="s">
        <v>907</v>
      </c>
      <c r="D175">
        <v>0</v>
      </c>
      <c r="E175">
        <v>0</v>
      </c>
      <c r="G175">
        <v>0</v>
      </c>
      <c r="H175">
        <v>0</v>
      </c>
      <c r="I175">
        <v>0</v>
      </c>
      <c r="J175">
        <v>0</v>
      </c>
      <c r="K175">
        <v>0</v>
      </c>
      <c r="L175">
        <v>1040000</v>
      </c>
      <c r="N175">
        <v>0</v>
      </c>
      <c r="P175">
        <v>459618</v>
      </c>
      <c r="Q175">
        <v>0</v>
      </c>
      <c r="R175">
        <v>13500</v>
      </c>
      <c r="S175">
        <v>0</v>
      </c>
      <c r="T175">
        <v>0</v>
      </c>
      <c r="U175">
        <v>0</v>
      </c>
      <c r="V175">
        <v>0</v>
      </c>
      <c r="W175">
        <v>0</v>
      </c>
      <c r="X175">
        <v>0</v>
      </c>
      <c r="Y175">
        <v>0</v>
      </c>
      <c r="Z175">
        <v>0</v>
      </c>
      <c r="AB175">
        <v>0</v>
      </c>
      <c r="AC175">
        <v>0</v>
      </c>
      <c r="AD175">
        <v>0</v>
      </c>
      <c r="AE175">
        <v>0</v>
      </c>
      <c r="AF175">
        <v>0</v>
      </c>
      <c r="AG175">
        <v>0</v>
      </c>
      <c r="AH175">
        <v>0</v>
      </c>
      <c r="AI175">
        <v>0</v>
      </c>
      <c r="AJ175">
        <v>0</v>
      </c>
      <c r="AK175">
        <v>0</v>
      </c>
      <c r="AL175">
        <v>0</v>
      </c>
      <c r="AM175">
        <v>0</v>
      </c>
      <c r="AN175">
        <v>0</v>
      </c>
      <c r="AP175">
        <v>0</v>
      </c>
      <c r="AQ175">
        <v>0</v>
      </c>
      <c r="AR175">
        <v>0</v>
      </c>
      <c r="AT175">
        <v>0</v>
      </c>
      <c r="AU175">
        <v>0</v>
      </c>
      <c r="AV175">
        <v>0</v>
      </c>
      <c r="AX175">
        <v>0</v>
      </c>
      <c r="AY175">
        <v>0</v>
      </c>
      <c r="BA175">
        <v>0</v>
      </c>
      <c r="BB175">
        <v>0</v>
      </c>
      <c r="BD175">
        <v>0</v>
      </c>
      <c r="BE175">
        <v>0</v>
      </c>
      <c r="BH175">
        <v>0</v>
      </c>
      <c r="BI175">
        <v>0</v>
      </c>
      <c r="BJ175">
        <v>0</v>
      </c>
      <c r="BK175">
        <v>0</v>
      </c>
      <c r="BL175">
        <v>0</v>
      </c>
      <c r="BM175">
        <v>0</v>
      </c>
      <c r="BN175">
        <v>0</v>
      </c>
      <c r="BO175">
        <v>0</v>
      </c>
      <c r="BP175">
        <v>0</v>
      </c>
      <c r="BQ175">
        <v>0</v>
      </c>
      <c r="BR175">
        <v>0</v>
      </c>
      <c r="BS175">
        <v>0</v>
      </c>
      <c r="BT175">
        <v>0</v>
      </c>
      <c r="BU175">
        <v>2984547</v>
      </c>
      <c r="BW175">
        <v>0</v>
      </c>
      <c r="BX175">
        <v>0</v>
      </c>
      <c r="BY175">
        <v>0</v>
      </c>
      <c r="BZ175">
        <v>0</v>
      </c>
      <c r="CA175">
        <v>0</v>
      </c>
    </row>
    <row r="176" spans="1:79" x14ac:dyDescent="0.3">
      <c r="A176">
        <v>632</v>
      </c>
      <c r="B176" t="s">
        <v>908</v>
      </c>
      <c r="D176">
        <v>0</v>
      </c>
      <c r="E176">
        <v>0</v>
      </c>
      <c r="G176">
        <v>0</v>
      </c>
      <c r="H176">
        <v>0</v>
      </c>
      <c r="I176">
        <v>0</v>
      </c>
      <c r="J176">
        <v>0</v>
      </c>
      <c r="K176">
        <v>0</v>
      </c>
      <c r="L176">
        <v>0</v>
      </c>
      <c r="N176">
        <v>0</v>
      </c>
      <c r="P176">
        <v>0</v>
      </c>
      <c r="Q176">
        <v>0</v>
      </c>
      <c r="R176">
        <v>0</v>
      </c>
      <c r="S176">
        <v>0</v>
      </c>
      <c r="T176">
        <v>0</v>
      </c>
      <c r="U176">
        <v>0</v>
      </c>
      <c r="V176">
        <v>0</v>
      </c>
      <c r="W176">
        <v>0</v>
      </c>
      <c r="X176">
        <v>0</v>
      </c>
      <c r="Y176">
        <v>0</v>
      </c>
      <c r="Z176">
        <v>0</v>
      </c>
      <c r="AB176">
        <v>0</v>
      </c>
      <c r="AC176">
        <v>0</v>
      </c>
      <c r="AD176">
        <v>0</v>
      </c>
      <c r="AE176">
        <v>0</v>
      </c>
      <c r="AF176">
        <v>0</v>
      </c>
      <c r="AG176">
        <v>0</v>
      </c>
      <c r="AH176">
        <v>0</v>
      </c>
      <c r="AI176">
        <v>0</v>
      </c>
      <c r="AJ176">
        <v>0</v>
      </c>
      <c r="AK176">
        <v>0</v>
      </c>
      <c r="AL176">
        <v>0</v>
      </c>
      <c r="AM176">
        <v>0</v>
      </c>
      <c r="AN176">
        <v>0</v>
      </c>
      <c r="AP176">
        <v>0</v>
      </c>
      <c r="AQ176">
        <v>0</v>
      </c>
      <c r="AR176">
        <v>0</v>
      </c>
      <c r="AT176">
        <v>0</v>
      </c>
      <c r="AU176">
        <v>0</v>
      </c>
      <c r="AV176">
        <v>0</v>
      </c>
      <c r="AX176">
        <v>0</v>
      </c>
      <c r="AY176">
        <v>0</v>
      </c>
      <c r="BA176">
        <v>0</v>
      </c>
      <c r="BB176">
        <v>0</v>
      </c>
      <c r="BD176">
        <v>0</v>
      </c>
      <c r="BE176">
        <v>0</v>
      </c>
      <c r="BH176">
        <v>0</v>
      </c>
      <c r="BI176">
        <v>0</v>
      </c>
      <c r="BJ176">
        <v>0</v>
      </c>
      <c r="BK176">
        <v>0</v>
      </c>
      <c r="BL176">
        <v>0</v>
      </c>
      <c r="BM176">
        <v>0</v>
      </c>
      <c r="BN176">
        <v>0</v>
      </c>
      <c r="BO176">
        <v>0</v>
      </c>
      <c r="BP176">
        <v>0</v>
      </c>
      <c r="BQ176">
        <v>0</v>
      </c>
      <c r="BR176">
        <v>0</v>
      </c>
      <c r="BS176">
        <v>0</v>
      </c>
      <c r="BT176">
        <v>0</v>
      </c>
      <c r="BU176">
        <v>0</v>
      </c>
      <c r="BW176">
        <v>0</v>
      </c>
      <c r="BX176">
        <v>0</v>
      </c>
      <c r="BY176">
        <v>0</v>
      </c>
      <c r="BZ176">
        <v>0</v>
      </c>
      <c r="CA176">
        <v>0</v>
      </c>
    </row>
    <row r="177" spans="1:79" x14ac:dyDescent="0.3">
      <c r="A177">
        <v>633</v>
      </c>
      <c r="B177" t="s">
        <v>371</v>
      </c>
      <c r="D177">
        <v>0</v>
      </c>
      <c r="E177">
        <v>0</v>
      </c>
      <c r="G177">
        <v>16534555</v>
      </c>
      <c r="H177">
        <v>388859</v>
      </c>
      <c r="I177">
        <v>68753</v>
      </c>
      <c r="J177">
        <v>118703</v>
      </c>
      <c r="K177">
        <v>136996</v>
      </c>
      <c r="L177">
        <v>6319724</v>
      </c>
      <c r="N177">
        <v>29962</v>
      </c>
      <c r="P177">
        <v>0</v>
      </c>
      <c r="Q177">
        <v>1038139</v>
      </c>
      <c r="R177">
        <v>1531681</v>
      </c>
      <c r="S177">
        <v>2237448</v>
      </c>
      <c r="T177">
        <v>129966</v>
      </c>
      <c r="U177">
        <v>2419104</v>
      </c>
      <c r="V177">
        <v>0</v>
      </c>
      <c r="W177">
        <v>0</v>
      </c>
      <c r="X177">
        <v>0</v>
      </c>
      <c r="Y177">
        <v>548125</v>
      </c>
      <c r="Z177">
        <v>13667067</v>
      </c>
      <c r="AB177">
        <v>0</v>
      </c>
      <c r="AC177">
        <v>25378</v>
      </c>
      <c r="AD177">
        <v>285826</v>
      </c>
      <c r="AE177">
        <v>355923</v>
      </c>
      <c r="AF177">
        <v>7283</v>
      </c>
      <c r="AG177">
        <v>0</v>
      </c>
      <c r="AH177">
        <v>0</v>
      </c>
      <c r="AI177">
        <v>0</v>
      </c>
      <c r="AJ177">
        <v>2143289</v>
      </c>
      <c r="AK177">
        <v>20089</v>
      </c>
      <c r="AL177">
        <v>0</v>
      </c>
      <c r="AM177">
        <v>0</v>
      </c>
      <c r="AN177">
        <v>2288861</v>
      </c>
      <c r="AP177">
        <v>0</v>
      </c>
      <c r="AQ177">
        <v>1427543</v>
      </c>
      <c r="AR177">
        <v>202121</v>
      </c>
      <c r="AT177">
        <v>313347</v>
      </c>
      <c r="AU177">
        <v>701766</v>
      </c>
      <c r="AV177">
        <v>107968</v>
      </c>
      <c r="AX177">
        <v>90297</v>
      </c>
      <c r="AY177">
        <v>156442</v>
      </c>
      <c r="BA177">
        <v>38216</v>
      </c>
      <c r="BB177">
        <v>192838</v>
      </c>
      <c r="BD177">
        <v>0</v>
      </c>
      <c r="BE177">
        <v>1231559</v>
      </c>
      <c r="BH177">
        <v>474319</v>
      </c>
      <c r="BI177">
        <v>213078</v>
      </c>
      <c r="BJ177">
        <v>28056</v>
      </c>
      <c r="BK177">
        <v>247427</v>
      </c>
      <c r="BL177">
        <v>156428</v>
      </c>
      <c r="BM177">
        <v>0</v>
      </c>
      <c r="BN177">
        <v>717541</v>
      </c>
      <c r="BO177">
        <v>169681</v>
      </c>
      <c r="BP177">
        <v>64779</v>
      </c>
      <c r="BQ177">
        <v>271805</v>
      </c>
      <c r="BR177">
        <v>0</v>
      </c>
      <c r="BS177">
        <v>0</v>
      </c>
      <c r="BT177">
        <v>146107</v>
      </c>
      <c r="BU177">
        <v>1266272</v>
      </c>
      <c r="BW177">
        <v>206802</v>
      </c>
      <c r="BX177">
        <v>0</v>
      </c>
      <c r="BY177">
        <v>0</v>
      </c>
      <c r="BZ177">
        <v>4760314</v>
      </c>
      <c r="CA177">
        <v>0</v>
      </c>
    </row>
    <row r="178" spans="1:79" x14ac:dyDescent="0.3">
      <c r="A178">
        <v>634</v>
      </c>
      <c r="B178" t="s">
        <v>372</v>
      </c>
      <c r="D178">
        <v>0</v>
      </c>
      <c r="E178">
        <v>0</v>
      </c>
      <c r="G178">
        <v>0</v>
      </c>
      <c r="H178">
        <v>0</v>
      </c>
      <c r="I178">
        <v>0</v>
      </c>
      <c r="J178">
        <v>0</v>
      </c>
      <c r="K178">
        <v>0</v>
      </c>
      <c r="L178">
        <v>0</v>
      </c>
      <c r="N178">
        <v>0</v>
      </c>
      <c r="P178">
        <v>0</v>
      </c>
      <c r="Q178">
        <v>0</v>
      </c>
      <c r="R178">
        <v>0</v>
      </c>
      <c r="S178">
        <v>0</v>
      </c>
      <c r="T178">
        <v>0</v>
      </c>
      <c r="U178">
        <v>0</v>
      </c>
      <c r="V178">
        <v>0</v>
      </c>
      <c r="W178">
        <v>0</v>
      </c>
      <c r="X178">
        <v>0</v>
      </c>
      <c r="Y178">
        <v>0</v>
      </c>
      <c r="Z178">
        <v>13551000</v>
      </c>
      <c r="AB178">
        <v>0</v>
      </c>
      <c r="AC178">
        <v>0</v>
      </c>
      <c r="AD178">
        <v>0</v>
      </c>
      <c r="AE178">
        <v>0</v>
      </c>
      <c r="AF178">
        <v>0</v>
      </c>
      <c r="AG178">
        <v>0</v>
      </c>
      <c r="AH178">
        <v>0</v>
      </c>
      <c r="AI178">
        <v>0</v>
      </c>
      <c r="AJ178">
        <v>0</v>
      </c>
      <c r="AK178">
        <v>0</v>
      </c>
      <c r="AL178">
        <v>0</v>
      </c>
      <c r="AM178">
        <v>0</v>
      </c>
      <c r="AN178">
        <v>0</v>
      </c>
      <c r="AP178">
        <v>0</v>
      </c>
      <c r="AQ178">
        <v>0</v>
      </c>
      <c r="AR178">
        <v>0</v>
      </c>
      <c r="AT178">
        <v>0</v>
      </c>
      <c r="AU178">
        <v>0</v>
      </c>
      <c r="AV178">
        <v>0</v>
      </c>
      <c r="AX178">
        <v>0</v>
      </c>
      <c r="AY178">
        <v>0</v>
      </c>
      <c r="BA178">
        <v>0</v>
      </c>
      <c r="BB178">
        <v>0</v>
      </c>
      <c r="BD178">
        <v>0</v>
      </c>
      <c r="BE178">
        <v>0</v>
      </c>
      <c r="BH178">
        <v>0</v>
      </c>
      <c r="BI178">
        <v>0</v>
      </c>
      <c r="BJ178">
        <v>0</v>
      </c>
      <c r="BK178">
        <v>0</v>
      </c>
      <c r="BL178">
        <v>0</v>
      </c>
      <c r="BM178">
        <v>0</v>
      </c>
      <c r="BN178">
        <v>0</v>
      </c>
      <c r="BO178">
        <v>0</v>
      </c>
      <c r="BP178">
        <v>0</v>
      </c>
      <c r="BQ178">
        <v>0</v>
      </c>
      <c r="BR178">
        <v>0</v>
      </c>
      <c r="BS178">
        <v>0</v>
      </c>
      <c r="BT178">
        <v>0</v>
      </c>
      <c r="BU178">
        <v>0</v>
      </c>
      <c r="BW178">
        <v>0</v>
      </c>
      <c r="BX178">
        <v>0</v>
      </c>
      <c r="BY178">
        <v>0</v>
      </c>
      <c r="BZ178">
        <v>0</v>
      </c>
      <c r="CA178">
        <v>0</v>
      </c>
    </row>
    <row r="179" spans="1:79" x14ac:dyDescent="0.3">
      <c r="A179">
        <v>635</v>
      </c>
      <c r="B179" t="s">
        <v>373</v>
      </c>
      <c r="D179">
        <v>0</v>
      </c>
      <c r="E179">
        <v>0</v>
      </c>
      <c r="G179">
        <v>120472</v>
      </c>
      <c r="H179">
        <v>18200</v>
      </c>
      <c r="I179">
        <v>409</v>
      </c>
      <c r="J179">
        <v>24944</v>
      </c>
      <c r="K179">
        <v>4442</v>
      </c>
      <c r="L179">
        <v>153600</v>
      </c>
      <c r="N179">
        <v>6625</v>
      </c>
      <c r="P179">
        <v>0</v>
      </c>
      <c r="Q179">
        <v>90000</v>
      </c>
      <c r="R179">
        <v>50552</v>
      </c>
      <c r="S179">
        <v>35032</v>
      </c>
      <c r="T179">
        <v>0</v>
      </c>
      <c r="U179">
        <v>31709</v>
      </c>
      <c r="V179">
        <v>0</v>
      </c>
      <c r="W179">
        <v>0</v>
      </c>
      <c r="X179">
        <v>0</v>
      </c>
      <c r="Y179">
        <v>36000</v>
      </c>
      <c r="Z179">
        <v>7000</v>
      </c>
      <c r="AB179">
        <v>0</v>
      </c>
      <c r="AC179">
        <v>0</v>
      </c>
      <c r="AD179">
        <v>6580</v>
      </c>
      <c r="AE179">
        <v>4700</v>
      </c>
      <c r="AF179">
        <v>0</v>
      </c>
      <c r="AG179">
        <v>0</v>
      </c>
      <c r="AH179">
        <v>0</v>
      </c>
      <c r="AI179">
        <v>0</v>
      </c>
      <c r="AJ179">
        <v>51162</v>
      </c>
      <c r="AK179">
        <v>1254</v>
      </c>
      <c r="AL179">
        <v>0</v>
      </c>
      <c r="AM179">
        <v>0</v>
      </c>
      <c r="AN179">
        <v>71556</v>
      </c>
      <c r="AP179">
        <v>0</v>
      </c>
      <c r="AQ179">
        <v>152000</v>
      </c>
      <c r="AR179">
        <v>4675</v>
      </c>
      <c r="AT179">
        <v>20000</v>
      </c>
      <c r="AU179">
        <v>70364</v>
      </c>
      <c r="AV179">
        <v>5148</v>
      </c>
      <c r="AX179">
        <v>0</v>
      </c>
      <c r="AY179">
        <v>0</v>
      </c>
      <c r="BA179">
        <v>0</v>
      </c>
      <c r="BB179">
        <v>0</v>
      </c>
      <c r="BD179">
        <v>0</v>
      </c>
      <c r="BE179">
        <v>309065</v>
      </c>
      <c r="BH179">
        <v>0</v>
      </c>
      <c r="BI179">
        <v>15253</v>
      </c>
      <c r="BJ179">
        <v>8764</v>
      </c>
      <c r="BK179">
        <v>0</v>
      </c>
      <c r="BL179">
        <v>10000</v>
      </c>
      <c r="BM179">
        <v>0</v>
      </c>
      <c r="BN179">
        <v>45000</v>
      </c>
      <c r="BO179">
        <v>17811</v>
      </c>
      <c r="BP179">
        <v>2155</v>
      </c>
      <c r="BQ179">
        <v>0</v>
      </c>
      <c r="BR179">
        <v>0</v>
      </c>
      <c r="BS179">
        <v>0</v>
      </c>
      <c r="BT179">
        <v>0</v>
      </c>
      <c r="BU179">
        <v>0</v>
      </c>
      <c r="BW179">
        <v>0</v>
      </c>
      <c r="BX179">
        <v>0</v>
      </c>
      <c r="BY179">
        <v>0</v>
      </c>
      <c r="BZ179">
        <v>73853</v>
      </c>
      <c r="CA179">
        <v>0</v>
      </c>
    </row>
    <row r="180" spans="1:79" x14ac:dyDescent="0.3">
      <c r="A180">
        <v>636</v>
      </c>
      <c r="B180" t="s">
        <v>1579</v>
      </c>
      <c r="D180">
        <v>0</v>
      </c>
      <c r="E180">
        <v>0</v>
      </c>
      <c r="G180">
        <v>0</v>
      </c>
      <c r="H180">
        <v>0</v>
      </c>
      <c r="I180">
        <v>0</v>
      </c>
      <c r="J180">
        <v>0</v>
      </c>
      <c r="K180">
        <v>0</v>
      </c>
      <c r="L180">
        <v>0</v>
      </c>
      <c r="N180">
        <v>0</v>
      </c>
      <c r="P180">
        <v>0</v>
      </c>
      <c r="Q180">
        <v>0</v>
      </c>
      <c r="R180">
        <v>0</v>
      </c>
      <c r="S180">
        <v>0</v>
      </c>
      <c r="T180">
        <v>0</v>
      </c>
      <c r="U180">
        <v>0</v>
      </c>
      <c r="V180">
        <v>0</v>
      </c>
      <c r="W180">
        <v>0</v>
      </c>
      <c r="X180">
        <v>0</v>
      </c>
      <c r="Y180">
        <v>0</v>
      </c>
      <c r="Z180">
        <v>0</v>
      </c>
      <c r="AB180">
        <v>0</v>
      </c>
      <c r="AC180">
        <v>0</v>
      </c>
      <c r="AD180">
        <v>0</v>
      </c>
      <c r="AE180">
        <v>0</v>
      </c>
      <c r="AF180">
        <v>0</v>
      </c>
      <c r="AG180">
        <v>0</v>
      </c>
      <c r="AH180">
        <v>0</v>
      </c>
      <c r="AI180">
        <v>0</v>
      </c>
      <c r="AJ180">
        <v>0</v>
      </c>
      <c r="AK180">
        <v>0</v>
      </c>
      <c r="AL180">
        <v>0</v>
      </c>
      <c r="AM180">
        <v>0</v>
      </c>
      <c r="AN180">
        <v>0</v>
      </c>
      <c r="AP180">
        <v>0</v>
      </c>
      <c r="AQ180">
        <v>0</v>
      </c>
      <c r="AR180">
        <v>0</v>
      </c>
      <c r="AT180">
        <v>0</v>
      </c>
      <c r="AU180">
        <v>0</v>
      </c>
      <c r="AV180">
        <v>0</v>
      </c>
      <c r="AX180">
        <v>0</v>
      </c>
      <c r="AY180">
        <v>0</v>
      </c>
      <c r="BA180">
        <v>0</v>
      </c>
      <c r="BB180">
        <v>0</v>
      </c>
      <c r="BD180">
        <v>0</v>
      </c>
      <c r="BE180">
        <v>0</v>
      </c>
      <c r="BH180">
        <v>0</v>
      </c>
      <c r="BI180">
        <v>0</v>
      </c>
      <c r="BJ180">
        <v>0</v>
      </c>
      <c r="BK180">
        <v>0</v>
      </c>
      <c r="BL180">
        <v>0</v>
      </c>
      <c r="BM180">
        <v>0</v>
      </c>
      <c r="BN180">
        <v>0</v>
      </c>
      <c r="BO180">
        <v>0</v>
      </c>
      <c r="BP180">
        <v>0</v>
      </c>
      <c r="BQ180">
        <v>0</v>
      </c>
      <c r="BR180">
        <v>0</v>
      </c>
      <c r="BS180">
        <v>0</v>
      </c>
      <c r="BT180">
        <v>0</v>
      </c>
      <c r="BU180">
        <v>0</v>
      </c>
      <c r="BW180">
        <v>0</v>
      </c>
      <c r="BX180">
        <v>0</v>
      </c>
      <c r="BY180">
        <v>0</v>
      </c>
      <c r="BZ180">
        <v>0</v>
      </c>
      <c r="CA180">
        <v>0</v>
      </c>
    </row>
    <row r="181" spans="1:79" x14ac:dyDescent="0.3">
      <c r="A181">
        <v>637</v>
      </c>
      <c r="B181" t="s">
        <v>1580</v>
      </c>
      <c r="D181">
        <v>0</v>
      </c>
      <c r="E181">
        <v>0</v>
      </c>
      <c r="G181">
        <v>0</v>
      </c>
      <c r="H181">
        <v>41161</v>
      </c>
      <c r="I181">
        <v>33983</v>
      </c>
      <c r="J181">
        <v>91665</v>
      </c>
      <c r="K181">
        <v>0</v>
      </c>
      <c r="L181">
        <v>456319</v>
      </c>
      <c r="N181">
        <v>0</v>
      </c>
      <c r="P181">
        <v>0</v>
      </c>
      <c r="Q181">
        <v>0</v>
      </c>
      <c r="R181">
        <v>513933</v>
      </c>
      <c r="S181">
        <v>113120</v>
      </c>
      <c r="T181">
        <v>0</v>
      </c>
      <c r="U181">
        <v>0</v>
      </c>
      <c r="V181">
        <v>0</v>
      </c>
      <c r="W181">
        <v>0</v>
      </c>
      <c r="X181">
        <v>0</v>
      </c>
      <c r="Y181">
        <v>0</v>
      </c>
      <c r="Z181">
        <v>51873</v>
      </c>
      <c r="AB181">
        <v>0</v>
      </c>
      <c r="AC181">
        <v>0</v>
      </c>
      <c r="AD181">
        <v>34947</v>
      </c>
      <c r="AE181">
        <v>23353</v>
      </c>
      <c r="AF181">
        <v>7283</v>
      </c>
      <c r="AG181">
        <v>0</v>
      </c>
      <c r="AH181">
        <v>0</v>
      </c>
      <c r="AI181">
        <v>0</v>
      </c>
      <c r="AJ181">
        <v>212906</v>
      </c>
      <c r="AK181">
        <v>15859</v>
      </c>
      <c r="AL181">
        <v>0</v>
      </c>
      <c r="AM181">
        <v>0</v>
      </c>
      <c r="AN181">
        <v>198785</v>
      </c>
      <c r="AP181">
        <v>0</v>
      </c>
      <c r="AQ181">
        <v>149928</v>
      </c>
      <c r="AR181">
        <v>20708</v>
      </c>
      <c r="AT181">
        <v>149876</v>
      </c>
      <c r="AU181">
        <v>133197</v>
      </c>
      <c r="AV181">
        <v>54884</v>
      </c>
      <c r="AX181">
        <v>0</v>
      </c>
      <c r="AY181">
        <v>77255</v>
      </c>
      <c r="BA181">
        <v>0</v>
      </c>
      <c r="BB181">
        <v>0</v>
      </c>
      <c r="BD181">
        <v>0</v>
      </c>
      <c r="BE181">
        <v>0</v>
      </c>
      <c r="BH181">
        <v>0</v>
      </c>
      <c r="BI181">
        <v>0</v>
      </c>
      <c r="BJ181">
        <v>0</v>
      </c>
      <c r="BK181">
        <v>55281</v>
      </c>
      <c r="BL181">
        <v>0</v>
      </c>
      <c r="BM181">
        <v>0</v>
      </c>
      <c r="BN181">
        <v>281129</v>
      </c>
      <c r="BO181">
        <v>98360</v>
      </c>
      <c r="BP181">
        <v>37020</v>
      </c>
      <c r="BQ181">
        <v>64754</v>
      </c>
      <c r="BR181">
        <v>0</v>
      </c>
      <c r="BS181">
        <v>0</v>
      </c>
      <c r="BT181">
        <v>0</v>
      </c>
      <c r="BU181">
        <v>47295</v>
      </c>
      <c r="BW181">
        <v>30137</v>
      </c>
      <c r="BX181">
        <v>0</v>
      </c>
      <c r="BY181">
        <v>0</v>
      </c>
      <c r="BZ181">
        <v>809746</v>
      </c>
      <c r="CA181">
        <v>0</v>
      </c>
    </row>
    <row r="182" spans="1:79" x14ac:dyDescent="0.3">
      <c r="A182">
        <v>638</v>
      </c>
      <c r="B182" t="s">
        <v>1581</v>
      </c>
      <c r="D182">
        <v>0</v>
      </c>
      <c r="E182">
        <v>0</v>
      </c>
      <c r="G182">
        <v>0</v>
      </c>
      <c r="H182">
        <v>0</v>
      </c>
      <c r="I182">
        <v>0</v>
      </c>
      <c r="J182">
        <v>0</v>
      </c>
      <c r="K182">
        <v>0</v>
      </c>
      <c r="L182">
        <v>0</v>
      </c>
      <c r="N182">
        <v>0</v>
      </c>
      <c r="P182">
        <v>0</v>
      </c>
      <c r="Q182">
        <v>0</v>
      </c>
      <c r="R182">
        <v>0</v>
      </c>
      <c r="S182">
        <v>0</v>
      </c>
      <c r="T182">
        <v>0</v>
      </c>
      <c r="U182">
        <v>0</v>
      </c>
      <c r="V182">
        <v>0</v>
      </c>
      <c r="W182">
        <v>0</v>
      </c>
      <c r="X182">
        <v>0</v>
      </c>
      <c r="Y182">
        <v>0</v>
      </c>
      <c r="Z182">
        <v>0</v>
      </c>
      <c r="AB182">
        <v>0</v>
      </c>
      <c r="AC182">
        <v>0</v>
      </c>
      <c r="AD182">
        <v>0</v>
      </c>
      <c r="AE182">
        <v>0</v>
      </c>
      <c r="AF182">
        <v>0</v>
      </c>
      <c r="AG182">
        <v>0</v>
      </c>
      <c r="AH182">
        <v>0</v>
      </c>
      <c r="AI182">
        <v>0</v>
      </c>
      <c r="AJ182">
        <v>0</v>
      </c>
      <c r="AK182">
        <v>0</v>
      </c>
      <c r="AL182">
        <v>0</v>
      </c>
      <c r="AM182">
        <v>0</v>
      </c>
      <c r="AN182">
        <v>0</v>
      </c>
      <c r="AP182">
        <v>0</v>
      </c>
      <c r="AQ182">
        <v>0</v>
      </c>
      <c r="AR182">
        <v>0</v>
      </c>
      <c r="AT182">
        <v>0</v>
      </c>
      <c r="AU182">
        <v>0</v>
      </c>
      <c r="AV182">
        <v>0</v>
      </c>
      <c r="AX182">
        <v>0</v>
      </c>
      <c r="AY182">
        <v>0</v>
      </c>
      <c r="BA182">
        <v>0</v>
      </c>
      <c r="BB182">
        <v>0</v>
      </c>
      <c r="BD182">
        <v>0</v>
      </c>
      <c r="BE182">
        <v>0</v>
      </c>
      <c r="BH182">
        <v>0</v>
      </c>
      <c r="BI182">
        <v>0</v>
      </c>
      <c r="BJ182">
        <v>0</v>
      </c>
      <c r="BK182">
        <v>0</v>
      </c>
      <c r="BL182">
        <v>0</v>
      </c>
      <c r="BM182">
        <v>0</v>
      </c>
      <c r="BN182">
        <v>0</v>
      </c>
      <c r="BO182">
        <v>0</v>
      </c>
      <c r="BP182">
        <v>0</v>
      </c>
      <c r="BQ182">
        <v>0</v>
      </c>
      <c r="BR182">
        <v>0</v>
      </c>
      <c r="BS182">
        <v>0</v>
      </c>
      <c r="BT182">
        <v>0</v>
      </c>
      <c r="BU182">
        <v>0</v>
      </c>
      <c r="BW182">
        <v>0</v>
      </c>
      <c r="BX182">
        <v>0</v>
      </c>
      <c r="BY182">
        <v>0</v>
      </c>
      <c r="BZ182">
        <v>0</v>
      </c>
      <c r="CA182">
        <v>0</v>
      </c>
    </row>
    <row r="183" spans="1:79" x14ac:dyDescent="0.3">
      <c r="A183">
        <v>639</v>
      </c>
      <c r="B183" t="s">
        <v>1582</v>
      </c>
      <c r="D183">
        <v>0</v>
      </c>
      <c r="E183">
        <v>0</v>
      </c>
      <c r="G183">
        <v>0</v>
      </c>
      <c r="H183">
        <v>0</v>
      </c>
      <c r="I183">
        <v>0</v>
      </c>
      <c r="J183">
        <v>0</v>
      </c>
      <c r="K183">
        <v>0</v>
      </c>
      <c r="L183">
        <v>0</v>
      </c>
      <c r="N183">
        <v>0</v>
      </c>
      <c r="P183">
        <v>0</v>
      </c>
      <c r="Q183">
        <v>0</v>
      </c>
      <c r="R183">
        <v>0</v>
      </c>
      <c r="S183">
        <v>2054529</v>
      </c>
      <c r="T183">
        <v>0</v>
      </c>
      <c r="U183">
        <v>1965298</v>
      </c>
      <c r="V183">
        <v>0</v>
      </c>
      <c r="W183">
        <v>0</v>
      </c>
      <c r="X183">
        <v>0</v>
      </c>
      <c r="Y183">
        <v>0</v>
      </c>
      <c r="Z183">
        <v>1656467</v>
      </c>
      <c r="AB183">
        <v>0</v>
      </c>
      <c r="AC183">
        <v>0</v>
      </c>
      <c r="AD183">
        <v>0</v>
      </c>
      <c r="AE183">
        <v>566843</v>
      </c>
      <c r="AF183">
        <v>0</v>
      </c>
      <c r="AG183">
        <v>0</v>
      </c>
      <c r="AH183">
        <v>0</v>
      </c>
      <c r="AI183">
        <v>0</v>
      </c>
      <c r="AJ183">
        <v>2020400</v>
      </c>
      <c r="AK183">
        <v>0</v>
      </c>
      <c r="AL183">
        <v>0</v>
      </c>
      <c r="AM183">
        <v>0</v>
      </c>
      <c r="AN183">
        <v>0</v>
      </c>
      <c r="AP183">
        <v>0</v>
      </c>
      <c r="AQ183">
        <v>4695776</v>
      </c>
      <c r="AR183">
        <v>0</v>
      </c>
      <c r="AT183">
        <v>0</v>
      </c>
      <c r="AU183">
        <v>857855</v>
      </c>
      <c r="AV183">
        <v>0</v>
      </c>
      <c r="AX183">
        <v>0</v>
      </c>
      <c r="AY183">
        <v>0</v>
      </c>
      <c r="BA183">
        <v>0</v>
      </c>
      <c r="BB183">
        <v>0</v>
      </c>
      <c r="BD183">
        <v>0</v>
      </c>
      <c r="BE183">
        <v>3940478</v>
      </c>
      <c r="BH183">
        <v>0</v>
      </c>
      <c r="BI183">
        <v>0</v>
      </c>
      <c r="BJ183">
        <v>0</v>
      </c>
      <c r="BK183">
        <v>322732</v>
      </c>
      <c r="BL183">
        <v>0</v>
      </c>
      <c r="BM183">
        <v>0</v>
      </c>
      <c r="BN183">
        <v>0</v>
      </c>
      <c r="BO183">
        <v>0</v>
      </c>
      <c r="BP183">
        <v>0</v>
      </c>
      <c r="BQ183">
        <v>0</v>
      </c>
      <c r="BR183">
        <v>0</v>
      </c>
      <c r="BS183">
        <v>0</v>
      </c>
      <c r="BT183">
        <v>0</v>
      </c>
      <c r="BU183">
        <v>0</v>
      </c>
      <c r="BW183">
        <v>0</v>
      </c>
      <c r="BX183">
        <v>0</v>
      </c>
      <c r="BY183">
        <v>0</v>
      </c>
      <c r="BZ183">
        <v>0</v>
      </c>
      <c r="CA183">
        <v>0</v>
      </c>
    </row>
    <row r="184" spans="1:79" x14ac:dyDescent="0.3">
      <c r="A184">
        <v>640</v>
      </c>
      <c r="B184" t="s">
        <v>1583</v>
      </c>
      <c r="D184">
        <v>0</v>
      </c>
      <c r="E184">
        <v>0</v>
      </c>
      <c r="G184">
        <v>0</v>
      </c>
      <c r="H184">
        <v>0</v>
      </c>
      <c r="I184">
        <v>0</v>
      </c>
      <c r="J184">
        <v>0</v>
      </c>
      <c r="K184">
        <v>0</v>
      </c>
      <c r="L184">
        <v>0</v>
      </c>
      <c r="N184">
        <v>0</v>
      </c>
      <c r="P184">
        <v>0</v>
      </c>
      <c r="Q184">
        <v>0</v>
      </c>
      <c r="R184">
        <v>0</v>
      </c>
      <c r="S184">
        <v>0</v>
      </c>
      <c r="T184">
        <v>0</v>
      </c>
      <c r="U184">
        <v>102290</v>
      </c>
      <c r="V184">
        <v>0</v>
      </c>
      <c r="W184">
        <v>0</v>
      </c>
      <c r="X184">
        <v>0</v>
      </c>
      <c r="Y184">
        <v>0</v>
      </c>
      <c r="Z184">
        <v>0</v>
      </c>
      <c r="AB184">
        <v>0</v>
      </c>
      <c r="AC184">
        <v>0</v>
      </c>
      <c r="AD184">
        <v>0</v>
      </c>
      <c r="AE184">
        <v>0</v>
      </c>
      <c r="AF184">
        <v>0</v>
      </c>
      <c r="AG184">
        <v>0</v>
      </c>
      <c r="AH184">
        <v>0</v>
      </c>
      <c r="AI184">
        <v>0</v>
      </c>
      <c r="AJ184">
        <v>0</v>
      </c>
      <c r="AK184">
        <v>0</v>
      </c>
      <c r="AL184">
        <v>0</v>
      </c>
      <c r="AM184">
        <v>0</v>
      </c>
      <c r="AN184">
        <v>0</v>
      </c>
      <c r="AP184">
        <v>0</v>
      </c>
      <c r="AQ184">
        <v>0</v>
      </c>
      <c r="AR184">
        <v>0</v>
      </c>
      <c r="AT184">
        <v>0</v>
      </c>
      <c r="AU184">
        <v>0</v>
      </c>
      <c r="AV184">
        <v>0</v>
      </c>
      <c r="AX184">
        <v>0</v>
      </c>
      <c r="AY184">
        <v>0</v>
      </c>
      <c r="BA184">
        <v>0</v>
      </c>
      <c r="BB184">
        <v>0</v>
      </c>
      <c r="BD184">
        <v>0</v>
      </c>
      <c r="BE184">
        <v>0</v>
      </c>
      <c r="BH184">
        <v>0</v>
      </c>
      <c r="BI184">
        <v>0</v>
      </c>
      <c r="BJ184">
        <v>0</v>
      </c>
      <c r="BK184">
        <v>0</v>
      </c>
      <c r="BL184">
        <v>0</v>
      </c>
      <c r="BM184">
        <v>0</v>
      </c>
      <c r="BN184">
        <v>0</v>
      </c>
      <c r="BO184">
        <v>0</v>
      </c>
      <c r="BP184">
        <v>0</v>
      </c>
      <c r="BQ184">
        <v>0</v>
      </c>
      <c r="BR184">
        <v>0</v>
      </c>
      <c r="BS184">
        <v>0</v>
      </c>
      <c r="BT184">
        <v>0</v>
      </c>
      <c r="BU184">
        <v>0</v>
      </c>
      <c r="BW184">
        <v>0</v>
      </c>
      <c r="BX184">
        <v>0</v>
      </c>
      <c r="BY184">
        <v>0</v>
      </c>
      <c r="BZ184">
        <v>0</v>
      </c>
      <c r="CA184">
        <v>0</v>
      </c>
    </row>
    <row r="185" spans="1:79" x14ac:dyDescent="0.3">
      <c r="A185">
        <v>641</v>
      </c>
      <c r="B185" t="s">
        <v>1584</v>
      </c>
      <c r="D185">
        <v>0</v>
      </c>
      <c r="E185">
        <v>0</v>
      </c>
      <c r="G185">
        <v>0</v>
      </c>
      <c r="H185">
        <v>0</v>
      </c>
      <c r="I185">
        <v>0</v>
      </c>
      <c r="J185">
        <v>0</v>
      </c>
      <c r="K185">
        <v>0</v>
      </c>
      <c r="L185">
        <v>0</v>
      </c>
      <c r="N185">
        <v>0</v>
      </c>
      <c r="P185">
        <v>0</v>
      </c>
      <c r="Q185">
        <v>0</v>
      </c>
      <c r="R185">
        <v>0</v>
      </c>
      <c r="S185">
        <v>36774</v>
      </c>
      <c r="T185">
        <v>0</v>
      </c>
      <c r="U185">
        <v>21392</v>
      </c>
      <c r="V185">
        <v>0</v>
      </c>
      <c r="W185">
        <v>0</v>
      </c>
      <c r="X185">
        <v>0</v>
      </c>
      <c r="Y185">
        <v>0</v>
      </c>
      <c r="Z185">
        <v>18000</v>
      </c>
      <c r="AB185">
        <v>0</v>
      </c>
      <c r="AC185">
        <v>0</v>
      </c>
      <c r="AD185">
        <v>0</v>
      </c>
      <c r="AE185">
        <v>36400</v>
      </c>
      <c r="AF185">
        <v>0</v>
      </c>
      <c r="AG185">
        <v>0</v>
      </c>
      <c r="AH185">
        <v>0</v>
      </c>
      <c r="AI185">
        <v>0</v>
      </c>
      <c r="AJ185">
        <v>46954</v>
      </c>
      <c r="AK185">
        <v>0</v>
      </c>
      <c r="AL185">
        <v>0</v>
      </c>
      <c r="AM185">
        <v>0</v>
      </c>
      <c r="AN185">
        <v>0</v>
      </c>
      <c r="AP185">
        <v>0</v>
      </c>
      <c r="AQ185">
        <v>0</v>
      </c>
      <c r="AR185">
        <v>0</v>
      </c>
      <c r="AT185">
        <v>0</v>
      </c>
      <c r="AU185">
        <v>20468</v>
      </c>
      <c r="AV185">
        <v>0</v>
      </c>
      <c r="AX185">
        <v>0</v>
      </c>
      <c r="AY185">
        <v>0</v>
      </c>
      <c r="BA185">
        <v>0</v>
      </c>
      <c r="BB185">
        <v>0</v>
      </c>
      <c r="BD185">
        <v>0</v>
      </c>
      <c r="BE185">
        <v>161256</v>
      </c>
      <c r="BH185">
        <v>0</v>
      </c>
      <c r="BI185">
        <v>0</v>
      </c>
      <c r="BJ185">
        <v>0</v>
      </c>
      <c r="BK185">
        <v>0</v>
      </c>
      <c r="BL185">
        <v>0</v>
      </c>
      <c r="BM185">
        <v>0</v>
      </c>
      <c r="BN185">
        <v>0</v>
      </c>
      <c r="BO185">
        <v>0</v>
      </c>
      <c r="BP185">
        <v>0</v>
      </c>
      <c r="BQ185">
        <v>0</v>
      </c>
      <c r="BR185">
        <v>0</v>
      </c>
      <c r="BS185">
        <v>0</v>
      </c>
      <c r="BT185">
        <v>0</v>
      </c>
      <c r="BU185">
        <v>0</v>
      </c>
      <c r="BW185">
        <v>0</v>
      </c>
      <c r="BX185">
        <v>0</v>
      </c>
      <c r="BY185">
        <v>0</v>
      </c>
      <c r="BZ185">
        <v>0</v>
      </c>
      <c r="CA185">
        <v>0</v>
      </c>
    </row>
    <row r="186" spans="1:79" x14ac:dyDescent="0.3">
      <c r="A186">
        <v>642</v>
      </c>
      <c r="B186" t="s">
        <v>1585</v>
      </c>
      <c r="D186">
        <v>0</v>
      </c>
      <c r="E186">
        <v>0</v>
      </c>
      <c r="G186">
        <v>0</v>
      </c>
      <c r="H186">
        <v>0</v>
      </c>
      <c r="I186">
        <v>0</v>
      </c>
      <c r="J186">
        <v>0</v>
      </c>
      <c r="K186">
        <v>0</v>
      </c>
      <c r="L186">
        <v>0</v>
      </c>
      <c r="N186">
        <v>0</v>
      </c>
      <c r="P186">
        <v>0</v>
      </c>
      <c r="Q186">
        <v>0</v>
      </c>
      <c r="R186">
        <v>0</v>
      </c>
      <c r="S186">
        <v>0</v>
      </c>
      <c r="T186">
        <v>0</v>
      </c>
      <c r="U186">
        <v>0</v>
      </c>
      <c r="V186">
        <v>0</v>
      </c>
      <c r="W186">
        <v>0</v>
      </c>
      <c r="X186">
        <v>0</v>
      </c>
      <c r="Y186">
        <v>0</v>
      </c>
      <c r="Z186">
        <v>0</v>
      </c>
      <c r="AB186">
        <v>0</v>
      </c>
      <c r="AC186">
        <v>0</v>
      </c>
      <c r="AD186">
        <v>0</v>
      </c>
      <c r="AE186">
        <v>0</v>
      </c>
      <c r="AF186">
        <v>0</v>
      </c>
      <c r="AG186">
        <v>0</v>
      </c>
      <c r="AH186">
        <v>0</v>
      </c>
      <c r="AI186">
        <v>0</v>
      </c>
      <c r="AJ186">
        <v>0</v>
      </c>
      <c r="AK186">
        <v>0</v>
      </c>
      <c r="AL186">
        <v>0</v>
      </c>
      <c r="AM186">
        <v>0</v>
      </c>
      <c r="AN186">
        <v>0</v>
      </c>
      <c r="AP186">
        <v>0</v>
      </c>
      <c r="AQ186">
        <v>0</v>
      </c>
      <c r="AR186">
        <v>0</v>
      </c>
      <c r="AT186">
        <v>0</v>
      </c>
      <c r="AU186">
        <v>0</v>
      </c>
      <c r="AV186">
        <v>0</v>
      </c>
      <c r="AX186">
        <v>0</v>
      </c>
      <c r="AY186">
        <v>0</v>
      </c>
      <c r="BA186">
        <v>0</v>
      </c>
      <c r="BB186">
        <v>0</v>
      </c>
      <c r="BD186">
        <v>0</v>
      </c>
      <c r="BE186">
        <v>0</v>
      </c>
      <c r="BH186">
        <v>0</v>
      </c>
      <c r="BI186">
        <v>0</v>
      </c>
      <c r="BJ186">
        <v>0</v>
      </c>
      <c r="BK186">
        <v>0</v>
      </c>
      <c r="BL186">
        <v>0</v>
      </c>
      <c r="BM186">
        <v>0</v>
      </c>
      <c r="BN186">
        <v>0</v>
      </c>
      <c r="BO186">
        <v>0</v>
      </c>
      <c r="BP186">
        <v>0</v>
      </c>
      <c r="BQ186">
        <v>0</v>
      </c>
      <c r="BR186">
        <v>0</v>
      </c>
      <c r="BS186">
        <v>0</v>
      </c>
      <c r="BT186">
        <v>0</v>
      </c>
      <c r="BU186">
        <v>0</v>
      </c>
      <c r="BW186">
        <v>0</v>
      </c>
      <c r="BX186">
        <v>0</v>
      </c>
      <c r="BY186">
        <v>0</v>
      </c>
      <c r="BZ186">
        <v>0</v>
      </c>
      <c r="CA186">
        <v>0</v>
      </c>
    </row>
    <row r="187" spans="1:79" x14ac:dyDescent="0.3">
      <c r="A187">
        <v>643</v>
      </c>
      <c r="B187" t="s">
        <v>1586</v>
      </c>
      <c r="D187">
        <v>0</v>
      </c>
      <c r="E187">
        <v>0</v>
      </c>
      <c r="G187">
        <v>0</v>
      </c>
      <c r="H187">
        <v>0</v>
      </c>
      <c r="I187">
        <v>0</v>
      </c>
      <c r="J187">
        <v>0</v>
      </c>
      <c r="K187">
        <v>0</v>
      </c>
      <c r="L187">
        <v>0</v>
      </c>
      <c r="N187">
        <v>0</v>
      </c>
      <c r="P187">
        <v>0</v>
      </c>
      <c r="Q187">
        <v>0</v>
      </c>
      <c r="R187">
        <v>0</v>
      </c>
      <c r="S187">
        <v>323936</v>
      </c>
      <c r="T187">
        <v>0</v>
      </c>
      <c r="U187">
        <v>0</v>
      </c>
      <c r="V187">
        <v>0</v>
      </c>
      <c r="W187">
        <v>0</v>
      </c>
      <c r="X187">
        <v>0</v>
      </c>
      <c r="Y187">
        <v>0</v>
      </c>
      <c r="Z187">
        <v>840634</v>
      </c>
      <c r="AB187">
        <v>0</v>
      </c>
      <c r="AC187">
        <v>0</v>
      </c>
      <c r="AD187">
        <v>0</v>
      </c>
      <c r="AE187">
        <v>134310</v>
      </c>
      <c r="AF187">
        <v>0</v>
      </c>
      <c r="AG187">
        <v>0</v>
      </c>
      <c r="AH187">
        <v>0</v>
      </c>
      <c r="AI187">
        <v>0</v>
      </c>
      <c r="AJ187">
        <v>0</v>
      </c>
      <c r="AK187">
        <v>0</v>
      </c>
      <c r="AL187">
        <v>0</v>
      </c>
      <c r="AM187">
        <v>0</v>
      </c>
      <c r="AN187">
        <v>0</v>
      </c>
      <c r="AP187">
        <v>0</v>
      </c>
      <c r="AQ187">
        <v>653575</v>
      </c>
      <c r="AR187">
        <v>0</v>
      </c>
      <c r="AT187">
        <v>0</v>
      </c>
      <c r="AU187">
        <v>309210</v>
      </c>
      <c r="AV187">
        <v>0</v>
      </c>
      <c r="AX187">
        <v>0</v>
      </c>
      <c r="AY187">
        <v>0</v>
      </c>
      <c r="BA187">
        <v>0</v>
      </c>
      <c r="BB187">
        <v>0</v>
      </c>
      <c r="BD187">
        <v>0</v>
      </c>
      <c r="BE187">
        <v>0</v>
      </c>
      <c r="BH187">
        <v>0</v>
      </c>
      <c r="BI187">
        <v>0</v>
      </c>
      <c r="BJ187">
        <v>0</v>
      </c>
      <c r="BK187">
        <v>157942</v>
      </c>
      <c r="BL187">
        <v>0</v>
      </c>
      <c r="BM187">
        <v>0</v>
      </c>
      <c r="BN187">
        <v>0</v>
      </c>
      <c r="BO187">
        <v>0</v>
      </c>
      <c r="BP187">
        <v>0</v>
      </c>
      <c r="BQ187">
        <v>0</v>
      </c>
      <c r="BR187">
        <v>0</v>
      </c>
      <c r="BS187">
        <v>0</v>
      </c>
      <c r="BT187">
        <v>0</v>
      </c>
      <c r="BU187">
        <v>0</v>
      </c>
      <c r="BW187">
        <v>0</v>
      </c>
      <c r="BX187">
        <v>0</v>
      </c>
      <c r="BY187">
        <v>0</v>
      </c>
      <c r="BZ187">
        <v>0</v>
      </c>
      <c r="CA187">
        <v>0</v>
      </c>
    </row>
    <row r="188" spans="1:79" x14ac:dyDescent="0.3">
      <c r="A188">
        <v>644</v>
      </c>
      <c r="B188" t="s">
        <v>1587</v>
      </c>
      <c r="D188">
        <v>0</v>
      </c>
      <c r="E188">
        <v>0</v>
      </c>
      <c r="G188">
        <v>0</v>
      </c>
      <c r="H188">
        <v>0</v>
      </c>
      <c r="I188">
        <v>0</v>
      </c>
      <c r="J188">
        <v>0</v>
      </c>
      <c r="K188">
        <v>0</v>
      </c>
      <c r="L188">
        <v>0</v>
      </c>
      <c r="N188">
        <v>0</v>
      </c>
      <c r="P188">
        <v>0</v>
      </c>
      <c r="Q188">
        <v>0</v>
      </c>
      <c r="R188">
        <v>0</v>
      </c>
      <c r="S188">
        <v>0</v>
      </c>
      <c r="T188">
        <v>0</v>
      </c>
      <c r="U188">
        <v>0</v>
      </c>
      <c r="V188">
        <v>0</v>
      </c>
      <c r="W188">
        <v>0</v>
      </c>
      <c r="X188">
        <v>0</v>
      </c>
      <c r="Y188">
        <v>0</v>
      </c>
      <c r="Z188">
        <v>0</v>
      </c>
      <c r="AB188">
        <v>0</v>
      </c>
      <c r="AC188">
        <v>0</v>
      </c>
      <c r="AD188">
        <v>0</v>
      </c>
      <c r="AE188">
        <v>0</v>
      </c>
      <c r="AF188">
        <v>0</v>
      </c>
      <c r="AG188">
        <v>0</v>
      </c>
      <c r="AH188">
        <v>0</v>
      </c>
      <c r="AI188">
        <v>0</v>
      </c>
      <c r="AJ188">
        <v>0</v>
      </c>
      <c r="AK188">
        <v>0</v>
      </c>
      <c r="AL188">
        <v>0</v>
      </c>
      <c r="AM188">
        <v>0</v>
      </c>
      <c r="AN188">
        <v>0</v>
      </c>
      <c r="AP188">
        <v>0</v>
      </c>
      <c r="AQ188">
        <v>0</v>
      </c>
      <c r="AR188">
        <v>0</v>
      </c>
      <c r="AT188">
        <v>0</v>
      </c>
      <c r="AU188">
        <v>0</v>
      </c>
      <c r="AV188">
        <v>0</v>
      </c>
      <c r="AX188">
        <v>0</v>
      </c>
      <c r="AY188">
        <v>0</v>
      </c>
      <c r="BA188">
        <v>0</v>
      </c>
      <c r="BB188">
        <v>0</v>
      </c>
      <c r="BD188">
        <v>0</v>
      </c>
      <c r="BE188">
        <v>0</v>
      </c>
      <c r="BH188">
        <v>0</v>
      </c>
      <c r="BI188">
        <v>0</v>
      </c>
      <c r="BJ188">
        <v>0</v>
      </c>
      <c r="BK188">
        <v>0</v>
      </c>
      <c r="BL188">
        <v>0</v>
      </c>
      <c r="BM188">
        <v>0</v>
      </c>
      <c r="BN188">
        <v>0</v>
      </c>
      <c r="BO188">
        <v>0</v>
      </c>
      <c r="BP188">
        <v>0</v>
      </c>
      <c r="BQ188">
        <v>0</v>
      </c>
      <c r="BR188">
        <v>0</v>
      </c>
      <c r="BS188">
        <v>0</v>
      </c>
      <c r="BT188">
        <v>0</v>
      </c>
      <c r="BU188">
        <v>0</v>
      </c>
      <c r="BW188">
        <v>0</v>
      </c>
      <c r="BX188">
        <v>0</v>
      </c>
      <c r="BY188">
        <v>0</v>
      </c>
      <c r="BZ188">
        <v>0</v>
      </c>
      <c r="CA188">
        <v>0</v>
      </c>
    </row>
    <row r="189" spans="1:79" x14ac:dyDescent="0.3">
      <c r="A189">
        <v>645</v>
      </c>
      <c r="B189" t="s">
        <v>384</v>
      </c>
      <c r="D189">
        <v>0</v>
      </c>
      <c r="E189">
        <v>363113</v>
      </c>
      <c r="G189">
        <v>489015</v>
      </c>
      <c r="H189">
        <v>0</v>
      </c>
      <c r="I189">
        <v>15994</v>
      </c>
      <c r="J189">
        <v>339000</v>
      </c>
      <c r="K189">
        <v>0</v>
      </c>
      <c r="L189">
        <v>0</v>
      </c>
      <c r="N189">
        <v>0</v>
      </c>
      <c r="P189">
        <v>0</v>
      </c>
      <c r="Q189">
        <v>853047</v>
      </c>
      <c r="R189">
        <v>150000</v>
      </c>
      <c r="S189">
        <v>0</v>
      </c>
      <c r="T189">
        <v>0</v>
      </c>
      <c r="U189">
        <v>538798</v>
      </c>
      <c r="V189">
        <v>1000</v>
      </c>
      <c r="W189">
        <v>0</v>
      </c>
      <c r="X189">
        <v>367075</v>
      </c>
      <c r="Y189">
        <v>1328710</v>
      </c>
      <c r="Z189">
        <v>0</v>
      </c>
      <c r="AB189">
        <v>0</v>
      </c>
      <c r="AC189">
        <v>0</v>
      </c>
      <c r="AD189">
        <v>302854</v>
      </c>
      <c r="AE189">
        <v>572375</v>
      </c>
      <c r="AF189">
        <v>0</v>
      </c>
      <c r="AG189">
        <v>20976</v>
      </c>
      <c r="AH189">
        <v>0</v>
      </c>
      <c r="AI189">
        <v>200000</v>
      </c>
      <c r="AJ189">
        <v>510485</v>
      </c>
      <c r="AK189">
        <v>660</v>
      </c>
      <c r="AL189">
        <v>0</v>
      </c>
      <c r="AM189">
        <v>0</v>
      </c>
      <c r="AN189">
        <v>0</v>
      </c>
      <c r="AP189">
        <v>432107</v>
      </c>
      <c r="AQ189">
        <v>2367586</v>
      </c>
      <c r="AR189">
        <v>0</v>
      </c>
      <c r="AT189">
        <v>0</v>
      </c>
      <c r="AU189">
        <v>0</v>
      </c>
      <c r="AV189">
        <v>0</v>
      </c>
      <c r="AX189">
        <v>0</v>
      </c>
      <c r="AY189">
        <v>0</v>
      </c>
      <c r="BA189">
        <v>0</v>
      </c>
      <c r="BB189">
        <v>0</v>
      </c>
      <c r="BD189">
        <v>68385</v>
      </c>
      <c r="BE189">
        <v>0</v>
      </c>
      <c r="BH189">
        <v>335000</v>
      </c>
      <c r="BI189">
        <v>366154</v>
      </c>
      <c r="BJ189">
        <v>0</v>
      </c>
      <c r="BK189">
        <v>0</v>
      </c>
      <c r="BL189">
        <v>0</v>
      </c>
      <c r="BM189">
        <v>0</v>
      </c>
      <c r="BN189">
        <v>778744</v>
      </c>
      <c r="BO189">
        <v>504626</v>
      </c>
      <c r="BP189">
        <v>50589</v>
      </c>
      <c r="BQ189">
        <v>2665635</v>
      </c>
      <c r="BR189">
        <v>891014</v>
      </c>
      <c r="BS189">
        <v>3803373</v>
      </c>
      <c r="BT189">
        <v>0</v>
      </c>
      <c r="BU189">
        <v>0</v>
      </c>
      <c r="BW189">
        <v>0</v>
      </c>
      <c r="BX189">
        <v>0</v>
      </c>
      <c r="BY189">
        <v>0</v>
      </c>
      <c r="BZ189">
        <v>2797463</v>
      </c>
      <c r="CA189">
        <v>0</v>
      </c>
    </row>
    <row r="190" spans="1:79" x14ac:dyDescent="0.3">
      <c r="A190">
        <v>646</v>
      </c>
      <c r="B190" t="s">
        <v>359</v>
      </c>
      <c r="D190">
        <v>893122</v>
      </c>
      <c r="E190">
        <v>20616223</v>
      </c>
      <c r="G190">
        <v>26299816</v>
      </c>
      <c r="H190">
        <v>3800912</v>
      </c>
      <c r="I190">
        <v>436774</v>
      </c>
      <c r="J190">
        <v>3129971</v>
      </c>
      <c r="K190">
        <v>1101878</v>
      </c>
      <c r="L190">
        <v>48754646</v>
      </c>
      <c r="N190">
        <v>801574</v>
      </c>
      <c r="P190">
        <v>7696367</v>
      </c>
      <c r="Q190">
        <v>18714635</v>
      </c>
      <c r="R190">
        <v>3178289</v>
      </c>
      <c r="S190">
        <v>8413448</v>
      </c>
      <c r="T190">
        <v>256668</v>
      </c>
      <c r="U190">
        <v>12958717</v>
      </c>
      <c r="V190">
        <v>154602</v>
      </c>
      <c r="W190">
        <v>7216926</v>
      </c>
      <c r="X190">
        <v>9453325</v>
      </c>
      <c r="Y190">
        <v>5351310</v>
      </c>
      <c r="Z190">
        <v>2406742</v>
      </c>
      <c r="AB190">
        <v>1624576</v>
      </c>
      <c r="AC190">
        <v>400550</v>
      </c>
      <c r="AD190">
        <v>1188104</v>
      </c>
      <c r="AE190">
        <v>2488960</v>
      </c>
      <c r="AF190">
        <v>92568</v>
      </c>
      <c r="AG190">
        <v>44724</v>
      </c>
      <c r="AH190">
        <v>195906</v>
      </c>
      <c r="AI190">
        <v>2164002</v>
      </c>
      <c r="AJ190">
        <v>3090496</v>
      </c>
      <c r="AK190">
        <v>340270</v>
      </c>
      <c r="AL190">
        <v>139376</v>
      </c>
      <c r="AM190">
        <v>11727089</v>
      </c>
      <c r="AN190">
        <v>17032351</v>
      </c>
      <c r="AP190">
        <v>4192478</v>
      </c>
      <c r="AQ190">
        <v>7193517</v>
      </c>
      <c r="AR190">
        <v>657077</v>
      </c>
      <c r="AT190">
        <v>3838839</v>
      </c>
      <c r="AU190">
        <v>9769179</v>
      </c>
      <c r="AV190">
        <v>285018</v>
      </c>
      <c r="AX190">
        <v>5582234</v>
      </c>
      <c r="AY190">
        <v>4852705</v>
      </c>
      <c r="BA190">
        <v>172314</v>
      </c>
      <c r="BB190">
        <v>2817812</v>
      </c>
      <c r="BD190">
        <v>314202</v>
      </c>
      <c r="BE190">
        <v>7504081</v>
      </c>
      <c r="BH190">
        <v>3161150</v>
      </c>
      <c r="BI190">
        <v>3447900</v>
      </c>
      <c r="BJ190">
        <v>417721</v>
      </c>
      <c r="BK190">
        <v>4089782</v>
      </c>
      <c r="BL190">
        <v>7755695</v>
      </c>
      <c r="BM190">
        <v>194337</v>
      </c>
      <c r="BN190">
        <v>2879398</v>
      </c>
      <c r="BO190">
        <v>4478483</v>
      </c>
      <c r="BP190">
        <v>1450623</v>
      </c>
      <c r="BQ190">
        <v>944462</v>
      </c>
      <c r="BR190">
        <v>1888812</v>
      </c>
      <c r="BS190">
        <v>18354601</v>
      </c>
      <c r="BT190">
        <v>2003962</v>
      </c>
      <c r="BU190">
        <v>2319800</v>
      </c>
      <c r="BW190">
        <v>1220321</v>
      </c>
      <c r="BX190">
        <v>218053</v>
      </c>
      <c r="BY190">
        <v>198983</v>
      </c>
      <c r="BZ190">
        <v>11989170</v>
      </c>
      <c r="CA190">
        <v>28924</v>
      </c>
    </row>
    <row r="191" spans="1:79" x14ac:dyDescent="0.3">
      <c r="A191">
        <v>647</v>
      </c>
      <c r="B191" t="s">
        <v>909</v>
      </c>
      <c r="D191">
        <v>0</v>
      </c>
      <c r="E191">
        <v>6021864</v>
      </c>
      <c r="G191">
        <v>0</v>
      </c>
      <c r="H191">
        <v>0</v>
      </c>
      <c r="I191">
        <v>0</v>
      </c>
      <c r="J191">
        <v>0</v>
      </c>
      <c r="K191">
        <v>0</v>
      </c>
      <c r="L191">
        <v>0</v>
      </c>
      <c r="N191">
        <v>0</v>
      </c>
      <c r="P191">
        <v>0</v>
      </c>
      <c r="Q191">
        <v>0</v>
      </c>
      <c r="R191">
        <v>0</v>
      </c>
      <c r="S191">
        <v>0</v>
      </c>
      <c r="T191">
        <v>0</v>
      </c>
      <c r="U191">
        <v>0</v>
      </c>
      <c r="V191">
        <v>0</v>
      </c>
      <c r="W191">
        <v>0</v>
      </c>
      <c r="X191">
        <v>0</v>
      </c>
      <c r="Y191">
        <v>0</v>
      </c>
      <c r="Z191">
        <v>0</v>
      </c>
      <c r="AB191">
        <v>0</v>
      </c>
      <c r="AC191">
        <v>0</v>
      </c>
      <c r="AD191">
        <v>0</v>
      </c>
      <c r="AE191">
        <v>0</v>
      </c>
      <c r="AF191">
        <v>0</v>
      </c>
      <c r="AG191">
        <v>0</v>
      </c>
      <c r="AH191">
        <v>0</v>
      </c>
      <c r="AI191">
        <v>0</v>
      </c>
      <c r="AJ191">
        <v>0</v>
      </c>
      <c r="AK191">
        <v>0</v>
      </c>
      <c r="AL191">
        <v>0</v>
      </c>
      <c r="AM191">
        <v>0</v>
      </c>
      <c r="AN191">
        <v>0</v>
      </c>
      <c r="AP191">
        <v>0</v>
      </c>
      <c r="AQ191">
        <v>0</v>
      </c>
      <c r="AR191">
        <v>0</v>
      </c>
      <c r="AT191">
        <v>0</v>
      </c>
      <c r="AU191">
        <v>0</v>
      </c>
      <c r="AV191">
        <v>0</v>
      </c>
      <c r="AX191">
        <v>0</v>
      </c>
      <c r="AY191">
        <v>0</v>
      </c>
      <c r="BA191">
        <v>0</v>
      </c>
      <c r="BB191">
        <v>0</v>
      </c>
      <c r="BD191">
        <v>0</v>
      </c>
      <c r="BE191">
        <v>0</v>
      </c>
      <c r="BH191">
        <v>0</v>
      </c>
      <c r="BI191">
        <v>0</v>
      </c>
      <c r="BJ191">
        <v>0</v>
      </c>
      <c r="BK191">
        <v>0</v>
      </c>
      <c r="BL191">
        <v>0</v>
      </c>
      <c r="BM191">
        <v>0</v>
      </c>
      <c r="BN191">
        <v>0</v>
      </c>
      <c r="BO191">
        <v>0</v>
      </c>
      <c r="BP191">
        <v>0</v>
      </c>
      <c r="BQ191">
        <v>0</v>
      </c>
      <c r="BR191">
        <v>0</v>
      </c>
      <c r="BS191">
        <v>0</v>
      </c>
      <c r="BT191">
        <v>0</v>
      </c>
      <c r="BU191">
        <v>0</v>
      </c>
      <c r="BW191">
        <v>0</v>
      </c>
      <c r="BX191">
        <v>0</v>
      </c>
      <c r="BY191">
        <v>0</v>
      </c>
      <c r="BZ191">
        <v>0</v>
      </c>
      <c r="CA191">
        <v>0</v>
      </c>
    </row>
    <row r="192" spans="1:79" x14ac:dyDescent="0.3">
      <c r="A192">
        <v>648</v>
      </c>
      <c r="B192" t="s">
        <v>597</v>
      </c>
      <c r="D192">
        <v>0.28499999999999998</v>
      </c>
      <c r="E192">
        <v>0.185</v>
      </c>
      <c r="G192">
        <v>0.6</v>
      </c>
      <c r="H192">
        <v>0.48499999999999999</v>
      </c>
      <c r="I192">
        <v>0.73</v>
      </c>
      <c r="J192">
        <v>0.42</v>
      </c>
      <c r="K192">
        <v>0.5</v>
      </c>
      <c r="L192">
        <v>0</v>
      </c>
      <c r="N192">
        <v>0</v>
      </c>
      <c r="P192">
        <v>0.55900000000000005</v>
      </c>
      <c r="Q192">
        <v>0.32</v>
      </c>
      <c r="R192">
        <v>0.47</v>
      </c>
      <c r="S192">
        <v>0.43</v>
      </c>
      <c r="T192">
        <v>0.48</v>
      </c>
      <c r="U192">
        <v>0.77</v>
      </c>
      <c r="V192">
        <v>0.1</v>
      </c>
      <c r="W192">
        <v>0.3</v>
      </c>
      <c r="X192">
        <v>0.45</v>
      </c>
      <c r="Y192">
        <v>0.26579999999999998</v>
      </c>
      <c r="Z192">
        <v>0.53200000000000003</v>
      </c>
      <c r="AB192">
        <v>0</v>
      </c>
      <c r="AC192">
        <v>3.0000000000000001E-3</v>
      </c>
      <c r="AD192">
        <v>0.2</v>
      </c>
      <c r="AE192">
        <v>0.53</v>
      </c>
      <c r="AF192">
        <v>0.45</v>
      </c>
      <c r="AG192">
        <v>0.25</v>
      </c>
      <c r="AH192">
        <v>0.22</v>
      </c>
      <c r="AI192">
        <v>0.435</v>
      </c>
      <c r="AJ192">
        <v>0.4</v>
      </c>
      <c r="AK192">
        <v>0.35</v>
      </c>
      <c r="AL192">
        <v>0.25</v>
      </c>
      <c r="AM192">
        <v>0.25</v>
      </c>
      <c r="AN192">
        <v>0.57850000000000001</v>
      </c>
      <c r="AP192">
        <v>0.17699999999999999</v>
      </c>
      <c r="AQ192">
        <v>0.65</v>
      </c>
      <c r="AR192">
        <v>0.64</v>
      </c>
      <c r="AT192">
        <v>0.52</v>
      </c>
      <c r="AU192">
        <v>0.56000000000000005</v>
      </c>
      <c r="AV192">
        <v>0.3</v>
      </c>
      <c r="AX192">
        <v>0.36</v>
      </c>
      <c r="AY192">
        <v>0.56999999999999995</v>
      </c>
      <c r="BA192">
        <v>0.25</v>
      </c>
      <c r="BB192">
        <v>0.49</v>
      </c>
      <c r="BD192">
        <v>0.35</v>
      </c>
      <c r="BE192">
        <v>0.65</v>
      </c>
      <c r="BH192">
        <v>0.73</v>
      </c>
      <c r="BI192">
        <v>0.4</v>
      </c>
      <c r="BJ192">
        <v>0.67</v>
      </c>
      <c r="BK192">
        <v>0.38</v>
      </c>
      <c r="BL192">
        <v>0</v>
      </c>
      <c r="BM192">
        <v>0</v>
      </c>
      <c r="BN192">
        <v>0.54</v>
      </c>
      <c r="BO192">
        <v>0</v>
      </c>
      <c r="BP192">
        <v>0.49</v>
      </c>
      <c r="BQ192">
        <v>0.49</v>
      </c>
      <c r="BR192">
        <v>0.06</v>
      </c>
      <c r="BS192">
        <v>0.29499999999999998</v>
      </c>
      <c r="BT192">
        <v>0.8</v>
      </c>
      <c r="BU192">
        <v>0</v>
      </c>
      <c r="BW192">
        <v>0.33</v>
      </c>
      <c r="BX192">
        <v>0</v>
      </c>
      <c r="BY192">
        <v>0.28999999999999998</v>
      </c>
      <c r="BZ192">
        <v>0.47</v>
      </c>
      <c r="CA192">
        <v>0.23</v>
      </c>
    </row>
    <row r="193" spans="1:79" x14ac:dyDescent="0.3">
      <c r="A193">
        <v>654</v>
      </c>
      <c r="B193" t="s">
        <v>413</v>
      </c>
      <c r="D193">
        <v>0</v>
      </c>
      <c r="E193">
        <v>0</v>
      </c>
      <c r="G193">
        <v>64791746</v>
      </c>
      <c r="H193">
        <v>11273558</v>
      </c>
      <c r="I193">
        <v>502407</v>
      </c>
      <c r="J193">
        <v>6765605</v>
      </c>
      <c r="K193">
        <v>1050223</v>
      </c>
      <c r="L193">
        <v>26339804</v>
      </c>
      <c r="N193">
        <v>2135037</v>
      </c>
      <c r="P193">
        <v>0</v>
      </c>
      <c r="Q193">
        <v>12105910</v>
      </c>
      <c r="R193">
        <v>9100431</v>
      </c>
      <c r="S193">
        <v>6678653</v>
      </c>
      <c r="T193">
        <v>69013</v>
      </c>
      <c r="U193">
        <v>15821094</v>
      </c>
      <c r="V193">
        <v>0</v>
      </c>
      <c r="W193">
        <v>0</v>
      </c>
      <c r="X193">
        <v>0</v>
      </c>
      <c r="Y193">
        <v>4266544</v>
      </c>
      <c r="Z193">
        <v>14814443</v>
      </c>
      <c r="AB193">
        <v>0</v>
      </c>
      <c r="AC193">
        <v>120470</v>
      </c>
      <c r="AD193">
        <v>2496539</v>
      </c>
      <c r="AE193">
        <v>2747804</v>
      </c>
      <c r="AF193">
        <v>48013</v>
      </c>
      <c r="AG193">
        <v>0</v>
      </c>
      <c r="AH193">
        <v>0</v>
      </c>
      <c r="AI193">
        <v>0</v>
      </c>
      <c r="AJ193">
        <v>3298558</v>
      </c>
      <c r="AK193">
        <v>125917</v>
      </c>
      <c r="AL193">
        <v>0</v>
      </c>
      <c r="AM193">
        <v>0</v>
      </c>
      <c r="AN193">
        <v>14113606</v>
      </c>
      <c r="AP193">
        <v>0</v>
      </c>
      <c r="AQ193">
        <v>12976859</v>
      </c>
      <c r="AR193">
        <v>793967</v>
      </c>
      <c r="AT193">
        <v>1557295</v>
      </c>
      <c r="AU193">
        <v>8261985</v>
      </c>
      <c r="AV193">
        <v>1627953</v>
      </c>
      <c r="AX193">
        <v>5382653</v>
      </c>
      <c r="AY193">
        <v>1788582</v>
      </c>
      <c r="BA193">
        <v>1401</v>
      </c>
      <c r="BB193">
        <v>1239267</v>
      </c>
      <c r="BD193">
        <v>0</v>
      </c>
      <c r="BE193">
        <v>10408614</v>
      </c>
      <c r="BH193">
        <v>1322109</v>
      </c>
      <c r="BI193">
        <v>2916444</v>
      </c>
      <c r="BJ193">
        <v>172211</v>
      </c>
      <c r="BK193">
        <v>5555383</v>
      </c>
      <c r="BL193">
        <v>4607956</v>
      </c>
      <c r="BM193">
        <v>0</v>
      </c>
      <c r="BN193">
        <v>3708359</v>
      </c>
      <c r="BO193">
        <v>4902451</v>
      </c>
      <c r="BP193">
        <v>1365094</v>
      </c>
      <c r="BQ193">
        <v>3256669</v>
      </c>
      <c r="BR193">
        <v>0</v>
      </c>
      <c r="BS193">
        <v>0</v>
      </c>
      <c r="BT193">
        <v>1195684</v>
      </c>
      <c r="BU193">
        <v>5803929</v>
      </c>
      <c r="BW193">
        <v>2206259</v>
      </c>
      <c r="BX193">
        <v>0</v>
      </c>
      <c r="BY193">
        <v>0</v>
      </c>
      <c r="BZ193">
        <v>21523715</v>
      </c>
      <c r="CA193">
        <v>0</v>
      </c>
    </row>
    <row r="194" spans="1:79" x14ac:dyDescent="0.3">
      <c r="A194">
        <v>655</v>
      </c>
      <c r="B194" t="s">
        <v>910</v>
      </c>
      <c r="D194">
        <v>0</v>
      </c>
      <c r="E194">
        <v>0</v>
      </c>
      <c r="G194">
        <v>0</v>
      </c>
      <c r="H194">
        <v>1836443</v>
      </c>
      <c r="I194">
        <v>0</v>
      </c>
      <c r="J194">
        <v>91665</v>
      </c>
      <c r="K194">
        <v>32976</v>
      </c>
      <c r="L194">
        <v>7118817</v>
      </c>
      <c r="N194">
        <v>198554</v>
      </c>
      <c r="P194">
        <v>0</v>
      </c>
      <c r="Q194">
        <v>1009200</v>
      </c>
      <c r="R194">
        <v>513933</v>
      </c>
      <c r="S194">
        <v>113120</v>
      </c>
      <c r="T194">
        <v>0</v>
      </c>
      <c r="U194">
        <v>0</v>
      </c>
      <c r="V194">
        <v>0</v>
      </c>
      <c r="W194">
        <v>0</v>
      </c>
      <c r="X194">
        <v>0</v>
      </c>
      <c r="Y194">
        <v>0</v>
      </c>
      <c r="Z194">
        <v>12448706</v>
      </c>
      <c r="AB194">
        <v>0</v>
      </c>
      <c r="AC194">
        <v>0</v>
      </c>
      <c r="AD194">
        <v>34947</v>
      </c>
      <c r="AE194">
        <v>23353</v>
      </c>
      <c r="AF194">
        <v>7283</v>
      </c>
      <c r="AG194">
        <v>0</v>
      </c>
      <c r="AH194">
        <v>0</v>
      </c>
      <c r="AI194">
        <v>0</v>
      </c>
      <c r="AJ194">
        <v>212906</v>
      </c>
      <c r="AK194">
        <v>15859</v>
      </c>
      <c r="AL194">
        <v>0</v>
      </c>
      <c r="AM194">
        <v>0</v>
      </c>
      <c r="AN194">
        <v>198785</v>
      </c>
      <c r="AP194">
        <v>0</v>
      </c>
      <c r="AQ194">
        <v>3922916</v>
      </c>
      <c r="AR194">
        <v>20708</v>
      </c>
      <c r="AT194">
        <v>149876</v>
      </c>
      <c r="AU194" s="566">
        <v>0</v>
      </c>
      <c r="AV194">
        <v>54884</v>
      </c>
      <c r="AX194">
        <v>124336</v>
      </c>
      <c r="AY194">
        <v>77255</v>
      </c>
      <c r="BA194">
        <v>0</v>
      </c>
      <c r="BB194">
        <v>149727</v>
      </c>
      <c r="BD194">
        <v>0</v>
      </c>
      <c r="BE194">
        <v>111765</v>
      </c>
      <c r="BH194">
        <v>130335</v>
      </c>
      <c r="BI194">
        <v>0</v>
      </c>
      <c r="BJ194">
        <v>107133</v>
      </c>
      <c r="BK194">
        <v>55281</v>
      </c>
      <c r="BL194">
        <v>206144</v>
      </c>
      <c r="BM194">
        <v>0</v>
      </c>
      <c r="BN194">
        <v>665672</v>
      </c>
      <c r="BO194">
        <v>98360</v>
      </c>
      <c r="BP194">
        <v>37020</v>
      </c>
      <c r="BQ194">
        <v>64754</v>
      </c>
      <c r="BR194">
        <v>0</v>
      </c>
      <c r="BS194">
        <v>0</v>
      </c>
      <c r="BT194">
        <v>0</v>
      </c>
      <c r="BU194">
        <v>0</v>
      </c>
      <c r="BW194">
        <v>30137</v>
      </c>
      <c r="BX194">
        <v>0</v>
      </c>
      <c r="BY194">
        <v>0</v>
      </c>
      <c r="BZ194">
        <v>9425907</v>
      </c>
      <c r="CA194">
        <v>0</v>
      </c>
    </row>
    <row r="195" spans="1:79" x14ac:dyDescent="0.3">
      <c r="A195">
        <v>656</v>
      </c>
      <c r="B195" t="s">
        <v>419</v>
      </c>
      <c r="D195">
        <v>0</v>
      </c>
      <c r="E195">
        <v>0</v>
      </c>
      <c r="G195">
        <v>0</v>
      </c>
      <c r="H195">
        <v>0</v>
      </c>
      <c r="I195">
        <v>2</v>
      </c>
      <c r="J195">
        <v>0</v>
      </c>
      <c r="K195">
        <v>2</v>
      </c>
      <c r="L195">
        <v>2</v>
      </c>
      <c r="N195">
        <v>2</v>
      </c>
      <c r="P195">
        <v>2</v>
      </c>
      <c r="Q195">
        <v>2</v>
      </c>
      <c r="R195">
        <v>2</v>
      </c>
      <c r="S195">
        <v>2</v>
      </c>
      <c r="T195">
        <v>2</v>
      </c>
      <c r="U195">
        <v>2</v>
      </c>
      <c r="V195">
        <v>0</v>
      </c>
      <c r="W195">
        <v>0</v>
      </c>
      <c r="X195">
        <v>2</v>
      </c>
      <c r="Y195">
        <v>2</v>
      </c>
      <c r="Z195">
        <v>0</v>
      </c>
      <c r="AB195">
        <v>0</v>
      </c>
      <c r="AC195">
        <v>2</v>
      </c>
      <c r="AD195">
        <v>0</v>
      </c>
      <c r="AE195">
        <v>2</v>
      </c>
      <c r="AF195">
        <v>2</v>
      </c>
      <c r="AG195">
        <v>0</v>
      </c>
      <c r="AH195">
        <v>0</v>
      </c>
      <c r="AI195">
        <v>2</v>
      </c>
      <c r="AJ195">
        <v>2</v>
      </c>
      <c r="AK195">
        <v>0</v>
      </c>
      <c r="AL195">
        <v>0</v>
      </c>
      <c r="AM195">
        <v>2</v>
      </c>
      <c r="AN195">
        <v>2</v>
      </c>
      <c r="AP195">
        <v>0</v>
      </c>
      <c r="AQ195">
        <v>2</v>
      </c>
      <c r="AR195">
        <v>2</v>
      </c>
      <c r="AT195">
        <v>2</v>
      </c>
      <c r="AU195">
        <v>2</v>
      </c>
      <c r="AV195">
        <v>2</v>
      </c>
      <c r="AX195">
        <v>2</v>
      </c>
      <c r="AY195">
        <v>0</v>
      </c>
      <c r="BA195">
        <v>2</v>
      </c>
      <c r="BB195">
        <v>2</v>
      </c>
      <c r="BD195">
        <v>2</v>
      </c>
      <c r="BE195">
        <v>2</v>
      </c>
      <c r="BH195">
        <v>2</v>
      </c>
      <c r="BI195">
        <v>2</v>
      </c>
      <c r="BJ195">
        <v>0</v>
      </c>
      <c r="BK195">
        <v>0</v>
      </c>
      <c r="BL195">
        <v>2</v>
      </c>
      <c r="BM195">
        <v>0</v>
      </c>
      <c r="BN195">
        <v>2</v>
      </c>
      <c r="BO195">
        <v>2</v>
      </c>
      <c r="BP195">
        <v>2</v>
      </c>
      <c r="BQ195">
        <v>2</v>
      </c>
      <c r="BR195">
        <v>2</v>
      </c>
      <c r="BS195">
        <v>2</v>
      </c>
      <c r="BT195">
        <v>2</v>
      </c>
      <c r="BU195">
        <v>2</v>
      </c>
      <c r="BW195">
        <v>2</v>
      </c>
      <c r="BX195">
        <v>0</v>
      </c>
      <c r="BY195">
        <v>0</v>
      </c>
      <c r="BZ195">
        <v>2</v>
      </c>
      <c r="CA195">
        <v>2</v>
      </c>
    </row>
    <row r="196" spans="1:79" x14ac:dyDescent="0.3">
      <c r="A196">
        <v>657</v>
      </c>
      <c r="B196" t="s">
        <v>911</v>
      </c>
      <c r="D196">
        <v>0</v>
      </c>
      <c r="E196">
        <v>0</v>
      </c>
      <c r="G196">
        <v>0</v>
      </c>
      <c r="H196">
        <v>0</v>
      </c>
      <c r="I196">
        <v>0</v>
      </c>
      <c r="J196">
        <v>0</v>
      </c>
      <c r="K196">
        <v>0</v>
      </c>
      <c r="L196">
        <v>0</v>
      </c>
      <c r="N196">
        <v>0</v>
      </c>
      <c r="P196">
        <v>0</v>
      </c>
      <c r="Q196">
        <v>0</v>
      </c>
      <c r="R196">
        <v>0</v>
      </c>
      <c r="S196">
        <v>7905113</v>
      </c>
      <c r="T196">
        <v>0</v>
      </c>
      <c r="U196">
        <v>49942098</v>
      </c>
      <c r="V196">
        <v>0</v>
      </c>
      <c r="W196">
        <v>0</v>
      </c>
      <c r="X196">
        <v>0</v>
      </c>
      <c r="Y196">
        <v>0</v>
      </c>
      <c r="Z196">
        <v>2130639</v>
      </c>
      <c r="AB196">
        <v>0</v>
      </c>
      <c r="AC196">
        <v>0</v>
      </c>
      <c r="AD196">
        <v>0</v>
      </c>
      <c r="AE196">
        <v>3232171</v>
      </c>
      <c r="AF196">
        <v>0</v>
      </c>
      <c r="AG196">
        <v>0</v>
      </c>
      <c r="AH196">
        <v>0</v>
      </c>
      <c r="AI196">
        <v>0</v>
      </c>
      <c r="AJ196">
        <v>5152050</v>
      </c>
      <c r="AK196">
        <v>0</v>
      </c>
      <c r="AL196">
        <v>0</v>
      </c>
      <c r="AM196">
        <v>0</v>
      </c>
      <c r="AN196">
        <v>0</v>
      </c>
      <c r="AP196">
        <v>0</v>
      </c>
      <c r="AQ196">
        <v>27314682</v>
      </c>
      <c r="AR196">
        <v>0</v>
      </c>
      <c r="AT196">
        <v>0</v>
      </c>
      <c r="AU196">
        <v>6274316</v>
      </c>
      <c r="AV196">
        <v>0</v>
      </c>
      <c r="AX196">
        <v>0</v>
      </c>
      <c r="AY196">
        <v>0</v>
      </c>
      <c r="BA196">
        <v>0</v>
      </c>
      <c r="BB196">
        <v>0</v>
      </c>
      <c r="BD196">
        <v>0</v>
      </c>
      <c r="BE196">
        <v>18864196</v>
      </c>
      <c r="BH196">
        <v>0</v>
      </c>
      <c r="BI196">
        <v>0</v>
      </c>
      <c r="BJ196">
        <v>0</v>
      </c>
      <c r="BK196">
        <v>4025856</v>
      </c>
      <c r="BL196">
        <v>0</v>
      </c>
      <c r="BM196">
        <v>0</v>
      </c>
      <c r="BN196">
        <v>0</v>
      </c>
      <c r="BO196">
        <v>0</v>
      </c>
      <c r="BP196">
        <v>0</v>
      </c>
      <c r="BQ196">
        <v>0</v>
      </c>
      <c r="BR196">
        <v>0</v>
      </c>
      <c r="BS196">
        <v>0</v>
      </c>
      <c r="BT196">
        <v>0</v>
      </c>
      <c r="BU196">
        <v>0</v>
      </c>
      <c r="BW196">
        <v>0</v>
      </c>
      <c r="BX196">
        <v>0</v>
      </c>
      <c r="BY196">
        <v>0</v>
      </c>
      <c r="BZ196">
        <v>0</v>
      </c>
      <c r="CA196">
        <v>0</v>
      </c>
    </row>
    <row r="197" spans="1:79" x14ac:dyDescent="0.3">
      <c r="A197">
        <v>658</v>
      </c>
      <c r="B197" t="s">
        <v>912</v>
      </c>
      <c r="D197">
        <v>0</v>
      </c>
      <c r="E197">
        <v>0</v>
      </c>
      <c r="G197">
        <v>0</v>
      </c>
      <c r="H197">
        <v>0</v>
      </c>
      <c r="I197">
        <v>0</v>
      </c>
      <c r="J197">
        <v>0</v>
      </c>
      <c r="K197">
        <v>0</v>
      </c>
      <c r="L197">
        <v>0</v>
      </c>
      <c r="N197">
        <v>0</v>
      </c>
      <c r="P197">
        <v>0</v>
      </c>
      <c r="Q197">
        <v>0</v>
      </c>
      <c r="R197">
        <v>0</v>
      </c>
      <c r="S197">
        <v>1330256</v>
      </c>
      <c r="T197">
        <v>0</v>
      </c>
      <c r="U197">
        <v>1735661</v>
      </c>
      <c r="V197">
        <v>0</v>
      </c>
      <c r="W197">
        <v>0</v>
      </c>
      <c r="X197">
        <v>0</v>
      </c>
      <c r="Y197">
        <v>0</v>
      </c>
      <c r="Z197">
        <v>597271</v>
      </c>
      <c r="AB197">
        <v>0</v>
      </c>
      <c r="AC197">
        <v>0</v>
      </c>
      <c r="AD197">
        <v>0</v>
      </c>
      <c r="AE197">
        <v>134310</v>
      </c>
      <c r="AF197">
        <v>0</v>
      </c>
      <c r="AG197">
        <v>0</v>
      </c>
      <c r="AH197">
        <v>0</v>
      </c>
      <c r="AI197">
        <v>0</v>
      </c>
      <c r="AJ197">
        <v>785560</v>
      </c>
      <c r="AK197">
        <v>0</v>
      </c>
      <c r="AL197">
        <v>0</v>
      </c>
      <c r="AM197">
        <v>0</v>
      </c>
      <c r="AN197">
        <v>0</v>
      </c>
      <c r="AP197">
        <v>0</v>
      </c>
      <c r="AQ197">
        <v>653575</v>
      </c>
      <c r="AR197">
        <v>0</v>
      </c>
      <c r="AT197">
        <v>0</v>
      </c>
      <c r="AU197" s="566">
        <v>0</v>
      </c>
      <c r="AV197">
        <v>0</v>
      </c>
      <c r="AX197">
        <v>0</v>
      </c>
      <c r="AY197">
        <v>0</v>
      </c>
      <c r="BA197">
        <v>0</v>
      </c>
      <c r="BB197">
        <v>0</v>
      </c>
      <c r="BD197">
        <v>0</v>
      </c>
      <c r="BE197">
        <v>1698472</v>
      </c>
      <c r="BH197">
        <v>0</v>
      </c>
      <c r="BI197">
        <v>0</v>
      </c>
      <c r="BJ197">
        <v>0</v>
      </c>
      <c r="BK197">
        <v>157942</v>
      </c>
      <c r="BL197">
        <v>0</v>
      </c>
      <c r="BM197">
        <v>0</v>
      </c>
      <c r="BN197">
        <v>0</v>
      </c>
      <c r="BO197">
        <v>0</v>
      </c>
      <c r="BP197">
        <v>0</v>
      </c>
      <c r="BQ197">
        <v>0</v>
      </c>
      <c r="BR197">
        <v>0</v>
      </c>
      <c r="BS197">
        <v>0</v>
      </c>
      <c r="BT197">
        <v>0</v>
      </c>
      <c r="BU197">
        <v>0</v>
      </c>
      <c r="BW197">
        <v>0</v>
      </c>
      <c r="BX197">
        <v>0</v>
      </c>
      <c r="BY197">
        <v>0</v>
      </c>
      <c r="BZ197">
        <v>0</v>
      </c>
      <c r="CA197">
        <v>0</v>
      </c>
    </row>
    <row r="198" spans="1:79" x14ac:dyDescent="0.3">
      <c r="A198">
        <v>659</v>
      </c>
      <c r="B198" t="s">
        <v>913</v>
      </c>
      <c r="D198">
        <v>0</v>
      </c>
      <c r="E198">
        <v>0</v>
      </c>
      <c r="G198">
        <v>1980859</v>
      </c>
      <c r="H198">
        <v>316661</v>
      </c>
      <c r="I198">
        <v>0</v>
      </c>
      <c r="J198">
        <v>0</v>
      </c>
      <c r="K198">
        <v>307476</v>
      </c>
      <c r="L198">
        <v>52964224</v>
      </c>
      <c r="N198">
        <v>858676</v>
      </c>
      <c r="P198">
        <v>11078511</v>
      </c>
      <c r="Q198">
        <v>9794545</v>
      </c>
      <c r="R198">
        <v>380078</v>
      </c>
      <c r="S198">
        <v>11687693</v>
      </c>
      <c r="T198">
        <v>0</v>
      </c>
      <c r="U198">
        <v>220051</v>
      </c>
      <c r="V198">
        <v>0</v>
      </c>
      <c r="W198">
        <v>0</v>
      </c>
      <c r="X198">
        <v>7243567</v>
      </c>
      <c r="Y198">
        <v>1680058</v>
      </c>
      <c r="Z198">
        <v>0</v>
      </c>
      <c r="AB198">
        <v>0</v>
      </c>
      <c r="AC198">
        <v>0</v>
      </c>
      <c r="AD198">
        <v>0</v>
      </c>
      <c r="AE198">
        <v>0</v>
      </c>
      <c r="AF198">
        <v>0</v>
      </c>
      <c r="AG198">
        <v>0</v>
      </c>
      <c r="AH198">
        <v>0</v>
      </c>
      <c r="AI198">
        <v>0</v>
      </c>
      <c r="AJ198">
        <v>2484420</v>
      </c>
      <c r="AK198">
        <v>0</v>
      </c>
      <c r="AL198">
        <v>0</v>
      </c>
      <c r="AM198">
        <v>0</v>
      </c>
      <c r="AN198">
        <v>3523814</v>
      </c>
      <c r="AP198">
        <v>0</v>
      </c>
      <c r="AQ198">
        <v>18528666</v>
      </c>
      <c r="AR198">
        <v>0</v>
      </c>
      <c r="AT198">
        <v>2008478</v>
      </c>
      <c r="AU198">
        <v>10871022</v>
      </c>
      <c r="AV198">
        <v>0</v>
      </c>
      <c r="AX198">
        <v>0</v>
      </c>
      <c r="AY198">
        <v>109995</v>
      </c>
      <c r="BA198">
        <v>0</v>
      </c>
      <c r="BB198">
        <v>454053</v>
      </c>
      <c r="BD198">
        <v>0</v>
      </c>
      <c r="BE198">
        <v>40991488</v>
      </c>
      <c r="BH198">
        <v>3093759</v>
      </c>
      <c r="BI198">
        <v>284791</v>
      </c>
      <c r="BJ198">
        <v>0</v>
      </c>
      <c r="BK198">
        <v>1092084</v>
      </c>
      <c r="BL198">
        <v>1790200</v>
      </c>
      <c r="BM198">
        <v>0</v>
      </c>
      <c r="BN198">
        <v>183163</v>
      </c>
      <c r="BO198">
        <v>0</v>
      </c>
      <c r="BP198">
        <v>0</v>
      </c>
      <c r="BQ198">
        <v>0</v>
      </c>
      <c r="BR198">
        <v>0</v>
      </c>
      <c r="BS198">
        <v>0</v>
      </c>
      <c r="BT198">
        <v>0</v>
      </c>
      <c r="BU198">
        <v>4284516</v>
      </c>
      <c r="BW198">
        <v>0</v>
      </c>
      <c r="BX198">
        <v>0</v>
      </c>
      <c r="BY198">
        <v>0</v>
      </c>
      <c r="BZ198">
        <v>10546034</v>
      </c>
      <c r="CA198">
        <v>0</v>
      </c>
    </row>
    <row r="199" spans="1:79" x14ac:dyDescent="0.3">
      <c r="A199">
        <v>660</v>
      </c>
      <c r="B199" t="s">
        <v>914</v>
      </c>
      <c r="D199">
        <v>0</v>
      </c>
      <c r="E199">
        <v>0</v>
      </c>
      <c r="G199">
        <v>0</v>
      </c>
      <c r="H199">
        <v>0</v>
      </c>
      <c r="I199">
        <v>0</v>
      </c>
      <c r="J199">
        <v>0</v>
      </c>
      <c r="K199">
        <v>0</v>
      </c>
      <c r="L199">
        <v>0</v>
      </c>
      <c r="N199">
        <v>0</v>
      </c>
      <c r="P199">
        <v>0</v>
      </c>
      <c r="Q199">
        <v>340857</v>
      </c>
      <c r="R199">
        <v>0</v>
      </c>
      <c r="S199">
        <v>0</v>
      </c>
      <c r="T199">
        <v>0</v>
      </c>
      <c r="U199">
        <v>0</v>
      </c>
      <c r="V199">
        <v>0</v>
      </c>
      <c r="W199">
        <v>0</v>
      </c>
      <c r="X199">
        <v>0</v>
      </c>
      <c r="Y199">
        <v>0</v>
      </c>
      <c r="Z199">
        <v>0</v>
      </c>
      <c r="AB199">
        <v>0</v>
      </c>
      <c r="AC199">
        <v>0</v>
      </c>
      <c r="AD199">
        <v>0</v>
      </c>
      <c r="AE199">
        <v>0</v>
      </c>
      <c r="AF199">
        <v>0</v>
      </c>
      <c r="AG199">
        <v>0</v>
      </c>
      <c r="AH199">
        <v>0</v>
      </c>
      <c r="AI199">
        <v>0</v>
      </c>
      <c r="AJ199">
        <v>0</v>
      </c>
      <c r="AK199">
        <v>0</v>
      </c>
      <c r="AL199">
        <v>0</v>
      </c>
      <c r="AM199">
        <v>0</v>
      </c>
      <c r="AN199">
        <v>0</v>
      </c>
      <c r="AP199">
        <v>0</v>
      </c>
      <c r="AQ199">
        <v>0</v>
      </c>
      <c r="AR199">
        <v>0</v>
      </c>
      <c r="AT199">
        <v>0</v>
      </c>
      <c r="AU199">
        <v>0</v>
      </c>
      <c r="AV199">
        <v>0</v>
      </c>
      <c r="AX199">
        <v>0</v>
      </c>
      <c r="AY199">
        <v>0</v>
      </c>
      <c r="BA199">
        <v>0</v>
      </c>
      <c r="BB199">
        <v>0</v>
      </c>
      <c r="BD199">
        <v>0</v>
      </c>
      <c r="BE199">
        <v>0</v>
      </c>
      <c r="BH199">
        <v>0</v>
      </c>
      <c r="BI199">
        <v>0</v>
      </c>
      <c r="BJ199">
        <v>0</v>
      </c>
      <c r="BK199">
        <v>0</v>
      </c>
      <c r="BL199">
        <v>0</v>
      </c>
      <c r="BM199">
        <v>0</v>
      </c>
      <c r="BN199">
        <v>0</v>
      </c>
      <c r="BO199">
        <v>0</v>
      </c>
      <c r="BP199">
        <v>0</v>
      </c>
      <c r="BQ199">
        <v>0</v>
      </c>
      <c r="BR199">
        <v>0</v>
      </c>
      <c r="BS199">
        <v>0</v>
      </c>
      <c r="BT199">
        <v>0</v>
      </c>
      <c r="BU199">
        <v>0</v>
      </c>
      <c r="BW199">
        <v>0</v>
      </c>
      <c r="BX199">
        <v>0</v>
      </c>
      <c r="BY199">
        <v>0</v>
      </c>
      <c r="BZ199">
        <v>0</v>
      </c>
      <c r="CA199">
        <v>0</v>
      </c>
    </row>
    <row r="200" spans="1:79" x14ac:dyDescent="0.3">
      <c r="A200">
        <v>661</v>
      </c>
      <c r="B200" t="s">
        <v>418</v>
      </c>
      <c r="D200">
        <v>0</v>
      </c>
      <c r="E200">
        <v>0</v>
      </c>
      <c r="G200">
        <v>0</v>
      </c>
      <c r="H200">
        <v>0</v>
      </c>
      <c r="I200">
        <v>0</v>
      </c>
      <c r="J200">
        <v>0</v>
      </c>
      <c r="K200">
        <v>0</v>
      </c>
      <c r="L200">
        <v>0</v>
      </c>
      <c r="N200">
        <v>0</v>
      </c>
      <c r="P200">
        <v>0</v>
      </c>
      <c r="Q200">
        <v>3.5</v>
      </c>
      <c r="R200">
        <v>0</v>
      </c>
      <c r="S200">
        <v>0</v>
      </c>
      <c r="T200">
        <v>0</v>
      </c>
      <c r="U200">
        <v>0</v>
      </c>
      <c r="V200">
        <v>0</v>
      </c>
      <c r="W200">
        <v>0</v>
      </c>
      <c r="X200">
        <v>0</v>
      </c>
      <c r="Y200">
        <v>0</v>
      </c>
      <c r="Z200">
        <v>0</v>
      </c>
      <c r="AB200">
        <v>0</v>
      </c>
      <c r="AC200">
        <v>0</v>
      </c>
      <c r="AD200">
        <v>0</v>
      </c>
      <c r="AE200">
        <v>0</v>
      </c>
      <c r="AF200">
        <v>0</v>
      </c>
      <c r="AG200">
        <v>0</v>
      </c>
      <c r="AH200">
        <v>0</v>
      </c>
      <c r="AI200">
        <v>0</v>
      </c>
      <c r="AJ200">
        <v>0</v>
      </c>
      <c r="AK200">
        <v>0</v>
      </c>
      <c r="AL200">
        <v>0</v>
      </c>
      <c r="AM200">
        <v>0</v>
      </c>
      <c r="AN200">
        <v>0</v>
      </c>
      <c r="AP200">
        <v>0</v>
      </c>
      <c r="AQ200">
        <v>0</v>
      </c>
      <c r="AR200">
        <v>0</v>
      </c>
      <c r="AT200">
        <v>0</v>
      </c>
      <c r="AU200">
        <v>0</v>
      </c>
      <c r="AV200">
        <v>0</v>
      </c>
      <c r="AX200">
        <v>0</v>
      </c>
      <c r="AY200">
        <v>0</v>
      </c>
      <c r="BA200">
        <v>0</v>
      </c>
      <c r="BB200">
        <v>0</v>
      </c>
      <c r="BD200">
        <v>0</v>
      </c>
      <c r="BE200">
        <v>0</v>
      </c>
      <c r="BH200">
        <v>0</v>
      </c>
      <c r="BI200">
        <v>0</v>
      </c>
      <c r="BJ200">
        <v>0</v>
      </c>
      <c r="BK200">
        <v>0</v>
      </c>
      <c r="BL200">
        <v>0</v>
      </c>
      <c r="BM200">
        <v>0</v>
      </c>
      <c r="BN200">
        <v>0</v>
      </c>
      <c r="BO200">
        <v>0</v>
      </c>
      <c r="BP200">
        <v>0</v>
      </c>
      <c r="BQ200">
        <v>0</v>
      </c>
      <c r="BR200">
        <v>0</v>
      </c>
      <c r="BS200">
        <v>0</v>
      </c>
      <c r="BT200">
        <v>0</v>
      </c>
      <c r="BU200">
        <v>0</v>
      </c>
      <c r="BW200">
        <v>0</v>
      </c>
      <c r="BX200">
        <v>0</v>
      </c>
      <c r="BY200">
        <v>0</v>
      </c>
      <c r="BZ200">
        <v>0</v>
      </c>
      <c r="CA200">
        <v>0</v>
      </c>
    </row>
    <row r="201" spans="1:79" x14ac:dyDescent="0.3">
      <c r="A201">
        <v>906</v>
      </c>
      <c r="B201" t="s">
        <v>916</v>
      </c>
      <c r="D201">
        <v>1</v>
      </c>
      <c r="E201">
        <v>1</v>
      </c>
      <c r="G201">
        <v>1</v>
      </c>
      <c r="H201">
        <v>1</v>
      </c>
      <c r="I201">
        <v>1</v>
      </c>
      <c r="J201">
        <v>1</v>
      </c>
      <c r="K201">
        <v>1</v>
      </c>
      <c r="L201">
        <v>1</v>
      </c>
      <c r="N201">
        <v>1</v>
      </c>
      <c r="P201">
        <v>1</v>
      </c>
      <c r="Q201">
        <v>1</v>
      </c>
      <c r="R201">
        <v>1</v>
      </c>
      <c r="S201">
        <v>1</v>
      </c>
      <c r="T201">
        <v>1</v>
      </c>
      <c r="U201">
        <v>1</v>
      </c>
      <c r="V201">
        <v>1</v>
      </c>
      <c r="W201">
        <v>1</v>
      </c>
      <c r="X201">
        <v>1</v>
      </c>
      <c r="Y201">
        <v>1</v>
      </c>
      <c r="Z201">
        <v>1</v>
      </c>
      <c r="AB201">
        <v>1</v>
      </c>
      <c r="AC201">
        <v>1</v>
      </c>
      <c r="AD201">
        <v>1</v>
      </c>
      <c r="AE201">
        <v>1</v>
      </c>
      <c r="AF201">
        <v>1</v>
      </c>
      <c r="AG201">
        <v>1</v>
      </c>
      <c r="AH201">
        <v>1</v>
      </c>
      <c r="AI201">
        <v>1</v>
      </c>
      <c r="AJ201">
        <v>1</v>
      </c>
      <c r="AK201">
        <v>1</v>
      </c>
      <c r="AL201">
        <v>1</v>
      </c>
      <c r="AM201">
        <v>1</v>
      </c>
      <c r="AN201">
        <v>1</v>
      </c>
      <c r="AP201">
        <v>1</v>
      </c>
      <c r="AQ201">
        <v>1</v>
      </c>
      <c r="AR201">
        <v>1</v>
      </c>
      <c r="AT201">
        <v>1</v>
      </c>
      <c r="AU201">
        <v>1</v>
      </c>
      <c r="AV201">
        <v>1</v>
      </c>
      <c r="AX201">
        <v>1</v>
      </c>
      <c r="AY201">
        <v>1</v>
      </c>
      <c r="BA201">
        <v>1</v>
      </c>
      <c r="BB201">
        <v>1</v>
      </c>
      <c r="BD201">
        <v>1</v>
      </c>
      <c r="BE201">
        <v>1</v>
      </c>
      <c r="BH201">
        <v>1</v>
      </c>
      <c r="BI201">
        <v>1</v>
      </c>
      <c r="BJ201">
        <v>1</v>
      </c>
      <c r="BK201">
        <v>1</v>
      </c>
      <c r="BL201">
        <v>1</v>
      </c>
      <c r="BM201">
        <v>1</v>
      </c>
      <c r="BN201">
        <v>1</v>
      </c>
      <c r="BO201">
        <v>1</v>
      </c>
      <c r="BP201">
        <v>1</v>
      </c>
      <c r="BQ201">
        <v>1</v>
      </c>
      <c r="BR201">
        <v>1</v>
      </c>
      <c r="BS201">
        <v>1</v>
      </c>
      <c r="BT201">
        <v>1</v>
      </c>
      <c r="BU201">
        <v>1</v>
      </c>
      <c r="BW201">
        <v>1</v>
      </c>
      <c r="BX201">
        <v>1</v>
      </c>
      <c r="BY201">
        <v>1</v>
      </c>
      <c r="BZ201">
        <v>1</v>
      </c>
      <c r="CA201">
        <v>1</v>
      </c>
    </row>
    <row r="202" spans="1:79" x14ac:dyDescent="0.3">
      <c r="A202">
        <v>907</v>
      </c>
      <c r="B202" t="s">
        <v>917</v>
      </c>
      <c r="D202">
        <v>2</v>
      </c>
      <c r="E202">
        <v>2</v>
      </c>
      <c r="G202">
        <v>2</v>
      </c>
      <c r="H202">
        <v>2</v>
      </c>
      <c r="I202">
        <v>2</v>
      </c>
      <c r="J202">
        <v>2</v>
      </c>
      <c r="K202">
        <v>2</v>
      </c>
      <c r="L202">
        <v>2</v>
      </c>
      <c r="N202">
        <v>1</v>
      </c>
      <c r="P202">
        <v>2</v>
      </c>
      <c r="Q202">
        <v>2</v>
      </c>
      <c r="R202">
        <v>2</v>
      </c>
      <c r="S202">
        <v>2</v>
      </c>
      <c r="T202">
        <v>2</v>
      </c>
      <c r="U202">
        <v>2</v>
      </c>
      <c r="V202">
        <v>1</v>
      </c>
      <c r="W202">
        <v>2</v>
      </c>
      <c r="X202">
        <v>2</v>
      </c>
      <c r="Y202">
        <v>2</v>
      </c>
      <c r="Z202">
        <v>2</v>
      </c>
      <c r="AB202">
        <v>2</v>
      </c>
      <c r="AC202">
        <v>2</v>
      </c>
      <c r="AD202">
        <v>1</v>
      </c>
      <c r="AE202">
        <v>2</v>
      </c>
      <c r="AF202">
        <v>1</v>
      </c>
      <c r="AG202">
        <v>1</v>
      </c>
      <c r="AH202">
        <v>1</v>
      </c>
      <c r="AI202">
        <v>2</v>
      </c>
      <c r="AJ202">
        <v>2</v>
      </c>
      <c r="AK202">
        <v>1</v>
      </c>
      <c r="AL202">
        <v>2</v>
      </c>
      <c r="AM202">
        <v>2</v>
      </c>
      <c r="AN202">
        <v>2</v>
      </c>
      <c r="AP202">
        <v>2</v>
      </c>
      <c r="AQ202">
        <v>2</v>
      </c>
      <c r="AR202">
        <v>2</v>
      </c>
      <c r="AT202">
        <v>2</v>
      </c>
      <c r="AU202">
        <v>2</v>
      </c>
      <c r="AV202">
        <v>1</v>
      </c>
      <c r="AX202">
        <v>2</v>
      </c>
      <c r="AY202">
        <v>1</v>
      </c>
      <c r="BA202">
        <v>1</v>
      </c>
      <c r="BB202">
        <v>1</v>
      </c>
      <c r="BD202">
        <v>1</v>
      </c>
      <c r="BE202">
        <v>2</v>
      </c>
      <c r="BH202">
        <v>2</v>
      </c>
      <c r="BI202">
        <v>2</v>
      </c>
      <c r="BJ202">
        <v>1</v>
      </c>
      <c r="BK202">
        <v>2</v>
      </c>
      <c r="BL202">
        <v>2</v>
      </c>
      <c r="BM202">
        <v>1</v>
      </c>
      <c r="BN202">
        <v>2</v>
      </c>
      <c r="BO202">
        <v>2</v>
      </c>
      <c r="BP202">
        <v>1</v>
      </c>
      <c r="BQ202">
        <v>2</v>
      </c>
      <c r="BR202">
        <v>1</v>
      </c>
      <c r="BS202">
        <v>2</v>
      </c>
      <c r="BT202">
        <v>2</v>
      </c>
      <c r="BU202">
        <v>2</v>
      </c>
      <c r="BW202">
        <v>2</v>
      </c>
      <c r="BX202">
        <v>2</v>
      </c>
      <c r="BY202">
        <v>1</v>
      </c>
      <c r="BZ202">
        <v>2</v>
      </c>
      <c r="CA202">
        <v>2</v>
      </c>
    </row>
    <row r="203" spans="1:79" x14ac:dyDescent="0.3">
      <c r="A203">
        <v>947</v>
      </c>
      <c r="B203" t="s">
        <v>918</v>
      </c>
      <c r="D203" t="s">
        <v>2038</v>
      </c>
      <c r="E203" t="s">
        <v>2039</v>
      </c>
      <c r="G203" t="s">
        <v>2041</v>
      </c>
      <c r="H203" t="s">
        <v>1191</v>
      </c>
      <c r="I203" t="s">
        <v>2043</v>
      </c>
      <c r="J203" t="s">
        <v>2486</v>
      </c>
      <c r="K203" t="s">
        <v>2487</v>
      </c>
      <c r="L203" t="s">
        <v>2046</v>
      </c>
      <c r="N203" t="s">
        <v>2048</v>
      </c>
      <c r="P203" t="s">
        <v>2049</v>
      </c>
      <c r="Q203" t="s">
        <v>2488</v>
      </c>
      <c r="R203" t="s">
        <v>921</v>
      </c>
      <c r="S203" t="s">
        <v>2051</v>
      </c>
      <c r="T203" t="s">
        <v>2052</v>
      </c>
      <c r="U203" t="s">
        <v>2053</v>
      </c>
      <c r="V203" t="s">
        <v>2054</v>
      </c>
      <c r="W203" t="s">
        <v>2055</v>
      </c>
      <c r="X203" t="s">
        <v>2056</v>
      </c>
      <c r="Y203" t="s">
        <v>2057</v>
      </c>
      <c r="Z203" t="s">
        <v>2489</v>
      </c>
      <c r="AB203" t="s">
        <v>919</v>
      </c>
      <c r="AC203" t="s">
        <v>2059</v>
      </c>
      <c r="AD203" t="s">
        <v>2060</v>
      </c>
      <c r="AE203" t="s">
        <v>2490</v>
      </c>
      <c r="AF203" t="s">
        <v>2062</v>
      </c>
      <c r="AG203" t="s">
        <v>2491</v>
      </c>
      <c r="AH203" t="s">
        <v>1544</v>
      </c>
      <c r="AI203" t="s">
        <v>2492</v>
      </c>
      <c r="AJ203" t="s">
        <v>2065</v>
      </c>
      <c r="AK203" t="s">
        <v>1543</v>
      </c>
      <c r="AL203" t="s">
        <v>2066</v>
      </c>
      <c r="AM203" t="s">
        <v>2067</v>
      </c>
      <c r="AN203" t="s">
        <v>2053</v>
      </c>
      <c r="AP203" t="s">
        <v>2068</v>
      </c>
      <c r="AQ203" t="s">
        <v>2069</v>
      </c>
      <c r="AR203" t="s">
        <v>2493</v>
      </c>
      <c r="AT203" t="s">
        <v>1589</v>
      </c>
      <c r="AU203" t="s">
        <v>2071</v>
      </c>
      <c r="AV203" t="s">
        <v>2072</v>
      </c>
      <c r="AX203" t="s">
        <v>2073</v>
      </c>
      <c r="AY203" t="s">
        <v>2494</v>
      </c>
      <c r="BA203" t="s">
        <v>1589</v>
      </c>
      <c r="BB203" t="s">
        <v>1589</v>
      </c>
      <c r="BD203" t="s">
        <v>2076</v>
      </c>
      <c r="BE203" t="s">
        <v>429</v>
      </c>
      <c r="BH203" t="s">
        <v>2059</v>
      </c>
      <c r="BI203" t="s">
        <v>2495</v>
      </c>
      <c r="BJ203" t="s">
        <v>1545</v>
      </c>
      <c r="BK203" t="s">
        <v>2079</v>
      </c>
      <c r="BL203" t="s">
        <v>2064</v>
      </c>
      <c r="BM203" t="s">
        <v>2080</v>
      </c>
      <c r="BN203" t="s">
        <v>2496</v>
      </c>
      <c r="BO203" t="s">
        <v>2082</v>
      </c>
      <c r="BP203" t="s">
        <v>2497</v>
      </c>
      <c r="BQ203" t="s">
        <v>2498</v>
      </c>
      <c r="BR203" t="s">
        <v>2084</v>
      </c>
      <c r="BS203" t="s">
        <v>2085</v>
      </c>
      <c r="BT203" t="s">
        <v>2047</v>
      </c>
      <c r="BU203" t="s">
        <v>2499</v>
      </c>
      <c r="BW203" t="s">
        <v>2088</v>
      </c>
      <c r="BX203" t="s">
        <v>2500</v>
      </c>
      <c r="BY203" t="s">
        <v>2078</v>
      </c>
      <c r="BZ203" t="s">
        <v>2090</v>
      </c>
      <c r="CA203" t="s">
        <v>2091</v>
      </c>
    </row>
    <row r="204" spans="1:79" x14ac:dyDescent="0.3">
      <c r="A204">
        <v>948</v>
      </c>
      <c r="B204" t="s">
        <v>922</v>
      </c>
      <c r="D204" t="s">
        <v>1550</v>
      </c>
      <c r="E204" t="s">
        <v>2092</v>
      </c>
      <c r="G204" t="s">
        <v>2094</v>
      </c>
      <c r="H204" t="s">
        <v>1042</v>
      </c>
      <c r="I204" t="s">
        <v>2096</v>
      </c>
      <c r="J204" t="s">
        <v>2501</v>
      </c>
      <c r="K204" t="s">
        <v>2502</v>
      </c>
      <c r="L204" t="s">
        <v>2099</v>
      </c>
      <c r="N204" t="s">
        <v>2101</v>
      </c>
      <c r="P204" t="s">
        <v>2102</v>
      </c>
      <c r="Q204" t="s">
        <v>2137</v>
      </c>
      <c r="R204" t="s">
        <v>2104</v>
      </c>
      <c r="S204" t="s">
        <v>2105</v>
      </c>
      <c r="T204" t="s">
        <v>1548</v>
      </c>
      <c r="U204" t="s">
        <v>2106</v>
      </c>
      <c r="V204" t="s">
        <v>2107</v>
      </c>
      <c r="W204" t="s">
        <v>2108</v>
      </c>
      <c r="X204" t="s">
        <v>2109</v>
      </c>
      <c r="Y204" t="s">
        <v>2110</v>
      </c>
      <c r="Z204" t="s">
        <v>2503</v>
      </c>
      <c r="AB204" t="s">
        <v>2113</v>
      </c>
      <c r="AC204" t="s">
        <v>2114</v>
      </c>
      <c r="AD204" t="s">
        <v>2115</v>
      </c>
      <c r="AE204" t="s">
        <v>2504</v>
      </c>
      <c r="AF204" t="s">
        <v>2116</v>
      </c>
      <c r="AG204" t="s">
        <v>2117</v>
      </c>
      <c r="AH204" t="s">
        <v>2118</v>
      </c>
      <c r="AI204" t="s">
        <v>2505</v>
      </c>
      <c r="AJ204" t="s">
        <v>2119</v>
      </c>
      <c r="AK204" t="s">
        <v>2120</v>
      </c>
      <c r="AL204" t="s">
        <v>2121</v>
      </c>
      <c r="AM204" t="s">
        <v>2122</v>
      </c>
      <c r="AN204" t="s">
        <v>2123</v>
      </c>
      <c r="AP204" t="s">
        <v>2124</v>
      </c>
      <c r="AQ204" t="s">
        <v>2125</v>
      </c>
      <c r="AR204" t="s">
        <v>2506</v>
      </c>
      <c r="AT204" t="s">
        <v>2128</v>
      </c>
      <c r="AU204" t="s">
        <v>2129</v>
      </c>
      <c r="AV204" t="s">
        <v>2130</v>
      </c>
      <c r="AX204" t="s">
        <v>1547</v>
      </c>
      <c r="AY204" t="s">
        <v>2507</v>
      </c>
      <c r="BA204" t="s">
        <v>2132</v>
      </c>
      <c r="BB204" t="s">
        <v>2133</v>
      </c>
      <c r="BD204" t="s">
        <v>2134</v>
      </c>
      <c r="BE204" t="s">
        <v>429</v>
      </c>
      <c r="BH204" t="s">
        <v>2101</v>
      </c>
      <c r="BI204" t="s">
        <v>2508</v>
      </c>
      <c r="BJ204" t="s">
        <v>1590</v>
      </c>
      <c r="BK204" t="s">
        <v>1550</v>
      </c>
      <c r="BL204" t="s">
        <v>2137</v>
      </c>
      <c r="BM204" t="s">
        <v>1402</v>
      </c>
      <c r="BN204" t="s">
        <v>2509</v>
      </c>
      <c r="BO204" t="s">
        <v>2139</v>
      </c>
      <c r="BP204" t="s">
        <v>2510</v>
      </c>
      <c r="BQ204" t="s">
        <v>2511</v>
      </c>
      <c r="BR204" t="s">
        <v>2142</v>
      </c>
      <c r="BS204" t="s">
        <v>2143</v>
      </c>
      <c r="BT204" t="s">
        <v>1548</v>
      </c>
      <c r="BU204" t="s">
        <v>2512</v>
      </c>
      <c r="BW204" t="s">
        <v>2146</v>
      </c>
      <c r="BX204" t="s">
        <v>2116</v>
      </c>
      <c r="BY204" t="s">
        <v>2513</v>
      </c>
      <c r="BZ204" t="s">
        <v>2149</v>
      </c>
      <c r="CA204" t="s">
        <v>1546</v>
      </c>
    </row>
    <row r="205" spans="1:79" x14ac:dyDescent="0.3">
      <c r="A205">
        <v>949</v>
      </c>
      <c r="B205" t="s">
        <v>923</v>
      </c>
      <c r="D205" t="s">
        <v>410</v>
      </c>
      <c r="E205" t="s">
        <v>410</v>
      </c>
      <c r="G205" t="s">
        <v>410</v>
      </c>
      <c r="H205" t="s">
        <v>410</v>
      </c>
      <c r="I205" t="s">
        <v>410</v>
      </c>
      <c r="J205" t="s">
        <v>2514</v>
      </c>
      <c r="K205" t="s">
        <v>410</v>
      </c>
      <c r="L205" t="s">
        <v>410</v>
      </c>
      <c r="N205" t="s">
        <v>410</v>
      </c>
      <c r="P205" t="s">
        <v>410</v>
      </c>
      <c r="Q205" t="s">
        <v>410</v>
      </c>
      <c r="R205" t="s">
        <v>410</v>
      </c>
      <c r="S205" t="s">
        <v>410</v>
      </c>
      <c r="T205" t="s">
        <v>410</v>
      </c>
      <c r="U205" t="s">
        <v>410</v>
      </c>
      <c r="V205" t="s">
        <v>410</v>
      </c>
      <c r="W205" t="s">
        <v>410</v>
      </c>
      <c r="X205" t="s">
        <v>410</v>
      </c>
      <c r="Y205" t="s">
        <v>410</v>
      </c>
      <c r="Z205" t="s">
        <v>428</v>
      </c>
      <c r="AB205" t="s">
        <v>410</v>
      </c>
      <c r="AC205" t="s">
        <v>410</v>
      </c>
      <c r="AD205" t="s">
        <v>410</v>
      </c>
      <c r="AE205" t="s">
        <v>410</v>
      </c>
      <c r="AF205" t="s">
        <v>410</v>
      </c>
      <c r="AG205" t="s">
        <v>410</v>
      </c>
      <c r="AH205" t="s">
        <v>410</v>
      </c>
      <c r="AI205" t="s">
        <v>410</v>
      </c>
      <c r="AJ205" t="s">
        <v>410</v>
      </c>
      <c r="AK205" t="s">
        <v>410</v>
      </c>
      <c r="AL205" t="s">
        <v>410</v>
      </c>
      <c r="AM205" t="s">
        <v>410</v>
      </c>
      <c r="AN205" t="s">
        <v>410</v>
      </c>
      <c r="AP205" t="s">
        <v>410</v>
      </c>
      <c r="AQ205" t="s">
        <v>410</v>
      </c>
      <c r="AR205" t="s">
        <v>410</v>
      </c>
      <c r="AT205" t="s">
        <v>410</v>
      </c>
      <c r="AU205" t="s">
        <v>410</v>
      </c>
      <c r="AV205" t="s">
        <v>410</v>
      </c>
      <c r="AX205" t="s">
        <v>410</v>
      </c>
      <c r="AY205" t="s">
        <v>410</v>
      </c>
      <c r="BA205" t="s">
        <v>410</v>
      </c>
      <c r="BB205" t="s">
        <v>410</v>
      </c>
      <c r="BD205" t="s">
        <v>410</v>
      </c>
      <c r="BE205" t="s">
        <v>429</v>
      </c>
      <c r="BH205" t="s">
        <v>410</v>
      </c>
      <c r="BI205" t="s">
        <v>428</v>
      </c>
      <c r="BJ205" t="s">
        <v>410</v>
      </c>
      <c r="BK205" t="s">
        <v>410</v>
      </c>
      <c r="BL205" t="s">
        <v>410</v>
      </c>
      <c r="BM205" t="s">
        <v>410</v>
      </c>
      <c r="BN205" t="s">
        <v>410</v>
      </c>
      <c r="BO205" t="s">
        <v>410</v>
      </c>
      <c r="BP205" t="s">
        <v>410</v>
      </c>
      <c r="BQ205" t="s">
        <v>410</v>
      </c>
      <c r="BR205" t="s">
        <v>410</v>
      </c>
      <c r="BS205" t="s">
        <v>410</v>
      </c>
      <c r="BT205" t="s">
        <v>410</v>
      </c>
      <c r="BU205" t="s">
        <v>410</v>
      </c>
      <c r="BW205" t="s">
        <v>410</v>
      </c>
      <c r="BX205" t="s">
        <v>410</v>
      </c>
      <c r="BY205" t="s">
        <v>410</v>
      </c>
      <c r="BZ205" t="s">
        <v>410</v>
      </c>
      <c r="CA205" t="s">
        <v>410</v>
      </c>
    </row>
    <row r="206" spans="1:79" x14ac:dyDescent="0.3">
      <c r="A206">
        <v>950</v>
      </c>
      <c r="B206" t="s">
        <v>924</v>
      </c>
      <c r="D206" t="s">
        <v>50</v>
      </c>
      <c r="E206" t="s">
        <v>50</v>
      </c>
      <c r="G206" t="s">
        <v>50</v>
      </c>
      <c r="H206" t="s">
        <v>50</v>
      </c>
      <c r="I206" t="s">
        <v>50</v>
      </c>
      <c r="J206" t="s">
        <v>2515</v>
      </c>
      <c r="K206" t="s">
        <v>50</v>
      </c>
      <c r="L206" t="s">
        <v>50</v>
      </c>
      <c r="N206" t="s">
        <v>50</v>
      </c>
      <c r="P206" t="s">
        <v>50</v>
      </c>
      <c r="Q206" t="s">
        <v>50</v>
      </c>
      <c r="R206" t="s">
        <v>50</v>
      </c>
      <c r="S206" t="s">
        <v>50</v>
      </c>
      <c r="T206" t="s">
        <v>50</v>
      </c>
      <c r="U206" t="s">
        <v>50</v>
      </c>
      <c r="V206" t="s">
        <v>50</v>
      </c>
      <c r="W206" t="s">
        <v>50</v>
      </c>
      <c r="X206" t="s">
        <v>50</v>
      </c>
      <c r="Y206" t="s">
        <v>50</v>
      </c>
      <c r="Z206" t="s">
        <v>50</v>
      </c>
      <c r="AB206" t="s">
        <v>50</v>
      </c>
      <c r="AC206" t="s">
        <v>50</v>
      </c>
      <c r="AD206" t="s">
        <v>50</v>
      </c>
      <c r="AE206" t="s">
        <v>50</v>
      </c>
      <c r="AF206" t="s">
        <v>50</v>
      </c>
      <c r="AG206" t="s">
        <v>50</v>
      </c>
      <c r="AH206" t="s">
        <v>50</v>
      </c>
      <c r="AI206" t="s">
        <v>50</v>
      </c>
      <c r="AJ206" t="s">
        <v>50</v>
      </c>
      <c r="AK206" t="s">
        <v>50</v>
      </c>
      <c r="AL206" t="s">
        <v>50</v>
      </c>
      <c r="AM206" t="s">
        <v>50</v>
      </c>
      <c r="AN206" t="s">
        <v>50</v>
      </c>
      <c r="AP206" t="s">
        <v>50</v>
      </c>
      <c r="AQ206" t="s">
        <v>50</v>
      </c>
      <c r="AR206" t="s">
        <v>50</v>
      </c>
      <c r="AT206" t="s">
        <v>50</v>
      </c>
      <c r="AU206" t="s">
        <v>50</v>
      </c>
      <c r="AV206" t="s">
        <v>50</v>
      </c>
      <c r="AX206" t="s">
        <v>50</v>
      </c>
      <c r="AY206" t="s">
        <v>50</v>
      </c>
      <c r="BA206" t="s">
        <v>50</v>
      </c>
      <c r="BB206" t="s">
        <v>50</v>
      </c>
      <c r="BD206" t="s">
        <v>50</v>
      </c>
      <c r="BE206" t="s">
        <v>51</v>
      </c>
      <c r="BH206" t="s">
        <v>50</v>
      </c>
      <c r="BI206" t="s">
        <v>50</v>
      </c>
      <c r="BJ206" t="s">
        <v>50</v>
      </c>
      <c r="BK206" t="s">
        <v>50</v>
      </c>
      <c r="BL206" t="s">
        <v>50</v>
      </c>
      <c r="BM206" t="s">
        <v>50</v>
      </c>
      <c r="BN206" t="s">
        <v>50</v>
      </c>
      <c r="BO206" t="s">
        <v>50</v>
      </c>
      <c r="BP206" t="s">
        <v>50</v>
      </c>
      <c r="BQ206" t="s">
        <v>50</v>
      </c>
      <c r="BR206" t="s">
        <v>50</v>
      </c>
      <c r="BS206" t="s">
        <v>50</v>
      </c>
      <c r="BT206" t="s">
        <v>50</v>
      </c>
      <c r="BU206" t="s">
        <v>50</v>
      </c>
      <c r="BW206" t="s">
        <v>50</v>
      </c>
      <c r="BX206" t="s">
        <v>50</v>
      </c>
      <c r="BY206" t="s">
        <v>50</v>
      </c>
      <c r="BZ206" t="s">
        <v>50</v>
      </c>
      <c r="CA206" t="s">
        <v>50</v>
      </c>
    </row>
    <row r="207" spans="1:79" x14ac:dyDescent="0.3">
      <c r="A207">
        <v>951</v>
      </c>
      <c r="B207" t="s">
        <v>925</v>
      </c>
      <c r="D207">
        <v>2</v>
      </c>
      <c r="E207">
        <v>2</v>
      </c>
      <c r="G207">
        <v>2</v>
      </c>
      <c r="H207">
        <v>2</v>
      </c>
      <c r="I207">
        <v>2</v>
      </c>
      <c r="J207">
        <v>2</v>
      </c>
      <c r="K207">
        <v>2</v>
      </c>
      <c r="L207">
        <v>2</v>
      </c>
      <c r="N207">
        <v>2</v>
      </c>
      <c r="P207">
        <v>2</v>
      </c>
      <c r="Q207">
        <v>2</v>
      </c>
      <c r="R207">
        <v>2</v>
      </c>
      <c r="S207">
        <v>2</v>
      </c>
      <c r="T207">
        <v>2</v>
      </c>
      <c r="U207">
        <v>2</v>
      </c>
      <c r="V207">
        <v>2</v>
      </c>
      <c r="W207">
        <v>2</v>
      </c>
      <c r="X207">
        <v>2</v>
      </c>
      <c r="Y207">
        <v>2</v>
      </c>
      <c r="Z207">
        <v>2</v>
      </c>
      <c r="AB207">
        <v>2</v>
      </c>
      <c r="AC207">
        <v>2</v>
      </c>
      <c r="AD207">
        <v>2</v>
      </c>
      <c r="AE207">
        <v>2</v>
      </c>
      <c r="AF207">
        <v>2</v>
      </c>
      <c r="AG207">
        <v>1</v>
      </c>
      <c r="AH207">
        <v>1</v>
      </c>
      <c r="AI207">
        <v>2</v>
      </c>
      <c r="AJ207">
        <v>2</v>
      </c>
      <c r="AK207">
        <v>2</v>
      </c>
      <c r="AL207">
        <v>2</v>
      </c>
      <c r="AM207">
        <v>2</v>
      </c>
      <c r="AN207">
        <v>2</v>
      </c>
      <c r="AP207">
        <v>2</v>
      </c>
      <c r="AQ207">
        <v>2</v>
      </c>
      <c r="AR207">
        <v>2</v>
      </c>
      <c r="AT207">
        <v>2</v>
      </c>
      <c r="AU207">
        <v>2</v>
      </c>
      <c r="AV207">
        <v>2</v>
      </c>
      <c r="AX207">
        <v>2</v>
      </c>
      <c r="AY207">
        <v>2</v>
      </c>
      <c r="BA207">
        <v>1</v>
      </c>
      <c r="BB207">
        <v>2</v>
      </c>
      <c r="BD207">
        <v>2</v>
      </c>
      <c r="BE207">
        <v>2</v>
      </c>
      <c r="BH207">
        <v>2</v>
      </c>
      <c r="BI207">
        <v>2</v>
      </c>
      <c r="BJ207">
        <v>2</v>
      </c>
      <c r="BK207">
        <v>2</v>
      </c>
      <c r="BL207">
        <v>2</v>
      </c>
      <c r="BM207">
        <v>2</v>
      </c>
      <c r="BN207">
        <v>2</v>
      </c>
      <c r="BO207">
        <v>2</v>
      </c>
      <c r="BP207">
        <v>2</v>
      </c>
      <c r="BQ207">
        <v>2</v>
      </c>
      <c r="BR207">
        <v>2</v>
      </c>
      <c r="BS207">
        <v>2</v>
      </c>
      <c r="BT207">
        <v>2</v>
      </c>
      <c r="BU207">
        <v>2</v>
      </c>
      <c r="BW207">
        <v>2</v>
      </c>
      <c r="BX207">
        <v>2</v>
      </c>
      <c r="BY207">
        <v>1</v>
      </c>
      <c r="BZ207">
        <v>2</v>
      </c>
      <c r="CA207">
        <v>2</v>
      </c>
    </row>
    <row r="208" spans="1:79" x14ac:dyDescent="0.3">
      <c r="A208">
        <v>952</v>
      </c>
      <c r="B208" t="s">
        <v>926</v>
      </c>
      <c r="E208" t="s">
        <v>2150</v>
      </c>
      <c r="G208" t="s">
        <v>2152</v>
      </c>
      <c r="H208" t="s">
        <v>2452</v>
      </c>
      <c r="I208" t="s">
        <v>2154</v>
      </c>
      <c r="J208" t="s">
        <v>2516</v>
      </c>
      <c r="K208" t="s">
        <v>2517</v>
      </c>
      <c r="L208" t="s">
        <v>2518</v>
      </c>
      <c r="N208" t="s">
        <v>2158</v>
      </c>
      <c r="P208" t="s">
        <v>2519</v>
      </c>
      <c r="Q208" t="s">
        <v>1626</v>
      </c>
      <c r="R208" t="s">
        <v>2160</v>
      </c>
      <c r="S208" t="s">
        <v>2161</v>
      </c>
      <c r="T208" t="s">
        <v>2162</v>
      </c>
      <c r="U208" t="s">
        <v>2163</v>
      </c>
      <c r="V208" t="s">
        <v>2520</v>
      </c>
      <c r="Y208" t="s">
        <v>2166</v>
      </c>
      <c r="AB208" t="s">
        <v>1549</v>
      </c>
      <c r="AE208" t="s">
        <v>2292</v>
      </c>
      <c r="AH208" t="s">
        <v>2171</v>
      </c>
      <c r="AI208" t="s">
        <v>2521</v>
      </c>
      <c r="AJ208" t="s">
        <v>2173</v>
      </c>
      <c r="AK208" t="s">
        <v>2171</v>
      </c>
      <c r="AL208" t="s">
        <v>2174</v>
      </c>
      <c r="AP208" t="s">
        <v>2522</v>
      </c>
      <c r="AQ208" t="s">
        <v>2177</v>
      </c>
      <c r="AR208" t="s">
        <v>2523</v>
      </c>
      <c r="AU208" t="s">
        <v>2179</v>
      </c>
      <c r="AX208" t="s">
        <v>2524</v>
      </c>
      <c r="AY208" t="s">
        <v>2525</v>
      </c>
      <c r="BA208" t="s">
        <v>2175</v>
      </c>
      <c r="BB208" t="s">
        <v>2181</v>
      </c>
      <c r="BI208" t="s">
        <v>2526</v>
      </c>
      <c r="BK208" t="s">
        <v>2186</v>
      </c>
      <c r="BM208" t="s">
        <v>1549</v>
      </c>
      <c r="BN208" t="s">
        <v>2527</v>
      </c>
      <c r="BP208" t="s">
        <v>2188</v>
      </c>
      <c r="BS208" t="s">
        <v>2189</v>
      </c>
      <c r="BW208" t="s">
        <v>2190</v>
      </c>
      <c r="BX208" t="s">
        <v>2528</v>
      </c>
      <c r="BY208" t="s">
        <v>2529</v>
      </c>
      <c r="BZ208" t="s">
        <v>2192</v>
      </c>
    </row>
    <row r="209" spans="1:79" x14ac:dyDescent="0.3">
      <c r="A209">
        <v>953</v>
      </c>
      <c r="B209" t="s">
        <v>927</v>
      </c>
      <c r="D209">
        <v>2</v>
      </c>
      <c r="E209">
        <v>2</v>
      </c>
      <c r="G209">
        <v>2</v>
      </c>
      <c r="H209">
        <v>2</v>
      </c>
      <c r="I209">
        <v>2</v>
      </c>
      <c r="J209">
        <v>2</v>
      </c>
      <c r="K209">
        <v>2</v>
      </c>
      <c r="L209">
        <v>2</v>
      </c>
      <c r="N209">
        <v>2</v>
      </c>
      <c r="P209">
        <v>2</v>
      </c>
      <c r="Q209">
        <v>2</v>
      </c>
      <c r="R209">
        <v>2</v>
      </c>
      <c r="S209">
        <v>2</v>
      </c>
      <c r="T209">
        <v>2</v>
      </c>
      <c r="U209">
        <v>2</v>
      </c>
      <c r="V209">
        <v>2</v>
      </c>
      <c r="W209">
        <v>2</v>
      </c>
      <c r="X209">
        <v>2</v>
      </c>
      <c r="Y209">
        <v>2</v>
      </c>
      <c r="Z209">
        <v>2</v>
      </c>
      <c r="AB209">
        <v>2</v>
      </c>
      <c r="AC209">
        <v>2</v>
      </c>
      <c r="AD209">
        <v>2</v>
      </c>
      <c r="AE209">
        <v>2</v>
      </c>
      <c r="AF209">
        <v>2</v>
      </c>
      <c r="AG209">
        <v>2</v>
      </c>
      <c r="AH209">
        <v>2</v>
      </c>
      <c r="AI209">
        <v>2</v>
      </c>
      <c r="AJ209">
        <v>2</v>
      </c>
      <c r="AK209">
        <v>2</v>
      </c>
      <c r="AL209">
        <v>2</v>
      </c>
      <c r="AM209">
        <v>2</v>
      </c>
      <c r="AN209">
        <v>2</v>
      </c>
      <c r="AP209">
        <v>2</v>
      </c>
      <c r="AQ209">
        <v>2</v>
      </c>
      <c r="AR209">
        <v>2</v>
      </c>
      <c r="AT209">
        <v>2</v>
      </c>
      <c r="AU209">
        <v>2</v>
      </c>
      <c r="AV209">
        <v>2</v>
      </c>
      <c r="AX209">
        <v>2</v>
      </c>
      <c r="AY209">
        <v>2</v>
      </c>
      <c r="BA209">
        <v>2</v>
      </c>
      <c r="BB209">
        <v>2</v>
      </c>
      <c r="BD209">
        <v>2</v>
      </c>
      <c r="BE209">
        <v>2</v>
      </c>
      <c r="BH209">
        <v>2</v>
      </c>
      <c r="BI209">
        <v>2</v>
      </c>
      <c r="BJ209">
        <v>2</v>
      </c>
      <c r="BK209">
        <v>2</v>
      </c>
      <c r="BL209">
        <v>2</v>
      </c>
      <c r="BM209">
        <v>2</v>
      </c>
      <c r="BN209">
        <v>2</v>
      </c>
      <c r="BO209">
        <v>2</v>
      </c>
      <c r="BP209">
        <v>2</v>
      </c>
      <c r="BQ209">
        <v>2</v>
      </c>
      <c r="BR209">
        <v>2</v>
      </c>
      <c r="BS209">
        <v>2</v>
      </c>
      <c r="BT209">
        <v>2</v>
      </c>
      <c r="BU209">
        <v>2</v>
      </c>
      <c r="BW209">
        <v>2</v>
      </c>
      <c r="BX209">
        <v>2</v>
      </c>
      <c r="BY209">
        <v>2</v>
      </c>
      <c r="BZ209">
        <v>2</v>
      </c>
      <c r="CA209">
        <v>2</v>
      </c>
    </row>
    <row r="210" spans="1:79" x14ac:dyDescent="0.3">
      <c r="A210">
        <v>955</v>
      </c>
      <c r="B210" t="s">
        <v>928</v>
      </c>
      <c r="D210">
        <v>0</v>
      </c>
      <c r="E210">
        <v>0</v>
      </c>
      <c r="G210">
        <v>0</v>
      </c>
      <c r="H210">
        <v>0</v>
      </c>
      <c r="I210">
        <v>0</v>
      </c>
      <c r="J210">
        <v>1</v>
      </c>
      <c r="K210">
        <v>0</v>
      </c>
      <c r="L210">
        <v>1</v>
      </c>
      <c r="N210">
        <v>1</v>
      </c>
      <c r="P210">
        <v>0</v>
      </c>
      <c r="Q210">
        <v>0</v>
      </c>
      <c r="R210">
        <v>0</v>
      </c>
      <c r="S210">
        <v>0</v>
      </c>
      <c r="T210">
        <v>0</v>
      </c>
      <c r="U210">
        <v>0</v>
      </c>
      <c r="V210">
        <v>0</v>
      </c>
      <c r="W210">
        <v>0</v>
      </c>
      <c r="X210">
        <v>0</v>
      </c>
      <c r="Y210">
        <v>0</v>
      </c>
      <c r="Z210">
        <v>4</v>
      </c>
      <c r="AB210">
        <v>0</v>
      </c>
      <c r="AC210">
        <v>0</v>
      </c>
      <c r="AD210">
        <v>1</v>
      </c>
      <c r="AE210">
        <v>0</v>
      </c>
      <c r="AF210">
        <v>0</v>
      </c>
      <c r="AG210">
        <v>1</v>
      </c>
      <c r="AH210">
        <v>0</v>
      </c>
      <c r="AI210">
        <v>0</v>
      </c>
      <c r="AJ210">
        <v>2</v>
      </c>
      <c r="AK210">
        <v>0</v>
      </c>
      <c r="AL210">
        <v>0</v>
      </c>
      <c r="AM210">
        <v>0</v>
      </c>
      <c r="AN210">
        <v>0</v>
      </c>
      <c r="AP210">
        <v>0</v>
      </c>
      <c r="AQ210">
        <v>0</v>
      </c>
      <c r="AR210">
        <v>2</v>
      </c>
      <c r="AT210">
        <v>1</v>
      </c>
      <c r="AU210">
        <v>0</v>
      </c>
      <c r="AV210">
        <v>0</v>
      </c>
      <c r="AX210">
        <v>0</v>
      </c>
      <c r="AY210">
        <v>0</v>
      </c>
      <c r="BA210">
        <v>1</v>
      </c>
      <c r="BB210">
        <v>0</v>
      </c>
      <c r="BD210">
        <v>1</v>
      </c>
      <c r="BE210">
        <v>0</v>
      </c>
      <c r="BH210">
        <v>0</v>
      </c>
      <c r="BI210">
        <v>0</v>
      </c>
      <c r="BJ210">
        <v>1</v>
      </c>
      <c r="BK210">
        <v>0</v>
      </c>
      <c r="BL210">
        <v>0</v>
      </c>
      <c r="BM210">
        <v>0</v>
      </c>
      <c r="BN210">
        <v>0</v>
      </c>
      <c r="BO210">
        <v>0</v>
      </c>
      <c r="BP210">
        <v>0</v>
      </c>
      <c r="BQ210">
        <v>0</v>
      </c>
      <c r="BR210">
        <v>0</v>
      </c>
      <c r="BS210">
        <v>0</v>
      </c>
      <c r="BT210">
        <v>0</v>
      </c>
      <c r="BU210">
        <v>0</v>
      </c>
      <c r="BW210">
        <v>0</v>
      </c>
      <c r="BX210">
        <v>0</v>
      </c>
      <c r="BY210">
        <v>0</v>
      </c>
      <c r="BZ210">
        <v>0</v>
      </c>
      <c r="CA210">
        <v>1</v>
      </c>
    </row>
    <row r="211" spans="1:79" x14ac:dyDescent="0.3">
      <c r="A211">
        <v>957</v>
      </c>
      <c r="B211" t="s">
        <v>929</v>
      </c>
      <c r="D211">
        <v>0</v>
      </c>
      <c r="E211">
        <v>0</v>
      </c>
      <c r="G211">
        <v>0</v>
      </c>
      <c r="H211">
        <v>0</v>
      </c>
      <c r="I211">
        <v>0</v>
      </c>
      <c r="J211">
        <v>0</v>
      </c>
      <c r="K211">
        <v>0</v>
      </c>
      <c r="L211">
        <v>0</v>
      </c>
      <c r="N211">
        <v>0</v>
      </c>
      <c r="P211">
        <v>1</v>
      </c>
      <c r="Q211">
        <v>0</v>
      </c>
      <c r="R211">
        <v>0</v>
      </c>
      <c r="S211">
        <v>0</v>
      </c>
      <c r="T211">
        <v>0</v>
      </c>
      <c r="U211">
        <v>0</v>
      </c>
      <c r="V211">
        <v>0</v>
      </c>
      <c r="W211">
        <v>0</v>
      </c>
      <c r="X211">
        <v>0</v>
      </c>
      <c r="Y211">
        <v>0</v>
      </c>
      <c r="Z211">
        <v>0</v>
      </c>
      <c r="AB211">
        <v>0</v>
      </c>
      <c r="AC211">
        <v>0</v>
      </c>
      <c r="AD211">
        <v>3</v>
      </c>
      <c r="AE211">
        <v>2</v>
      </c>
      <c r="AF211">
        <v>0</v>
      </c>
      <c r="AG211">
        <v>0</v>
      </c>
      <c r="AH211">
        <v>0</v>
      </c>
      <c r="AI211">
        <v>0</v>
      </c>
      <c r="AJ211">
        <v>1</v>
      </c>
      <c r="AK211">
        <v>0</v>
      </c>
      <c r="AL211">
        <v>0</v>
      </c>
      <c r="AM211">
        <v>0</v>
      </c>
      <c r="AN211">
        <v>0</v>
      </c>
      <c r="AP211">
        <v>0</v>
      </c>
      <c r="AQ211">
        <v>0</v>
      </c>
      <c r="AR211">
        <v>0</v>
      </c>
      <c r="AT211">
        <v>0</v>
      </c>
      <c r="AU211">
        <v>0</v>
      </c>
      <c r="AV211">
        <v>4</v>
      </c>
      <c r="AX211">
        <v>0</v>
      </c>
      <c r="AY211">
        <v>0</v>
      </c>
      <c r="BA211">
        <v>0</v>
      </c>
      <c r="BB211">
        <v>0</v>
      </c>
      <c r="BD211">
        <v>1</v>
      </c>
      <c r="BE211">
        <v>0</v>
      </c>
      <c r="BH211">
        <v>0</v>
      </c>
      <c r="BI211">
        <v>4</v>
      </c>
      <c r="BJ211">
        <v>0</v>
      </c>
      <c r="BK211">
        <v>0</v>
      </c>
      <c r="BL211">
        <v>0</v>
      </c>
      <c r="BM211">
        <v>0</v>
      </c>
      <c r="BN211">
        <v>0</v>
      </c>
      <c r="BO211">
        <v>0</v>
      </c>
      <c r="BP211">
        <v>0</v>
      </c>
      <c r="BQ211">
        <v>0</v>
      </c>
      <c r="BR211">
        <v>0</v>
      </c>
      <c r="BS211">
        <v>0</v>
      </c>
      <c r="BT211">
        <v>0</v>
      </c>
      <c r="BU211">
        <v>1</v>
      </c>
      <c r="BW211">
        <v>0</v>
      </c>
      <c r="BX211">
        <v>0</v>
      </c>
      <c r="BY211">
        <v>0</v>
      </c>
      <c r="BZ211">
        <v>0</v>
      </c>
      <c r="CA211">
        <v>0</v>
      </c>
    </row>
    <row r="212" spans="1:79" x14ac:dyDescent="0.3">
      <c r="A212">
        <v>959</v>
      </c>
      <c r="B212" t="s">
        <v>931</v>
      </c>
      <c r="D212">
        <v>2</v>
      </c>
      <c r="E212">
        <v>2</v>
      </c>
      <c r="G212">
        <v>2</v>
      </c>
      <c r="H212">
        <v>2</v>
      </c>
      <c r="I212">
        <v>3</v>
      </c>
      <c r="J212">
        <v>2</v>
      </c>
      <c r="K212">
        <v>2</v>
      </c>
      <c r="L212">
        <v>2</v>
      </c>
      <c r="N212">
        <v>2</v>
      </c>
      <c r="P212">
        <v>2</v>
      </c>
      <c r="Q212">
        <v>2</v>
      </c>
      <c r="R212">
        <v>2</v>
      </c>
      <c r="S212">
        <v>2</v>
      </c>
      <c r="T212">
        <v>3</v>
      </c>
      <c r="U212">
        <v>2</v>
      </c>
      <c r="V212">
        <v>3</v>
      </c>
      <c r="W212">
        <v>2</v>
      </c>
      <c r="X212">
        <v>2</v>
      </c>
      <c r="Y212">
        <v>2</v>
      </c>
      <c r="Z212">
        <v>2</v>
      </c>
      <c r="AB212">
        <v>2</v>
      </c>
      <c r="AC212">
        <v>3</v>
      </c>
      <c r="AD212">
        <v>3</v>
      </c>
      <c r="AE212">
        <v>2</v>
      </c>
      <c r="AF212">
        <v>3</v>
      </c>
      <c r="AG212">
        <v>2</v>
      </c>
      <c r="AH212">
        <v>3</v>
      </c>
      <c r="AI212">
        <v>3</v>
      </c>
      <c r="AJ212">
        <v>2</v>
      </c>
      <c r="AK212">
        <v>3</v>
      </c>
      <c r="AL212">
        <v>3</v>
      </c>
      <c r="AM212">
        <v>3</v>
      </c>
      <c r="AN212">
        <v>2</v>
      </c>
      <c r="AP212">
        <v>2</v>
      </c>
      <c r="AQ212">
        <v>2</v>
      </c>
      <c r="AR212">
        <v>2</v>
      </c>
      <c r="AT212">
        <v>2</v>
      </c>
      <c r="AU212">
        <v>2</v>
      </c>
      <c r="AV212">
        <v>2</v>
      </c>
      <c r="AX212">
        <v>3</v>
      </c>
      <c r="AY212">
        <v>2</v>
      </c>
      <c r="BA212">
        <v>3</v>
      </c>
      <c r="BB212">
        <v>2</v>
      </c>
      <c r="BD212">
        <v>3</v>
      </c>
      <c r="BE212">
        <v>2</v>
      </c>
      <c r="BH212">
        <v>2</v>
      </c>
      <c r="BI212">
        <v>2</v>
      </c>
      <c r="BJ212">
        <v>2</v>
      </c>
      <c r="BK212">
        <v>2</v>
      </c>
      <c r="BL212">
        <v>2</v>
      </c>
      <c r="BM212">
        <v>2</v>
      </c>
      <c r="BN212">
        <v>3</v>
      </c>
      <c r="BO212">
        <v>2</v>
      </c>
      <c r="BP212">
        <v>2</v>
      </c>
      <c r="BQ212">
        <v>2</v>
      </c>
      <c r="BR212">
        <v>3</v>
      </c>
      <c r="BS212">
        <v>2</v>
      </c>
      <c r="BT212">
        <v>3</v>
      </c>
      <c r="BU212">
        <v>2</v>
      </c>
      <c r="BW212">
        <v>2</v>
      </c>
      <c r="BX212">
        <v>2</v>
      </c>
      <c r="BY212">
        <v>3</v>
      </c>
      <c r="BZ212">
        <v>2</v>
      </c>
      <c r="CA212">
        <v>2</v>
      </c>
    </row>
    <row r="213" spans="1:79" x14ac:dyDescent="0.3">
      <c r="A213">
        <v>960</v>
      </c>
      <c r="B213" t="s">
        <v>932</v>
      </c>
      <c r="D213" t="s">
        <v>2193</v>
      </c>
      <c r="E213" t="s">
        <v>2194</v>
      </c>
      <c r="G213" t="s">
        <v>2196</v>
      </c>
      <c r="H213" t="s">
        <v>2530</v>
      </c>
      <c r="I213" t="s">
        <v>2198</v>
      </c>
      <c r="J213" t="s">
        <v>2531</v>
      </c>
      <c r="K213" t="s">
        <v>2532</v>
      </c>
      <c r="L213" t="s">
        <v>2201</v>
      </c>
      <c r="N213" t="s">
        <v>2203</v>
      </c>
      <c r="P213" t="s">
        <v>2204</v>
      </c>
      <c r="Q213" t="s">
        <v>2533</v>
      </c>
      <c r="R213" t="s">
        <v>2206</v>
      </c>
      <c r="S213" t="s">
        <v>2207</v>
      </c>
      <c r="T213" t="s">
        <v>2208</v>
      </c>
      <c r="U213" t="s">
        <v>2209</v>
      </c>
      <c r="V213" t="s">
        <v>2210</v>
      </c>
      <c r="W213" t="s">
        <v>2211</v>
      </c>
      <c r="X213" t="s">
        <v>2212</v>
      </c>
      <c r="Y213" t="s">
        <v>2213</v>
      </c>
      <c r="Z213" t="s">
        <v>2534</v>
      </c>
      <c r="AB213" t="s">
        <v>2216</v>
      </c>
      <c r="AC213" t="s">
        <v>2535</v>
      </c>
      <c r="AD213" t="s">
        <v>2218</v>
      </c>
      <c r="AE213" t="s">
        <v>2536</v>
      </c>
      <c r="AF213" t="s">
        <v>2220</v>
      </c>
      <c r="AG213" t="s">
        <v>2537</v>
      </c>
      <c r="AH213" t="s">
        <v>2222</v>
      </c>
      <c r="AI213" t="s">
        <v>2538</v>
      </c>
      <c r="AJ213" t="s">
        <v>2539</v>
      </c>
      <c r="AK213" t="s">
        <v>2225</v>
      </c>
      <c r="AL213" t="s">
        <v>2226</v>
      </c>
      <c r="AM213" t="s">
        <v>2227</v>
      </c>
      <c r="AN213" t="s">
        <v>2228</v>
      </c>
      <c r="AP213" t="s">
        <v>2229</v>
      </c>
      <c r="AQ213" t="s">
        <v>2230</v>
      </c>
      <c r="AR213" t="s">
        <v>2540</v>
      </c>
      <c r="AT213" t="s">
        <v>2233</v>
      </c>
      <c r="AU213" t="s">
        <v>2234</v>
      </c>
      <c r="AV213" t="s">
        <v>2235</v>
      </c>
      <c r="AX213" t="s">
        <v>2236</v>
      </c>
      <c r="AY213" t="s">
        <v>2541</v>
      </c>
      <c r="BA213" t="s">
        <v>2239</v>
      </c>
      <c r="BB213" t="s">
        <v>2240</v>
      </c>
      <c r="BD213" t="s">
        <v>2242</v>
      </c>
      <c r="BE213" t="s">
        <v>2542</v>
      </c>
      <c r="BH213" t="s">
        <v>2244</v>
      </c>
      <c r="BI213" t="s">
        <v>2543</v>
      </c>
      <c r="BJ213" t="s">
        <v>2246</v>
      </c>
      <c r="BK213" t="s">
        <v>2247</v>
      </c>
      <c r="BL213" t="s">
        <v>2248</v>
      </c>
      <c r="BM213" t="s">
        <v>2249</v>
      </c>
      <c r="BN213" t="s">
        <v>2544</v>
      </c>
      <c r="BO213" t="s">
        <v>2251</v>
      </c>
      <c r="BP213" t="s">
        <v>2545</v>
      </c>
      <c r="BQ213" t="s">
        <v>2546</v>
      </c>
      <c r="BR213" t="s">
        <v>2254</v>
      </c>
      <c r="BS213" t="s">
        <v>2547</v>
      </c>
      <c r="BT213" t="s">
        <v>2548</v>
      </c>
      <c r="BU213" t="s">
        <v>2549</v>
      </c>
      <c r="BW213" t="s">
        <v>2258</v>
      </c>
      <c r="BX213" t="s">
        <v>2550</v>
      </c>
      <c r="BY213" t="s">
        <v>2551</v>
      </c>
      <c r="BZ213" t="s">
        <v>2261</v>
      </c>
      <c r="CA213" t="s">
        <v>2262</v>
      </c>
    </row>
    <row r="214" spans="1:79" x14ac:dyDescent="0.3">
      <c r="A214">
        <v>962</v>
      </c>
      <c r="B214" t="s">
        <v>933</v>
      </c>
      <c r="D214" t="s">
        <v>938</v>
      </c>
      <c r="E214" t="s">
        <v>934</v>
      </c>
      <c r="G214" t="s">
        <v>934</v>
      </c>
      <c r="H214" t="s">
        <v>934</v>
      </c>
      <c r="I214" t="s">
        <v>935</v>
      </c>
      <c r="J214" t="s">
        <v>936</v>
      </c>
      <c r="K214" t="s">
        <v>935</v>
      </c>
      <c r="L214" t="s">
        <v>934</v>
      </c>
      <c r="N214" t="s">
        <v>935</v>
      </c>
      <c r="P214" t="s">
        <v>934</v>
      </c>
      <c r="Q214" t="s">
        <v>934</v>
      </c>
      <c r="R214" t="s">
        <v>2263</v>
      </c>
      <c r="S214" t="s">
        <v>934</v>
      </c>
      <c r="T214" t="s">
        <v>935</v>
      </c>
      <c r="U214" t="s">
        <v>1914</v>
      </c>
      <c r="V214" t="s">
        <v>937</v>
      </c>
      <c r="W214" t="s">
        <v>934</v>
      </c>
      <c r="X214" t="s">
        <v>934</v>
      </c>
      <c r="Y214" t="s">
        <v>2265</v>
      </c>
      <c r="Z214" t="s">
        <v>935</v>
      </c>
      <c r="AB214" t="s">
        <v>935</v>
      </c>
      <c r="AC214" t="s">
        <v>935</v>
      </c>
      <c r="AD214" t="s">
        <v>2552</v>
      </c>
      <c r="AE214" t="s">
        <v>934</v>
      </c>
      <c r="AF214" t="s">
        <v>935</v>
      </c>
      <c r="AG214" t="s">
        <v>936</v>
      </c>
      <c r="AH214" t="s">
        <v>937</v>
      </c>
      <c r="AI214" t="s">
        <v>935</v>
      </c>
      <c r="AJ214" t="s">
        <v>935</v>
      </c>
      <c r="AK214" t="s">
        <v>937</v>
      </c>
      <c r="AL214" t="s">
        <v>935</v>
      </c>
      <c r="AM214" t="s">
        <v>935</v>
      </c>
      <c r="AN214" t="s">
        <v>935</v>
      </c>
      <c r="AP214" t="s">
        <v>2553</v>
      </c>
      <c r="AQ214" t="s">
        <v>934</v>
      </c>
      <c r="AR214" t="s">
        <v>1978</v>
      </c>
      <c r="AT214" t="s">
        <v>935</v>
      </c>
      <c r="AU214" t="s">
        <v>934</v>
      </c>
      <c r="AV214" t="s">
        <v>937</v>
      </c>
      <c r="AX214" t="s">
        <v>934</v>
      </c>
      <c r="AY214" t="s">
        <v>935</v>
      </c>
      <c r="BA214" t="s">
        <v>2268</v>
      </c>
      <c r="BB214" t="s">
        <v>934</v>
      </c>
      <c r="BD214" t="s">
        <v>935</v>
      </c>
      <c r="BE214" t="s">
        <v>2554</v>
      </c>
      <c r="BH214" t="s">
        <v>935</v>
      </c>
      <c r="BI214" t="s">
        <v>1551</v>
      </c>
      <c r="BJ214" t="s">
        <v>935</v>
      </c>
      <c r="BK214" t="s">
        <v>935</v>
      </c>
      <c r="BL214" t="s">
        <v>935</v>
      </c>
      <c r="BM214" t="s">
        <v>935</v>
      </c>
      <c r="BN214" t="s">
        <v>934</v>
      </c>
      <c r="BO214" t="s">
        <v>2270</v>
      </c>
      <c r="BP214" t="s">
        <v>1552</v>
      </c>
      <c r="BQ214" t="s">
        <v>935</v>
      </c>
      <c r="BR214" t="s">
        <v>935</v>
      </c>
      <c r="BS214" t="s">
        <v>934</v>
      </c>
      <c r="BT214" t="s">
        <v>935</v>
      </c>
      <c r="BU214" t="s">
        <v>935</v>
      </c>
      <c r="BW214" t="s">
        <v>935</v>
      </c>
      <c r="BX214" t="s">
        <v>935</v>
      </c>
      <c r="BY214" t="s">
        <v>2271</v>
      </c>
      <c r="BZ214" t="s">
        <v>934</v>
      </c>
      <c r="CA214" t="s">
        <v>935</v>
      </c>
    </row>
    <row r="215" spans="1:79" x14ac:dyDescent="0.3">
      <c r="A215">
        <v>964</v>
      </c>
      <c r="B215" t="s">
        <v>939</v>
      </c>
      <c r="D215" t="s">
        <v>2555</v>
      </c>
      <c r="E215" t="s">
        <v>2030</v>
      </c>
      <c r="G215" t="s">
        <v>2556</v>
      </c>
      <c r="H215" t="s">
        <v>2557</v>
      </c>
      <c r="I215" t="s">
        <v>2558</v>
      </c>
      <c r="J215" t="s">
        <v>1916</v>
      </c>
      <c r="K215" t="s">
        <v>2559</v>
      </c>
      <c r="L215" t="s">
        <v>1992</v>
      </c>
      <c r="N215" t="s">
        <v>1993</v>
      </c>
      <c r="P215" t="s">
        <v>1984</v>
      </c>
      <c r="Q215" t="s">
        <v>2446</v>
      </c>
      <c r="R215" t="s">
        <v>2526</v>
      </c>
      <c r="S215" t="s">
        <v>2446</v>
      </c>
      <c r="T215" t="s">
        <v>1985</v>
      </c>
      <c r="U215" t="s">
        <v>2560</v>
      </c>
      <c r="V215" t="s">
        <v>2561</v>
      </c>
      <c r="W215" t="s">
        <v>2562</v>
      </c>
      <c r="X215" t="s">
        <v>1991</v>
      </c>
      <c r="Y215" t="s">
        <v>1981</v>
      </c>
      <c r="Z215" t="s">
        <v>1986</v>
      </c>
      <c r="AB215" t="s">
        <v>1981</v>
      </c>
      <c r="AC215" t="s">
        <v>2446</v>
      </c>
      <c r="AD215" t="s">
        <v>2563</v>
      </c>
      <c r="AE215" t="s">
        <v>2560</v>
      </c>
      <c r="AF215" t="s">
        <v>2564</v>
      </c>
      <c r="AG215" t="s">
        <v>2565</v>
      </c>
      <c r="AH215" t="s">
        <v>2566</v>
      </c>
      <c r="AI215" t="s">
        <v>2567</v>
      </c>
      <c r="AJ215" t="s">
        <v>2568</v>
      </c>
      <c r="AK215" t="s">
        <v>2569</v>
      </c>
      <c r="AL215" t="s">
        <v>2570</v>
      </c>
      <c r="AM215" t="s">
        <v>2446</v>
      </c>
      <c r="AN215" t="s">
        <v>2564</v>
      </c>
      <c r="AP215" t="s">
        <v>2571</v>
      </c>
      <c r="AQ215" t="s">
        <v>2562</v>
      </c>
      <c r="AR215" t="s">
        <v>2526</v>
      </c>
      <c r="AT215" t="s">
        <v>2572</v>
      </c>
      <c r="AU215" t="s">
        <v>2031</v>
      </c>
      <c r="AV215" t="s">
        <v>1989</v>
      </c>
      <c r="AX215" t="s">
        <v>2033</v>
      </c>
      <c r="AY215" t="s">
        <v>1973</v>
      </c>
      <c r="BA215" t="s">
        <v>1986</v>
      </c>
      <c r="BB215" t="s">
        <v>2556</v>
      </c>
      <c r="BD215" t="s">
        <v>2573</v>
      </c>
      <c r="BE215" t="s">
        <v>2034</v>
      </c>
      <c r="BH215" t="s">
        <v>2574</v>
      </c>
      <c r="BI215" t="s">
        <v>2575</v>
      </c>
      <c r="BJ215" t="s">
        <v>1985</v>
      </c>
      <c r="BK215" t="s">
        <v>1991</v>
      </c>
      <c r="BL215" t="s">
        <v>2576</v>
      </c>
      <c r="BM215" t="s">
        <v>2030</v>
      </c>
      <c r="BN215" t="s">
        <v>1986</v>
      </c>
      <c r="BO215" t="s">
        <v>2030</v>
      </c>
      <c r="BP215" t="s">
        <v>1992</v>
      </c>
      <c r="BQ215" t="s">
        <v>1982</v>
      </c>
      <c r="BR215" t="s">
        <v>1985</v>
      </c>
      <c r="BS215" t="s">
        <v>2446</v>
      </c>
      <c r="BT215" t="s">
        <v>1994</v>
      </c>
      <c r="BU215" t="s">
        <v>2577</v>
      </c>
      <c r="BW215" t="s">
        <v>2031</v>
      </c>
      <c r="BX215" t="s">
        <v>2578</v>
      </c>
      <c r="BY215" t="s">
        <v>2579</v>
      </c>
      <c r="BZ215" t="s">
        <v>1996</v>
      </c>
      <c r="CA215" t="s">
        <v>1985</v>
      </c>
    </row>
    <row r="216" spans="1:79" x14ac:dyDescent="0.3">
      <c r="A216">
        <v>966</v>
      </c>
      <c r="B216" t="s">
        <v>940</v>
      </c>
      <c r="D216" t="s">
        <v>2293</v>
      </c>
      <c r="E216" t="s">
        <v>2294</v>
      </c>
      <c r="G216" t="s">
        <v>2296</v>
      </c>
      <c r="H216" t="s">
        <v>2580</v>
      </c>
      <c r="I216" t="s">
        <v>2298</v>
      </c>
      <c r="K216" t="s">
        <v>2299</v>
      </c>
      <c r="L216" t="s">
        <v>2300</v>
      </c>
      <c r="N216" t="s">
        <v>2302</v>
      </c>
      <c r="P216" t="s">
        <v>2303</v>
      </c>
      <c r="Q216" t="s">
        <v>2581</v>
      </c>
      <c r="R216" t="s">
        <v>2305</v>
      </c>
      <c r="S216" t="s">
        <v>2306</v>
      </c>
      <c r="T216" t="s">
        <v>2307</v>
      </c>
      <c r="U216" t="s">
        <v>2308</v>
      </c>
      <c r="W216" t="s">
        <v>2310</v>
      </c>
      <c r="X216" t="s">
        <v>2311</v>
      </c>
      <c r="Y216" t="s">
        <v>2312</v>
      </c>
      <c r="Z216" t="s">
        <v>2313</v>
      </c>
      <c r="AB216" t="s">
        <v>2315</v>
      </c>
      <c r="AC216" t="s">
        <v>2316</v>
      </c>
      <c r="AD216" t="s">
        <v>2317</v>
      </c>
      <c r="AE216" t="s">
        <v>2318</v>
      </c>
      <c r="AF216" t="s">
        <v>2582</v>
      </c>
      <c r="AG216" t="s">
        <v>2320</v>
      </c>
      <c r="AH216" t="s">
        <v>2321</v>
      </c>
      <c r="AI216" t="s">
        <v>2322</v>
      </c>
      <c r="AJ216" t="s">
        <v>2323</v>
      </c>
      <c r="AK216" t="s">
        <v>2324</v>
      </c>
      <c r="AL216" t="s">
        <v>2325</v>
      </c>
      <c r="AM216" t="s">
        <v>2326</v>
      </c>
      <c r="AN216" t="s">
        <v>2327</v>
      </c>
      <c r="AP216" t="s">
        <v>2328</v>
      </c>
      <c r="AQ216" t="s">
        <v>2329</v>
      </c>
      <c r="AR216" t="s">
        <v>2330</v>
      </c>
      <c r="AT216" t="s">
        <v>2332</v>
      </c>
      <c r="AU216" t="s">
        <v>2333</v>
      </c>
      <c r="AV216" t="s">
        <v>2334</v>
      </c>
      <c r="AX216" t="s">
        <v>2335</v>
      </c>
      <c r="AY216" t="s">
        <v>2583</v>
      </c>
      <c r="BA216" t="s">
        <v>2338</v>
      </c>
      <c r="BB216" t="s">
        <v>2339</v>
      </c>
      <c r="BD216" t="s">
        <v>2341</v>
      </c>
      <c r="BE216" t="s">
        <v>2584</v>
      </c>
      <c r="BH216" t="s">
        <v>2343</v>
      </c>
      <c r="BI216" t="s">
        <v>2344</v>
      </c>
      <c r="BJ216" t="s">
        <v>2345</v>
      </c>
      <c r="BK216" t="s">
        <v>2346</v>
      </c>
      <c r="BL216" t="s">
        <v>2347</v>
      </c>
      <c r="BM216" t="s">
        <v>2348</v>
      </c>
      <c r="BN216" t="s">
        <v>2585</v>
      </c>
      <c r="BO216" t="s">
        <v>2350</v>
      </c>
      <c r="BP216" t="s">
        <v>2351</v>
      </c>
      <c r="BQ216" t="s">
        <v>2586</v>
      </c>
      <c r="BR216" t="s">
        <v>2353</v>
      </c>
      <c r="BS216" t="s">
        <v>2587</v>
      </c>
      <c r="BT216" t="s">
        <v>2355</v>
      </c>
      <c r="BU216" t="s">
        <v>2356</v>
      </c>
      <c r="BW216" t="s">
        <v>2358</v>
      </c>
      <c r="BX216" t="s">
        <v>2359</v>
      </c>
      <c r="BY216" t="s">
        <v>2360</v>
      </c>
      <c r="BZ216" t="s">
        <v>2361</v>
      </c>
      <c r="CA216" t="s">
        <v>2362</v>
      </c>
    </row>
    <row r="217" spans="1:79" x14ac:dyDescent="0.3">
      <c r="A217">
        <v>968</v>
      </c>
      <c r="B217" t="s">
        <v>941</v>
      </c>
      <c r="D217" t="s">
        <v>2363</v>
      </c>
      <c r="E217" t="s">
        <v>2364</v>
      </c>
      <c r="G217" t="s">
        <v>2366</v>
      </c>
      <c r="H217" t="s">
        <v>2588</v>
      </c>
      <c r="I217" t="s">
        <v>2368</v>
      </c>
      <c r="J217" t="s">
        <v>2589</v>
      </c>
      <c r="K217" t="s">
        <v>2590</v>
      </c>
      <c r="L217" t="s">
        <v>2371</v>
      </c>
      <c r="N217" t="s">
        <v>2373</v>
      </c>
      <c r="P217" t="s">
        <v>2374</v>
      </c>
      <c r="Q217" t="s">
        <v>2591</v>
      </c>
      <c r="R217" t="s">
        <v>2376</v>
      </c>
      <c r="S217" t="s">
        <v>2377</v>
      </c>
      <c r="T217" t="s">
        <v>2378</v>
      </c>
      <c r="U217" t="s">
        <v>2592</v>
      </c>
      <c r="V217" t="s">
        <v>2380</v>
      </c>
      <c r="W217" t="s">
        <v>2593</v>
      </c>
      <c r="X217" t="s">
        <v>2382</v>
      </c>
      <c r="Y217" t="s">
        <v>2383</v>
      </c>
      <c r="Z217" t="s">
        <v>2594</v>
      </c>
      <c r="AB217" t="s">
        <v>2386</v>
      </c>
      <c r="AC217" t="s">
        <v>2387</v>
      </c>
      <c r="AD217" t="s">
        <v>2388</v>
      </c>
      <c r="AE217" t="s">
        <v>2595</v>
      </c>
      <c r="AF217" t="s">
        <v>2390</v>
      </c>
      <c r="AG217" t="s">
        <v>2391</v>
      </c>
      <c r="AH217" t="s">
        <v>2392</v>
      </c>
      <c r="AI217" t="s">
        <v>2596</v>
      </c>
      <c r="AJ217" t="s">
        <v>2394</v>
      </c>
      <c r="AK217" t="s">
        <v>2395</v>
      </c>
      <c r="AL217" t="s">
        <v>2396</v>
      </c>
      <c r="AM217" t="s">
        <v>2397</v>
      </c>
      <c r="AN217" t="s">
        <v>2398</v>
      </c>
      <c r="AP217" t="s">
        <v>2399</v>
      </c>
      <c r="AQ217" t="s">
        <v>2400</v>
      </c>
      <c r="AR217" t="s">
        <v>2597</v>
      </c>
      <c r="AT217" t="s">
        <v>2403</v>
      </c>
      <c r="AU217" t="s">
        <v>2598</v>
      </c>
      <c r="AV217" t="s">
        <v>2405</v>
      </c>
      <c r="AX217" t="s">
        <v>2406</v>
      </c>
      <c r="AY217" t="s">
        <v>2599</v>
      </c>
      <c r="BA217" t="s">
        <v>2409</v>
      </c>
      <c r="BB217" t="s">
        <v>2410</v>
      </c>
      <c r="BD217" t="s">
        <v>2412</v>
      </c>
      <c r="BE217" t="s">
        <v>2600</v>
      </c>
      <c r="BH217" t="s">
        <v>2414</v>
      </c>
      <c r="BI217" t="s">
        <v>2601</v>
      </c>
      <c r="BJ217" t="s">
        <v>2602</v>
      </c>
      <c r="BK217" t="s">
        <v>2417</v>
      </c>
      <c r="BL217" t="s">
        <v>2418</v>
      </c>
      <c r="BM217" t="s">
        <v>2419</v>
      </c>
      <c r="BN217" t="s">
        <v>2603</v>
      </c>
      <c r="BO217" t="s">
        <v>2421</v>
      </c>
      <c r="BP217" t="s">
        <v>2604</v>
      </c>
      <c r="BQ217" t="s">
        <v>2605</v>
      </c>
      <c r="BR217" t="s">
        <v>2606</v>
      </c>
      <c r="BS217" t="s">
        <v>2425</v>
      </c>
      <c r="BT217" t="s">
        <v>2607</v>
      </c>
      <c r="BU217" t="s">
        <v>2608</v>
      </c>
      <c r="BW217" t="s">
        <v>2428</v>
      </c>
      <c r="BX217" t="s">
        <v>2609</v>
      </c>
      <c r="BY217" t="s">
        <v>2430</v>
      </c>
      <c r="BZ217" t="s">
        <v>2431</v>
      </c>
      <c r="CA217" t="s">
        <v>2432</v>
      </c>
    </row>
    <row r="218" spans="1:79" x14ac:dyDescent="0.3">
      <c r="A218">
        <v>973</v>
      </c>
      <c r="B218" t="s">
        <v>1998</v>
      </c>
      <c r="D218">
        <v>0</v>
      </c>
      <c r="E218">
        <v>0</v>
      </c>
      <c r="G218">
        <v>0</v>
      </c>
      <c r="H218">
        <v>0</v>
      </c>
      <c r="I218">
        <v>0</v>
      </c>
      <c r="J218">
        <v>0</v>
      </c>
      <c r="K218">
        <v>0</v>
      </c>
      <c r="L218">
        <v>0</v>
      </c>
      <c r="N218">
        <v>0</v>
      </c>
      <c r="P218">
        <v>0</v>
      </c>
      <c r="Q218">
        <v>0</v>
      </c>
      <c r="R218">
        <v>0</v>
      </c>
      <c r="S218">
        <v>0</v>
      </c>
      <c r="T218">
        <v>0</v>
      </c>
      <c r="U218">
        <v>0</v>
      </c>
      <c r="V218">
        <v>0</v>
      </c>
      <c r="W218">
        <v>0</v>
      </c>
      <c r="X218">
        <v>0</v>
      </c>
      <c r="Y218">
        <v>0</v>
      </c>
      <c r="Z218">
        <v>0</v>
      </c>
      <c r="AB218">
        <v>0</v>
      </c>
      <c r="AC218">
        <v>0</v>
      </c>
      <c r="AD218">
        <v>0</v>
      </c>
      <c r="AE218">
        <v>0</v>
      </c>
      <c r="AF218">
        <v>0</v>
      </c>
      <c r="AG218">
        <v>0</v>
      </c>
      <c r="AH218">
        <v>0</v>
      </c>
      <c r="AI218">
        <v>0</v>
      </c>
      <c r="AJ218">
        <v>0</v>
      </c>
      <c r="AK218">
        <v>0</v>
      </c>
      <c r="AL218">
        <v>0</v>
      </c>
      <c r="AM218">
        <v>0</v>
      </c>
      <c r="AN218">
        <v>0</v>
      </c>
      <c r="AP218">
        <v>0</v>
      </c>
      <c r="AQ218">
        <v>0</v>
      </c>
      <c r="AR218">
        <v>0</v>
      </c>
      <c r="AT218">
        <v>0</v>
      </c>
      <c r="AU218">
        <v>0</v>
      </c>
      <c r="AV218">
        <v>0</v>
      </c>
      <c r="AX218">
        <v>0</v>
      </c>
      <c r="AY218">
        <v>0</v>
      </c>
      <c r="BA218">
        <v>0</v>
      </c>
      <c r="BB218">
        <v>0</v>
      </c>
      <c r="BD218">
        <v>0</v>
      </c>
      <c r="BE218">
        <v>0</v>
      </c>
      <c r="BH218">
        <v>0</v>
      </c>
      <c r="BI218">
        <v>0</v>
      </c>
      <c r="BJ218">
        <v>0</v>
      </c>
      <c r="BK218">
        <v>0</v>
      </c>
      <c r="BL218">
        <v>0</v>
      </c>
      <c r="BM218">
        <v>0</v>
      </c>
      <c r="BN218">
        <v>0</v>
      </c>
      <c r="BO218">
        <v>0</v>
      </c>
      <c r="BP218">
        <v>0</v>
      </c>
      <c r="BQ218">
        <v>0</v>
      </c>
      <c r="BR218">
        <v>0</v>
      </c>
      <c r="BS218">
        <v>0</v>
      </c>
      <c r="BT218">
        <v>0</v>
      </c>
      <c r="BU218">
        <v>0</v>
      </c>
      <c r="BW218">
        <v>0</v>
      </c>
      <c r="BX218">
        <v>0</v>
      </c>
      <c r="BY218">
        <v>1</v>
      </c>
      <c r="BZ218">
        <v>0</v>
      </c>
      <c r="CA218">
        <v>0</v>
      </c>
    </row>
    <row r="219" spans="1:79" x14ac:dyDescent="0.3">
      <c r="A219">
        <v>974</v>
      </c>
      <c r="B219" t="s">
        <v>942</v>
      </c>
      <c r="D219">
        <v>2</v>
      </c>
      <c r="E219">
        <v>2</v>
      </c>
      <c r="G219">
        <v>2</v>
      </c>
      <c r="H219">
        <v>3</v>
      </c>
      <c r="I219">
        <v>3</v>
      </c>
      <c r="J219">
        <v>2</v>
      </c>
      <c r="K219">
        <v>2</v>
      </c>
      <c r="L219">
        <v>2</v>
      </c>
      <c r="N219">
        <v>2</v>
      </c>
      <c r="P219">
        <v>2</v>
      </c>
      <c r="Q219">
        <v>2</v>
      </c>
      <c r="R219">
        <v>2</v>
      </c>
      <c r="S219">
        <v>2</v>
      </c>
      <c r="T219">
        <v>3</v>
      </c>
      <c r="U219">
        <v>2</v>
      </c>
      <c r="V219">
        <v>3</v>
      </c>
      <c r="W219">
        <v>3</v>
      </c>
      <c r="X219">
        <v>2</v>
      </c>
      <c r="Y219">
        <v>2</v>
      </c>
      <c r="Z219">
        <v>2</v>
      </c>
      <c r="AB219">
        <v>3</v>
      </c>
      <c r="AC219">
        <v>2</v>
      </c>
      <c r="AD219">
        <v>3</v>
      </c>
      <c r="AE219">
        <v>2</v>
      </c>
      <c r="AF219">
        <v>3</v>
      </c>
      <c r="AG219">
        <v>3</v>
      </c>
      <c r="AH219">
        <v>3</v>
      </c>
      <c r="AI219">
        <v>3</v>
      </c>
      <c r="AJ219">
        <v>2</v>
      </c>
      <c r="AK219">
        <v>3</v>
      </c>
      <c r="AL219">
        <v>3</v>
      </c>
      <c r="AM219">
        <v>3</v>
      </c>
      <c r="AN219">
        <v>2</v>
      </c>
      <c r="AP219">
        <v>2</v>
      </c>
      <c r="AQ219">
        <v>2</v>
      </c>
      <c r="AR219">
        <v>2</v>
      </c>
      <c r="AT219">
        <v>2</v>
      </c>
      <c r="AU219">
        <v>2</v>
      </c>
      <c r="AV219">
        <v>2</v>
      </c>
      <c r="AX219">
        <v>3</v>
      </c>
      <c r="AY219">
        <v>2</v>
      </c>
      <c r="BA219">
        <v>3</v>
      </c>
      <c r="BB219">
        <v>2</v>
      </c>
      <c r="BD219">
        <v>3</v>
      </c>
      <c r="BE219">
        <v>2</v>
      </c>
      <c r="BH219">
        <v>2</v>
      </c>
      <c r="BI219">
        <v>2</v>
      </c>
      <c r="BJ219">
        <v>2</v>
      </c>
      <c r="BK219">
        <v>2</v>
      </c>
      <c r="BL219">
        <v>2</v>
      </c>
      <c r="BM219">
        <v>2</v>
      </c>
      <c r="BN219">
        <v>2</v>
      </c>
      <c r="BO219">
        <v>2</v>
      </c>
      <c r="BP219">
        <v>2</v>
      </c>
      <c r="BQ219">
        <v>3</v>
      </c>
      <c r="BR219">
        <v>3</v>
      </c>
      <c r="BS219">
        <v>2</v>
      </c>
      <c r="BT219">
        <v>3</v>
      </c>
      <c r="BU219">
        <v>2</v>
      </c>
      <c r="BW219">
        <v>3</v>
      </c>
      <c r="BX219">
        <v>2</v>
      </c>
      <c r="BY219">
        <v>3</v>
      </c>
      <c r="BZ219">
        <v>2</v>
      </c>
      <c r="CA219">
        <v>2</v>
      </c>
    </row>
    <row r="220" spans="1:79" x14ac:dyDescent="0.3">
      <c r="A220">
        <v>975</v>
      </c>
      <c r="B220" t="s">
        <v>1882</v>
      </c>
      <c r="D220">
        <v>2</v>
      </c>
      <c r="E220">
        <v>2</v>
      </c>
      <c r="G220">
        <v>1</v>
      </c>
      <c r="H220">
        <v>1</v>
      </c>
      <c r="I220">
        <v>1</v>
      </c>
      <c r="J220">
        <v>1</v>
      </c>
      <c r="K220">
        <v>2</v>
      </c>
      <c r="L220">
        <v>1</v>
      </c>
      <c r="N220">
        <v>1</v>
      </c>
      <c r="P220">
        <v>1</v>
      </c>
      <c r="Q220">
        <v>1</v>
      </c>
      <c r="R220">
        <v>1</v>
      </c>
      <c r="S220">
        <v>1</v>
      </c>
      <c r="T220">
        <v>1</v>
      </c>
      <c r="U220">
        <v>2</v>
      </c>
      <c r="V220">
        <v>1</v>
      </c>
      <c r="W220">
        <v>2</v>
      </c>
      <c r="X220">
        <v>2</v>
      </c>
      <c r="Y220">
        <v>2</v>
      </c>
      <c r="Z220">
        <v>1</v>
      </c>
      <c r="AB220">
        <v>2</v>
      </c>
      <c r="AC220">
        <v>1</v>
      </c>
      <c r="AD220">
        <v>1</v>
      </c>
      <c r="AE220">
        <v>1</v>
      </c>
      <c r="AF220">
        <v>1</v>
      </c>
      <c r="AG220">
        <v>1</v>
      </c>
      <c r="AH220">
        <v>2</v>
      </c>
      <c r="AI220">
        <v>1</v>
      </c>
      <c r="AJ220">
        <v>1</v>
      </c>
      <c r="AK220">
        <v>1</v>
      </c>
      <c r="AL220">
        <v>1</v>
      </c>
      <c r="AM220">
        <v>1</v>
      </c>
      <c r="AN220">
        <v>2</v>
      </c>
      <c r="AP220">
        <v>2</v>
      </c>
      <c r="AQ220">
        <v>1</v>
      </c>
      <c r="AR220">
        <v>1</v>
      </c>
      <c r="AT220">
        <v>1</v>
      </c>
      <c r="AU220">
        <v>1</v>
      </c>
      <c r="AV220">
        <v>1</v>
      </c>
      <c r="AX220">
        <v>2</v>
      </c>
      <c r="AY220">
        <v>1</v>
      </c>
      <c r="BA220">
        <v>1</v>
      </c>
      <c r="BB220">
        <v>1</v>
      </c>
      <c r="BD220">
        <v>1</v>
      </c>
      <c r="BE220">
        <v>1</v>
      </c>
      <c r="BH220">
        <v>1</v>
      </c>
      <c r="BI220">
        <v>1</v>
      </c>
      <c r="BJ220">
        <v>1</v>
      </c>
      <c r="BK220">
        <v>1</v>
      </c>
      <c r="BL220">
        <v>1</v>
      </c>
      <c r="BM220">
        <v>2</v>
      </c>
      <c r="BN220">
        <v>1</v>
      </c>
      <c r="BO220">
        <v>1</v>
      </c>
      <c r="BP220">
        <v>1</v>
      </c>
      <c r="BQ220">
        <v>2</v>
      </c>
      <c r="BR220">
        <v>2</v>
      </c>
      <c r="BS220">
        <v>2</v>
      </c>
      <c r="BT220">
        <v>1</v>
      </c>
      <c r="BU220">
        <v>1</v>
      </c>
      <c r="BW220">
        <v>2</v>
      </c>
      <c r="BX220">
        <v>1</v>
      </c>
      <c r="BY220">
        <v>1</v>
      </c>
      <c r="BZ220">
        <v>1</v>
      </c>
      <c r="CA220">
        <v>1</v>
      </c>
    </row>
    <row r="221" spans="1:79" x14ac:dyDescent="0.3">
      <c r="A221">
        <v>980</v>
      </c>
      <c r="B221" t="s">
        <v>583</v>
      </c>
      <c r="D221" t="s">
        <v>2002</v>
      </c>
      <c r="E221" t="s">
        <v>2001</v>
      </c>
      <c r="G221" t="s">
        <v>2610</v>
      </c>
      <c r="H221" t="s">
        <v>2611</v>
      </c>
      <c r="I221" t="s">
        <v>2612</v>
      </c>
      <c r="J221" t="s">
        <v>2613</v>
      </c>
      <c r="K221" t="s">
        <v>2002</v>
      </c>
      <c r="L221" t="s">
        <v>1984</v>
      </c>
      <c r="N221" t="s">
        <v>2000</v>
      </c>
      <c r="P221" t="s">
        <v>2614</v>
      </c>
      <c r="Q221" t="s">
        <v>2561</v>
      </c>
      <c r="R221" t="s">
        <v>2615</v>
      </c>
      <c r="S221" t="s">
        <v>2001</v>
      </c>
      <c r="T221" t="s">
        <v>1984</v>
      </c>
      <c r="U221" t="s">
        <v>1972</v>
      </c>
      <c r="V221" t="s">
        <v>2616</v>
      </c>
      <c r="W221" t="s">
        <v>2030</v>
      </c>
      <c r="X221" t="s">
        <v>2002</v>
      </c>
      <c r="Y221" t="s">
        <v>2002</v>
      </c>
      <c r="Z221" t="s">
        <v>2437</v>
      </c>
      <c r="AB221" t="s">
        <v>2002</v>
      </c>
      <c r="AC221" t="s">
        <v>2033</v>
      </c>
      <c r="AD221" t="s">
        <v>1971</v>
      </c>
      <c r="AE221" t="s">
        <v>2617</v>
      </c>
      <c r="AF221" t="s">
        <v>1996</v>
      </c>
      <c r="AG221" t="s">
        <v>2032</v>
      </c>
      <c r="AH221" t="s">
        <v>2002</v>
      </c>
      <c r="AI221" t="s">
        <v>2567</v>
      </c>
      <c r="AJ221" t="s">
        <v>2567</v>
      </c>
      <c r="AK221" t="s">
        <v>2618</v>
      </c>
      <c r="AL221" t="s">
        <v>1993</v>
      </c>
      <c r="AM221" t="s">
        <v>1977</v>
      </c>
      <c r="AN221" t="s">
        <v>2566</v>
      </c>
      <c r="AP221" t="s">
        <v>2002</v>
      </c>
      <c r="AQ221" t="s">
        <v>1991</v>
      </c>
      <c r="AR221" t="s">
        <v>2615</v>
      </c>
      <c r="AT221" t="s">
        <v>2619</v>
      </c>
      <c r="AU221" t="s">
        <v>1997</v>
      </c>
      <c r="AV221" t="s">
        <v>2620</v>
      </c>
      <c r="AX221" t="s">
        <v>2002</v>
      </c>
      <c r="AY221" t="s">
        <v>2612</v>
      </c>
      <c r="BA221" t="s">
        <v>2621</v>
      </c>
      <c r="BB221" t="s">
        <v>2003</v>
      </c>
      <c r="BD221" t="s">
        <v>2622</v>
      </c>
      <c r="BE221" t="s">
        <v>2615</v>
      </c>
      <c r="BH221" t="s">
        <v>1999</v>
      </c>
      <c r="BI221" t="s">
        <v>2623</v>
      </c>
      <c r="BJ221" t="s">
        <v>2004</v>
      </c>
      <c r="BK221" t="s">
        <v>2003</v>
      </c>
      <c r="BL221" t="s">
        <v>1987</v>
      </c>
      <c r="BM221" t="s">
        <v>2002</v>
      </c>
      <c r="BN221" t="s">
        <v>1986</v>
      </c>
      <c r="BO221" t="s">
        <v>1984</v>
      </c>
      <c r="BP221" t="s">
        <v>2000</v>
      </c>
      <c r="BQ221" t="s">
        <v>2624</v>
      </c>
      <c r="BR221" t="s">
        <v>2001</v>
      </c>
      <c r="BS221" t="s">
        <v>2002</v>
      </c>
      <c r="BT221" t="s">
        <v>2614</v>
      </c>
      <c r="BU221" t="s">
        <v>1984</v>
      </c>
      <c r="BW221" t="s">
        <v>2002</v>
      </c>
      <c r="BX221" t="s">
        <v>2625</v>
      </c>
      <c r="BY221" t="s">
        <v>2445</v>
      </c>
      <c r="BZ221" t="s">
        <v>1984</v>
      </c>
      <c r="CA221" t="s">
        <v>2033</v>
      </c>
    </row>
    <row r="222" spans="1:79" x14ac:dyDescent="0.3">
      <c r="A222">
        <v>984</v>
      </c>
      <c r="B222" t="s">
        <v>944</v>
      </c>
      <c r="D222">
        <v>1440358</v>
      </c>
      <c r="E222">
        <v>11046582</v>
      </c>
      <c r="G222">
        <v>27751173</v>
      </c>
      <c r="H222">
        <v>3050224</v>
      </c>
      <c r="I222">
        <v>139463</v>
      </c>
      <c r="J222">
        <v>756194</v>
      </c>
      <c r="K222">
        <v>969542</v>
      </c>
      <c r="L222">
        <v>36224405</v>
      </c>
      <c r="N222">
        <v>385058</v>
      </c>
      <c r="P222">
        <v>22586182</v>
      </c>
      <c r="Q222">
        <v>10347716</v>
      </c>
      <c r="R222">
        <v>3613190</v>
      </c>
      <c r="S222">
        <v>7889224</v>
      </c>
      <c r="T222">
        <v>122147</v>
      </c>
      <c r="U222">
        <v>11486476</v>
      </c>
      <c r="V222">
        <v>8821</v>
      </c>
      <c r="W222">
        <v>5118146</v>
      </c>
      <c r="X222">
        <v>11592338</v>
      </c>
      <c r="Y222">
        <v>3393642</v>
      </c>
      <c r="Z222">
        <v>756604</v>
      </c>
      <c r="AB222">
        <v>790355</v>
      </c>
      <c r="AC222">
        <v>259825</v>
      </c>
      <c r="AD222">
        <v>589636</v>
      </c>
      <c r="AE222">
        <v>1950458</v>
      </c>
      <c r="AF222">
        <v>43168</v>
      </c>
      <c r="AG222">
        <v>10020</v>
      </c>
      <c r="AH222">
        <v>45563</v>
      </c>
      <c r="AI222">
        <v>2005373</v>
      </c>
      <c r="AJ222">
        <v>3551589</v>
      </c>
      <c r="AK222">
        <v>85378</v>
      </c>
      <c r="AL222">
        <v>12151</v>
      </c>
      <c r="AM222">
        <v>10715480</v>
      </c>
      <c r="AN222">
        <v>10328616</v>
      </c>
      <c r="AP222">
        <v>3018075</v>
      </c>
      <c r="AQ222">
        <v>11937529</v>
      </c>
      <c r="AR222">
        <v>1342701</v>
      </c>
      <c r="AT222">
        <v>3011700</v>
      </c>
      <c r="AU222">
        <v>5801889</v>
      </c>
      <c r="AV222">
        <v>32662</v>
      </c>
      <c r="AX222">
        <v>2486346</v>
      </c>
      <c r="AY222">
        <v>1907844</v>
      </c>
      <c r="BA222">
        <v>28665</v>
      </c>
      <c r="BB222">
        <v>1832155</v>
      </c>
      <c r="BD222">
        <v>34473</v>
      </c>
      <c r="BE222">
        <v>11284045</v>
      </c>
      <c r="BH222">
        <v>1797606</v>
      </c>
      <c r="BI222">
        <v>2095725</v>
      </c>
      <c r="BJ222">
        <v>203341</v>
      </c>
      <c r="BK222">
        <v>7217810</v>
      </c>
      <c r="BL222">
        <v>2367708</v>
      </c>
      <c r="BM222">
        <v>0</v>
      </c>
      <c r="BN222">
        <v>3332157</v>
      </c>
      <c r="BO222">
        <v>863416</v>
      </c>
      <c r="BP222">
        <v>642694</v>
      </c>
      <c r="BQ222">
        <v>1698054</v>
      </c>
      <c r="BR222">
        <v>1065323</v>
      </c>
      <c r="BS222">
        <v>16054120</v>
      </c>
      <c r="BT222">
        <v>848493</v>
      </c>
      <c r="BU222">
        <v>1869041</v>
      </c>
      <c r="BW222">
        <v>537944</v>
      </c>
      <c r="BX222">
        <v>1778</v>
      </c>
      <c r="BY222">
        <v>10505</v>
      </c>
      <c r="BZ222">
        <v>13691894</v>
      </c>
      <c r="CA222">
        <v>32990</v>
      </c>
    </row>
    <row r="223" spans="1:79" x14ac:dyDescent="0.3">
      <c r="A223">
        <v>985</v>
      </c>
      <c r="B223" t="s">
        <v>945</v>
      </c>
      <c r="D223">
        <v>1419816</v>
      </c>
      <c r="E223">
        <v>10385887</v>
      </c>
      <c r="G223">
        <v>27628308</v>
      </c>
      <c r="H223">
        <v>3060200</v>
      </c>
      <c r="I223">
        <v>136491</v>
      </c>
      <c r="J223">
        <v>635800</v>
      </c>
      <c r="K223">
        <v>963100</v>
      </c>
      <c r="L223">
        <v>35588732</v>
      </c>
      <c r="N223">
        <v>392132</v>
      </c>
      <c r="P223">
        <v>22094437</v>
      </c>
      <c r="Q223">
        <v>10143752</v>
      </c>
      <c r="R223">
        <v>3633865</v>
      </c>
      <c r="S223">
        <v>7260000</v>
      </c>
      <c r="T223">
        <v>98000</v>
      </c>
      <c r="U223">
        <v>11314050</v>
      </c>
      <c r="V223">
        <v>9000</v>
      </c>
      <c r="W223">
        <v>4974917</v>
      </c>
      <c r="X223">
        <v>11581824</v>
      </c>
      <c r="Y223">
        <v>3354500</v>
      </c>
      <c r="Z223">
        <v>705994</v>
      </c>
      <c r="AB223">
        <v>781903</v>
      </c>
      <c r="AC223">
        <v>240500</v>
      </c>
      <c r="AD223">
        <v>589000</v>
      </c>
      <c r="AE223">
        <v>1886725</v>
      </c>
      <c r="AF223">
        <v>48087</v>
      </c>
      <c r="AG223">
        <v>10200</v>
      </c>
      <c r="AH223">
        <v>46500</v>
      </c>
      <c r="AI223">
        <v>1920000</v>
      </c>
      <c r="AJ223">
        <v>3389190</v>
      </c>
      <c r="AK223">
        <v>82000</v>
      </c>
      <c r="AL223">
        <v>11300</v>
      </c>
      <c r="AM223">
        <v>11525000</v>
      </c>
      <c r="AN223">
        <v>9816900</v>
      </c>
      <c r="AP223">
        <v>2883926</v>
      </c>
      <c r="AQ223">
        <v>11730500</v>
      </c>
      <c r="AR223">
        <v>1332975</v>
      </c>
      <c r="AT223">
        <v>2928275</v>
      </c>
      <c r="AU223">
        <v>5813938</v>
      </c>
      <c r="AV223">
        <v>33400</v>
      </c>
      <c r="AX223">
        <v>2151657</v>
      </c>
      <c r="AY223">
        <v>1694000</v>
      </c>
      <c r="BA223">
        <v>26050</v>
      </c>
      <c r="BB223">
        <v>1769845</v>
      </c>
      <c r="BD223">
        <v>33000</v>
      </c>
      <c r="BE223">
        <v>10654320</v>
      </c>
      <c r="BH223">
        <v>1789500</v>
      </c>
      <c r="BI223">
        <v>2082944</v>
      </c>
      <c r="BJ223">
        <v>200150</v>
      </c>
      <c r="BK223">
        <v>7485644</v>
      </c>
      <c r="BL223">
        <v>2354069</v>
      </c>
      <c r="BM223">
        <v>0</v>
      </c>
      <c r="BN223">
        <v>3306632</v>
      </c>
      <c r="BO223">
        <v>748320</v>
      </c>
      <c r="BP223">
        <v>643417</v>
      </c>
      <c r="BQ223">
        <v>1330302</v>
      </c>
      <c r="BR223">
        <v>1050597</v>
      </c>
      <c r="BS223">
        <v>15530171</v>
      </c>
      <c r="BT223">
        <v>891040</v>
      </c>
      <c r="BU223">
        <v>1737010</v>
      </c>
      <c r="BW223">
        <v>537500</v>
      </c>
      <c r="BX223">
        <v>1600</v>
      </c>
      <c r="BY223">
        <v>10792</v>
      </c>
      <c r="BZ223">
        <v>13144770</v>
      </c>
      <c r="CA223">
        <v>30000</v>
      </c>
    </row>
    <row r="224" spans="1:79" x14ac:dyDescent="0.3">
      <c r="A224">
        <v>986</v>
      </c>
      <c r="B224" t="s">
        <v>584</v>
      </c>
      <c r="D224">
        <v>0</v>
      </c>
      <c r="E224">
        <v>0</v>
      </c>
      <c r="G224">
        <v>0</v>
      </c>
      <c r="H224">
        <v>0</v>
      </c>
      <c r="I224">
        <v>0</v>
      </c>
      <c r="J224">
        <v>0</v>
      </c>
      <c r="K224">
        <v>0</v>
      </c>
      <c r="L224">
        <v>0</v>
      </c>
      <c r="N224">
        <v>0</v>
      </c>
      <c r="P224">
        <v>0</v>
      </c>
      <c r="Q224">
        <v>0</v>
      </c>
      <c r="R224">
        <v>0</v>
      </c>
      <c r="S224">
        <v>0</v>
      </c>
      <c r="T224">
        <v>0</v>
      </c>
      <c r="U224">
        <v>0</v>
      </c>
      <c r="V224">
        <v>0</v>
      </c>
      <c r="W224">
        <v>0</v>
      </c>
      <c r="X224">
        <v>0</v>
      </c>
      <c r="Y224">
        <v>0</v>
      </c>
      <c r="Z224">
        <v>0</v>
      </c>
      <c r="AB224">
        <v>0</v>
      </c>
      <c r="AC224">
        <v>0</v>
      </c>
      <c r="AD224">
        <v>0</v>
      </c>
      <c r="AE224">
        <v>0</v>
      </c>
      <c r="AF224">
        <v>0</v>
      </c>
      <c r="AG224">
        <v>0</v>
      </c>
      <c r="AH224">
        <v>0</v>
      </c>
      <c r="AI224">
        <v>0</v>
      </c>
      <c r="AJ224">
        <v>0</v>
      </c>
      <c r="AK224">
        <v>0</v>
      </c>
      <c r="AL224">
        <v>0</v>
      </c>
      <c r="AM224">
        <v>0</v>
      </c>
      <c r="AN224">
        <v>0</v>
      </c>
      <c r="AP224">
        <v>0</v>
      </c>
      <c r="AQ224">
        <v>6226854</v>
      </c>
      <c r="AR224">
        <v>0</v>
      </c>
      <c r="AT224">
        <v>0</v>
      </c>
      <c r="AU224">
        <v>0</v>
      </c>
      <c r="AV224">
        <v>0</v>
      </c>
      <c r="AX224">
        <v>0</v>
      </c>
      <c r="AY224">
        <v>0</v>
      </c>
      <c r="BA224">
        <v>0</v>
      </c>
      <c r="BB224">
        <v>0</v>
      </c>
      <c r="BD224">
        <v>0</v>
      </c>
      <c r="BE224">
        <v>0</v>
      </c>
      <c r="BH224">
        <v>337546</v>
      </c>
      <c r="BI224">
        <v>0</v>
      </c>
      <c r="BJ224">
        <v>0</v>
      </c>
      <c r="BK224">
        <v>0</v>
      </c>
      <c r="BL224">
        <v>0</v>
      </c>
      <c r="BM224">
        <v>0</v>
      </c>
      <c r="BN224">
        <v>0</v>
      </c>
      <c r="BO224">
        <v>0</v>
      </c>
      <c r="BP224">
        <v>0</v>
      </c>
      <c r="BQ224">
        <v>0</v>
      </c>
      <c r="BR224">
        <v>0</v>
      </c>
      <c r="BS224">
        <v>0</v>
      </c>
      <c r="BT224">
        <v>0</v>
      </c>
      <c r="BU224">
        <v>0</v>
      </c>
      <c r="BW224">
        <v>0</v>
      </c>
      <c r="BX224">
        <v>0</v>
      </c>
      <c r="BY224">
        <v>0</v>
      </c>
      <c r="BZ224">
        <v>2016944</v>
      </c>
      <c r="CA224">
        <v>0</v>
      </c>
    </row>
    <row r="225" spans="1:79" x14ac:dyDescent="0.3">
      <c r="A225">
        <v>987</v>
      </c>
      <c r="B225" t="s">
        <v>946</v>
      </c>
      <c r="D225">
        <v>0</v>
      </c>
      <c r="E225">
        <v>0</v>
      </c>
      <c r="G225">
        <v>0</v>
      </c>
      <c r="H225">
        <v>0</v>
      </c>
      <c r="I225">
        <v>0</v>
      </c>
      <c r="J225">
        <v>0</v>
      </c>
      <c r="K225">
        <v>0</v>
      </c>
      <c r="L225">
        <v>0</v>
      </c>
      <c r="N225">
        <v>0</v>
      </c>
      <c r="P225">
        <v>0</v>
      </c>
      <c r="Q225">
        <v>0</v>
      </c>
      <c r="R225">
        <v>0</v>
      </c>
      <c r="S225">
        <v>0</v>
      </c>
      <c r="T225">
        <v>0</v>
      </c>
      <c r="U225">
        <v>0</v>
      </c>
      <c r="V225">
        <v>0</v>
      </c>
      <c r="W225">
        <v>0</v>
      </c>
      <c r="X225">
        <v>0</v>
      </c>
      <c r="Y225">
        <v>0</v>
      </c>
      <c r="Z225">
        <v>0</v>
      </c>
      <c r="AB225">
        <v>0</v>
      </c>
      <c r="AC225">
        <v>0</v>
      </c>
      <c r="AD225">
        <v>0</v>
      </c>
      <c r="AE225">
        <v>0</v>
      </c>
      <c r="AF225">
        <v>0</v>
      </c>
      <c r="AG225">
        <v>0</v>
      </c>
      <c r="AH225">
        <v>0</v>
      </c>
      <c r="AI225">
        <v>0</v>
      </c>
      <c r="AJ225">
        <v>0</v>
      </c>
      <c r="AK225">
        <v>0</v>
      </c>
      <c r="AL225">
        <v>0</v>
      </c>
      <c r="AM225">
        <v>0</v>
      </c>
      <c r="AN225">
        <v>0</v>
      </c>
      <c r="AP225">
        <v>0</v>
      </c>
      <c r="AQ225">
        <v>0</v>
      </c>
      <c r="AR225">
        <v>0</v>
      </c>
      <c r="AT225">
        <v>0</v>
      </c>
      <c r="AU225">
        <v>0</v>
      </c>
      <c r="AV225">
        <v>0</v>
      </c>
      <c r="AX225">
        <v>0</v>
      </c>
      <c r="AY225">
        <v>0</v>
      </c>
      <c r="BA225">
        <v>0</v>
      </c>
      <c r="BB225">
        <v>0</v>
      </c>
      <c r="BD225">
        <v>0</v>
      </c>
      <c r="BE225">
        <v>0</v>
      </c>
      <c r="BH225">
        <v>0</v>
      </c>
      <c r="BI225">
        <v>0</v>
      </c>
      <c r="BJ225">
        <v>0</v>
      </c>
      <c r="BK225">
        <v>0</v>
      </c>
      <c r="BL225">
        <v>0</v>
      </c>
      <c r="BM225">
        <v>0</v>
      </c>
      <c r="BN225">
        <v>0</v>
      </c>
      <c r="BO225">
        <v>0</v>
      </c>
      <c r="BP225">
        <v>0</v>
      </c>
      <c r="BQ225">
        <v>0</v>
      </c>
      <c r="BR225">
        <v>0</v>
      </c>
      <c r="BS225">
        <v>0</v>
      </c>
      <c r="BT225">
        <v>0</v>
      </c>
      <c r="BU225">
        <v>0</v>
      </c>
      <c r="BW225">
        <v>0</v>
      </c>
      <c r="BX225">
        <v>0</v>
      </c>
      <c r="BY225">
        <v>0</v>
      </c>
      <c r="BZ225">
        <v>0</v>
      </c>
      <c r="CA225">
        <v>0</v>
      </c>
    </row>
    <row r="226" spans="1:79" x14ac:dyDescent="0.3">
      <c r="A226">
        <v>988</v>
      </c>
      <c r="B226" t="s">
        <v>947</v>
      </c>
      <c r="D226">
        <v>2</v>
      </c>
      <c r="E226">
        <v>2</v>
      </c>
      <c r="G226">
        <v>2</v>
      </c>
      <c r="H226">
        <v>2</v>
      </c>
      <c r="I226">
        <v>2</v>
      </c>
      <c r="J226">
        <v>2</v>
      </c>
      <c r="K226">
        <v>2</v>
      </c>
      <c r="L226">
        <v>2</v>
      </c>
      <c r="N226">
        <v>2</v>
      </c>
      <c r="P226">
        <v>2</v>
      </c>
      <c r="Q226">
        <v>2</v>
      </c>
      <c r="R226">
        <v>2</v>
      </c>
      <c r="S226">
        <v>2</v>
      </c>
      <c r="T226">
        <v>2</v>
      </c>
      <c r="U226">
        <v>2</v>
      </c>
      <c r="V226">
        <v>2</v>
      </c>
      <c r="W226">
        <v>2</v>
      </c>
      <c r="X226">
        <v>2</v>
      </c>
      <c r="Y226">
        <v>2</v>
      </c>
      <c r="Z226">
        <v>2</v>
      </c>
      <c r="AB226">
        <v>0</v>
      </c>
      <c r="AC226">
        <v>2</v>
      </c>
      <c r="AD226">
        <v>0</v>
      </c>
      <c r="AE226">
        <v>2</v>
      </c>
      <c r="AF226">
        <v>2</v>
      </c>
      <c r="AG226">
        <v>2</v>
      </c>
      <c r="AH226">
        <v>2</v>
      </c>
      <c r="AI226">
        <v>2</v>
      </c>
      <c r="AJ226">
        <v>2</v>
      </c>
      <c r="AK226">
        <v>2</v>
      </c>
      <c r="AL226">
        <v>2</v>
      </c>
      <c r="AM226">
        <v>2</v>
      </c>
      <c r="AN226">
        <v>2</v>
      </c>
      <c r="AP226">
        <v>2</v>
      </c>
      <c r="AQ226">
        <v>2</v>
      </c>
      <c r="AR226">
        <v>1</v>
      </c>
      <c r="AT226">
        <v>2</v>
      </c>
      <c r="AU226">
        <v>2</v>
      </c>
      <c r="AV226">
        <v>2</v>
      </c>
      <c r="AX226">
        <v>2</v>
      </c>
      <c r="AY226">
        <v>2</v>
      </c>
      <c r="BA226">
        <v>2</v>
      </c>
      <c r="BB226">
        <v>2</v>
      </c>
      <c r="BD226">
        <v>2</v>
      </c>
      <c r="BE226">
        <v>2</v>
      </c>
      <c r="BH226">
        <v>2</v>
      </c>
      <c r="BI226">
        <v>2</v>
      </c>
      <c r="BJ226">
        <v>2</v>
      </c>
      <c r="BK226">
        <v>2</v>
      </c>
      <c r="BL226">
        <v>2</v>
      </c>
      <c r="BM226">
        <v>2</v>
      </c>
      <c r="BN226">
        <v>2</v>
      </c>
      <c r="BO226">
        <v>2</v>
      </c>
      <c r="BP226">
        <v>2</v>
      </c>
      <c r="BQ226">
        <v>2</v>
      </c>
      <c r="BR226">
        <v>2</v>
      </c>
      <c r="BS226">
        <v>2</v>
      </c>
      <c r="BT226">
        <v>2</v>
      </c>
      <c r="BU226">
        <v>2</v>
      </c>
      <c r="BW226">
        <v>2</v>
      </c>
      <c r="BX226">
        <v>2</v>
      </c>
      <c r="BY226">
        <v>2</v>
      </c>
      <c r="BZ226">
        <v>2</v>
      </c>
      <c r="CA226">
        <v>2</v>
      </c>
    </row>
    <row r="227" spans="1:79" x14ac:dyDescent="0.3">
      <c r="A227">
        <v>989</v>
      </c>
      <c r="B227" t="s">
        <v>948</v>
      </c>
      <c r="D227">
        <v>3</v>
      </c>
      <c r="E227">
        <v>0</v>
      </c>
      <c r="G227">
        <v>3</v>
      </c>
      <c r="H227">
        <v>3</v>
      </c>
      <c r="I227">
        <v>0</v>
      </c>
      <c r="J227">
        <v>3</v>
      </c>
      <c r="K227">
        <v>3</v>
      </c>
      <c r="L227">
        <v>3</v>
      </c>
      <c r="N227">
        <v>3</v>
      </c>
      <c r="P227">
        <v>3</v>
      </c>
      <c r="Q227">
        <v>3</v>
      </c>
      <c r="R227">
        <v>3</v>
      </c>
      <c r="S227">
        <v>3</v>
      </c>
      <c r="T227">
        <v>3</v>
      </c>
      <c r="U227">
        <v>3</v>
      </c>
      <c r="V227">
        <v>0</v>
      </c>
      <c r="W227">
        <v>0</v>
      </c>
      <c r="X227">
        <v>3</v>
      </c>
      <c r="Y227">
        <v>3</v>
      </c>
      <c r="Z227">
        <v>3</v>
      </c>
      <c r="AB227">
        <v>0</v>
      </c>
      <c r="AC227">
        <v>3</v>
      </c>
      <c r="AD227">
        <v>3</v>
      </c>
      <c r="AE227">
        <v>3</v>
      </c>
      <c r="AF227">
        <v>3</v>
      </c>
      <c r="AG227">
        <v>0</v>
      </c>
      <c r="AH227">
        <v>3</v>
      </c>
      <c r="AI227">
        <v>3</v>
      </c>
      <c r="AJ227">
        <v>3</v>
      </c>
      <c r="AK227">
        <v>0</v>
      </c>
      <c r="AL227">
        <v>0</v>
      </c>
      <c r="AM227">
        <v>3</v>
      </c>
      <c r="AN227">
        <v>3</v>
      </c>
      <c r="AP227">
        <v>3</v>
      </c>
      <c r="AQ227">
        <v>3</v>
      </c>
      <c r="AR227">
        <v>3</v>
      </c>
      <c r="AT227">
        <v>3</v>
      </c>
      <c r="AU227">
        <v>3</v>
      </c>
      <c r="AV227">
        <v>3</v>
      </c>
      <c r="AX227">
        <v>3</v>
      </c>
      <c r="AY227">
        <v>3</v>
      </c>
      <c r="BA227">
        <v>3</v>
      </c>
      <c r="BB227">
        <v>3</v>
      </c>
      <c r="BD227">
        <v>3</v>
      </c>
      <c r="BE227">
        <v>3</v>
      </c>
      <c r="BH227">
        <v>3</v>
      </c>
      <c r="BI227">
        <v>3</v>
      </c>
      <c r="BJ227">
        <v>3</v>
      </c>
      <c r="BK227">
        <v>3</v>
      </c>
      <c r="BL227">
        <v>3</v>
      </c>
      <c r="BM227">
        <v>3</v>
      </c>
      <c r="BN227">
        <v>3</v>
      </c>
      <c r="BO227">
        <v>3</v>
      </c>
      <c r="BP227">
        <v>3</v>
      </c>
      <c r="BQ227">
        <v>3</v>
      </c>
      <c r="BR227">
        <v>3</v>
      </c>
      <c r="BS227">
        <v>3</v>
      </c>
      <c r="BT227">
        <v>3</v>
      </c>
      <c r="BU227">
        <v>3</v>
      </c>
      <c r="BW227">
        <v>3</v>
      </c>
      <c r="BX227">
        <v>3</v>
      </c>
      <c r="BY227">
        <v>0</v>
      </c>
      <c r="BZ227">
        <v>3</v>
      </c>
      <c r="CA227">
        <v>3</v>
      </c>
    </row>
    <row r="228" spans="1:79" x14ac:dyDescent="0.3">
      <c r="A228">
        <v>990</v>
      </c>
      <c r="B228" t="s">
        <v>575</v>
      </c>
      <c r="D228">
        <v>0</v>
      </c>
      <c r="E228">
        <v>0</v>
      </c>
      <c r="G228">
        <v>0</v>
      </c>
      <c r="H228">
        <v>0</v>
      </c>
      <c r="I228">
        <v>0</v>
      </c>
      <c r="J228">
        <v>0</v>
      </c>
      <c r="K228">
        <v>0</v>
      </c>
      <c r="L228">
        <v>0</v>
      </c>
      <c r="N228">
        <v>0</v>
      </c>
      <c r="P228">
        <v>0</v>
      </c>
      <c r="Q228">
        <v>0</v>
      </c>
      <c r="R228">
        <v>0</v>
      </c>
      <c r="S228">
        <v>0</v>
      </c>
      <c r="T228">
        <v>0</v>
      </c>
      <c r="U228">
        <v>446138</v>
      </c>
      <c r="V228">
        <v>0</v>
      </c>
      <c r="W228">
        <v>0</v>
      </c>
      <c r="X228">
        <v>0</v>
      </c>
      <c r="Y228">
        <v>0</v>
      </c>
      <c r="Z228">
        <v>0</v>
      </c>
      <c r="AB228">
        <v>0</v>
      </c>
      <c r="AC228">
        <v>0</v>
      </c>
      <c r="AD228">
        <v>0</v>
      </c>
      <c r="AE228">
        <v>0</v>
      </c>
      <c r="AF228">
        <v>0</v>
      </c>
      <c r="AG228">
        <v>0</v>
      </c>
      <c r="AH228">
        <v>0</v>
      </c>
      <c r="AI228">
        <v>0</v>
      </c>
      <c r="AJ228">
        <v>89960</v>
      </c>
      <c r="AK228">
        <v>0</v>
      </c>
      <c r="AL228">
        <v>0</v>
      </c>
      <c r="AM228">
        <v>0</v>
      </c>
      <c r="AN228">
        <v>0</v>
      </c>
      <c r="AP228">
        <v>0</v>
      </c>
      <c r="AQ228">
        <v>0</v>
      </c>
      <c r="AR228">
        <v>0</v>
      </c>
      <c r="AT228">
        <v>0</v>
      </c>
      <c r="AU228">
        <v>30465</v>
      </c>
      <c r="AV228">
        <v>0</v>
      </c>
      <c r="AX228">
        <v>0</v>
      </c>
      <c r="AY228">
        <v>0</v>
      </c>
      <c r="BA228">
        <v>0</v>
      </c>
      <c r="BB228">
        <v>0</v>
      </c>
      <c r="BD228">
        <v>0</v>
      </c>
      <c r="BE228">
        <v>244865</v>
      </c>
      <c r="BH228">
        <v>0</v>
      </c>
      <c r="BI228">
        <v>0</v>
      </c>
      <c r="BJ228">
        <v>0</v>
      </c>
      <c r="BK228">
        <v>0</v>
      </c>
      <c r="BL228">
        <v>0</v>
      </c>
      <c r="BM228">
        <v>0</v>
      </c>
      <c r="BN228">
        <v>0</v>
      </c>
      <c r="BO228">
        <v>0</v>
      </c>
      <c r="BP228">
        <v>0</v>
      </c>
      <c r="BQ228">
        <v>0</v>
      </c>
      <c r="BR228">
        <v>0</v>
      </c>
      <c r="BS228">
        <v>0</v>
      </c>
      <c r="BT228">
        <v>0</v>
      </c>
      <c r="BU228">
        <v>0</v>
      </c>
      <c r="BW228">
        <v>0</v>
      </c>
      <c r="BX228">
        <v>0</v>
      </c>
      <c r="BY228">
        <v>0</v>
      </c>
      <c r="BZ228">
        <v>0</v>
      </c>
      <c r="CA228">
        <v>0</v>
      </c>
    </row>
    <row r="229" spans="1:79" x14ac:dyDescent="0.3">
      <c r="A229">
        <v>991</v>
      </c>
      <c r="B229" t="s">
        <v>949</v>
      </c>
      <c r="D229">
        <v>22</v>
      </c>
      <c r="E229">
        <v>23</v>
      </c>
      <c r="G229">
        <v>23</v>
      </c>
      <c r="H229">
        <v>23</v>
      </c>
      <c r="I229">
        <v>22</v>
      </c>
      <c r="J229">
        <v>23</v>
      </c>
      <c r="K229">
        <v>22</v>
      </c>
      <c r="L229">
        <v>23</v>
      </c>
      <c r="N229">
        <v>23</v>
      </c>
      <c r="P229">
        <v>23</v>
      </c>
      <c r="Q229">
        <v>23</v>
      </c>
      <c r="R229">
        <v>23</v>
      </c>
      <c r="S229">
        <v>23</v>
      </c>
      <c r="T229">
        <v>23</v>
      </c>
      <c r="U229">
        <v>23</v>
      </c>
      <c r="V229">
        <v>23</v>
      </c>
      <c r="W229">
        <v>0</v>
      </c>
      <c r="X229">
        <v>23</v>
      </c>
      <c r="Y229">
        <v>23</v>
      </c>
      <c r="Z229">
        <v>23</v>
      </c>
      <c r="AB229">
        <v>0</v>
      </c>
      <c r="AC229">
        <v>23</v>
      </c>
      <c r="AD229">
        <v>23</v>
      </c>
      <c r="AE229">
        <v>23</v>
      </c>
      <c r="AF229">
        <v>23</v>
      </c>
      <c r="AG229">
        <v>20</v>
      </c>
      <c r="AH229">
        <v>23</v>
      </c>
      <c r="AI229">
        <v>23</v>
      </c>
      <c r="AJ229">
        <v>22</v>
      </c>
      <c r="AK229">
        <v>23</v>
      </c>
      <c r="AL229">
        <v>22</v>
      </c>
      <c r="AM229">
        <v>23</v>
      </c>
      <c r="AN229">
        <v>23</v>
      </c>
      <c r="AP229">
        <v>23</v>
      </c>
      <c r="AQ229">
        <v>23</v>
      </c>
      <c r="AR229">
        <v>23</v>
      </c>
      <c r="AT229">
        <v>23</v>
      </c>
      <c r="AU229">
        <v>20</v>
      </c>
      <c r="AV229">
        <v>23</v>
      </c>
      <c r="AX229">
        <v>20</v>
      </c>
      <c r="AY229">
        <v>23</v>
      </c>
      <c r="BA229">
        <v>23</v>
      </c>
      <c r="BB229">
        <v>23</v>
      </c>
      <c r="BD229">
        <v>20</v>
      </c>
      <c r="BE229">
        <v>23</v>
      </c>
      <c r="BH229">
        <v>20</v>
      </c>
      <c r="BI229">
        <v>23</v>
      </c>
      <c r="BJ229">
        <v>23</v>
      </c>
      <c r="BK229">
        <v>23</v>
      </c>
      <c r="BL229">
        <v>23</v>
      </c>
      <c r="BM229">
        <v>23</v>
      </c>
      <c r="BN229">
        <v>23</v>
      </c>
      <c r="BO229">
        <v>23</v>
      </c>
      <c r="BP229">
        <v>23</v>
      </c>
      <c r="BQ229">
        <v>23</v>
      </c>
      <c r="BR229">
        <v>23</v>
      </c>
      <c r="BS229">
        <v>23</v>
      </c>
      <c r="BT229">
        <v>23</v>
      </c>
      <c r="BU229">
        <v>22</v>
      </c>
      <c r="BW229">
        <v>23</v>
      </c>
      <c r="BX229">
        <v>23</v>
      </c>
      <c r="BY229">
        <v>0</v>
      </c>
      <c r="BZ229">
        <v>23</v>
      </c>
      <c r="CA229">
        <v>23</v>
      </c>
    </row>
    <row r="230" spans="1:79" x14ac:dyDescent="0.3">
      <c r="A230">
        <v>995</v>
      </c>
      <c r="B230" t="s">
        <v>275</v>
      </c>
      <c r="D230">
        <v>0</v>
      </c>
      <c r="E230">
        <v>0</v>
      </c>
      <c r="F230">
        <v>0</v>
      </c>
      <c r="G230">
        <v>0</v>
      </c>
      <c r="H230">
        <v>0</v>
      </c>
      <c r="I230">
        <v>0</v>
      </c>
      <c r="J230">
        <v>0</v>
      </c>
      <c r="K230">
        <v>0</v>
      </c>
      <c r="L230">
        <v>0</v>
      </c>
      <c r="M230">
        <v>0</v>
      </c>
      <c r="N230">
        <v>0</v>
      </c>
      <c r="O230">
        <v>0</v>
      </c>
      <c r="P230">
        <v>0</v>
      </c>
      <c r="Q230">
        <v>0</v>
      </c>
      <c r="R230">
        <v>0</v>
      </c>
      <c r="S230">
        <v>0.09</v>
      </c>
      <c r="T230">
        <v>0</v>
      </c>
      <c r="U230">
        <v>0.08</v>
      </c>
      <c r="V230">
        <v>0</v>
      </c>
      <c r="W230">
        <v>0</v>
      </c>
      <c r="X230">
        <v>0</v>
      </c>
      <c r="Y230">
        <v>0</v>
      </c>
      <c r="Z230">
        <v>0.08</v>
      </c>
      <c r="AA230">
        <v>0</v>
      </c>
      <c r="AB230">
        <v>0</v>
      </c>
      <c r="AC230">
        <v>0</v>
      </c>
      <c r="AD230">
        <v>0</v>
      </c>
      <c r="AE230">
        <v>7.0000000000000007E-2</v>
      </c>
      <c r="AF230">
        <v>0</v>
      </c>
      <c r="AG230">
        <v>0</v>
      </c>
      <c r="AH230">
        <v>0</v>
      </c>
      <c r="AI230">
        <v>0</v>
      </c>
      <c r="AJ230">
        <v>0.08</v>
      </c>
      <c r="AK230">
        <v>0</v>
      </c>
      <c r="AL230">
        <v>0</v>
      </c>
      <c r="AM230">
        <v>0</v>
      </c>
      <c r="AN230">
        <v>0</v>
      </c>
      <c r="AO230">
        <v>0</v>
      </c>
      <c r="AP230">
        <v>0</v>
      </c>
      <c r="AQ230">
        <v>7.0000000000000007E-2</v>
      </c>
      <c r="AR230">
        <v>0</v>
      </c>
      <c r="AS230">
        <v>0</v>
      </c>
      <c r="AT230">
        <v>0</v>
      </c>
      <c r="AU230">
        <v>7.0000000000000007E-2</v>
      </c>
      <c r="AV230">
        <v>0</v>
      </c>
      <c r="AW230">
        <v>0</v>
      </c>
      <c r="AX230">
        <v>0</v>
      </c>
      <c r="AY230">
        <v>0</v>
      </c>
      <c r="AZ230">
        <v>0.08</v>
      </c>
      <c r="BA230">
        <v>0</v>
      </c>
      <c r="BB230">
        <v>0</v>
      </c>
      <c r="BC230">
        <v>0.09</v>
      </c>
      <c r="BD230">
        <v>0</v>
      </c>
      <c r="BE230">
        <v>0.08</v>
      </c>
      <c r="BF230">
        <v>0.09</v>
      </c>
      <c r="BG230">
        <v>0</v>
      </c>
      <c r="BH230">
        <v>0</v>
      </c>
      <c r="BI230">
        <v>0</v>
      </c>
      <c r="BJ230">
        <v>0</v>
      </c>
      <c r="BK230">
        <v>7.0000000000000007E-2</v>
      </c>
      <c r="BL230">
        <v>0</v>
      </c>
      <c r="BM230">
        <v>0</v>
      </c>
      <c r="BN230">
        <v>0</v>
      </c>
      <c r="BO230">
        <v>0</v>
      </c>
      <c r="BP230">
        <v>0</v>
      </c>
      <c r="BQ230">
        <v>0</v>
      </c>
      <c r="BR230">
        <v>0</v>
      </c>
      <c r="BS230">
        <v>0</v>
      </c>
      <c r="BT230">
        <v>0</v>
      </c>
      <c r="BU230">
        <v>0</v>
      </c>
      <c r="BV230">
        <v>0</v>
      </c>
      <c r="BW230">
        <v>0</v>
      </c>
      <c r="BX230">
        <v>0</v>
      </c>
      <c r="BY230">
        <v>0</v>
      </c>
      <c r="BZ230">
        <v>0</v>
      </c>
      <c r="CA230">
        <v>0</v>
      </c>
    </row>
    <row r="231" spans="1:79" x14ac:dyDescent="0.3">
      <c r="A231">
        <v>996</v>
      </c>
      <c r="B231" t="s">
        <v>276</v>
      </c>
      <c r="D231">
        <v>0</v>
      </c>
      <c r="E231">
        <v>0</v>
      </c>
      <c r="F231">
        <v>0.01</v>
      </c>
      <c r="G231">
        <v>0.01</v>
      </c>
      <c r="H231">
        <v>0.01</v>
      </c>
      <c r="I231">
        <v>0.01</v>
      </c>
      <c r="J231">
        <v>0.01</v>
      </c>
      <c r="K231">
        <v>0.01</v>
      </c>
      <c r="L231">
        <v>0.01</v>
      </c>
      <c r="M231">
        <v>0</v>
      </c>
      <c r="N231">
        <v>0.01</v>
      </c>
      <c r="O231">
        <v>0.01</v>
      </c>
      <c r="P231">
        <v>0</v>
      </c>
      <c r="Q231">
        <v>0.01</v>
      </c>
      <c r="R231">
        <v>0.01</v>
      </c>
      <c r="S231">
        <v>0.01</v>
      </c>
      <c r="T231">
        <v>0.01</v>
      </c>
      <c r="U231">
        <v>0.01</v>
      </c>
      <c r="V231">
        <v>0</v>
      </c>
      <c r="W231">
        <v>0</v>
      </c>
      <c r="X231">
        <v>0</v>
      </c>
      <c r="Y231">
        <v>0.01</v>
      </c>
      <c r="Z231">
        <v>0.01</v>
      </c>
      <c r="AA231">
        <v>0.01</v>
      </c>
      <c r="AB231">
        <v>0</v>
      </c>
      <c r="AC231">
        <v>0.01</v>
      </c>
      <c r="AD231">
        <v>0.01</v>
      </c>
      <c r="AE231">
        <v>0.01</v>
      </c>
      <c r="AF231">
        <v>0.01</v>
      </c>
      <c r="AG231">
        <v>0</v>
      </c>
      <c r="AH231">
        <v>0</v>
      </c>
      <c r="AI231">
        <v>0</v>
      </c>
      <c r="AJ231">
        <v>0.01</v>
      </c>
      <c r="AK231">
        <v>0.01</v>
      </c>
      <c r="AL231">
        <v>0</v>
      </c>
      <c r="AM231">
        <v>0</v>
      </c>
      <c r="AN231">
        <v>0.01</v>
      </c>
      <c r="AO231">
        <v>0.01</v>
      </c>
      <c r="AP231">
        <v>0</v>
      </c>
      <c r="AQ231">
        <v>0.01</v>
      </c>
      <c r="AR231">
        <v>0.01</v>
      </c>
      <c r="AS231">
        <v>0.01</v>
      </c>
      <c r="AT231">
        <v>0.01</v>
      </c>
      <c r="AU231">
        <v>0.01</v>
      </c>
      <c r="AV231">
        <v>0.01</v>
      </c>
      <c r="AW231">
        <v>0.01</v>
      </c>
      <c r="AX231">
        <v>0.01</v>
      </c>
      <c r="AY231">
        <v>0.01</v>
      </c>
      <c r="AZ231">
        <v>0.01</v>
      </c>
      <c r="BA231">
        <v>0.01</v>
      </c>
      <c r="BB231">
        <v>0.01</v>
      </c>
      <c r="BC231">
        <v>0.01</v>
      </c>
      <c r="BD231">
        <v>0</v>
      </c>
      <c r="BE231">
        <v>0.01</v>
      </c>
      <c r="BF231">
        <v>0.01</v>
      </c>
      <c r="BG231">
        <v>0</v>
      </c>
      <c r="BH231">
        <v>0.01</v>
      </c>
      <c r="BI231">
        <v>0.01</v>
      </c>
      <c r="BJ231">
        <v>0.01</v>
      </c>
      <c r="BK231">
        <v>0.01</v>
      </c>
      <c r="BL231">
        <v>0.01</v>
      </c>
      <c r="BM231">
        <v>0</v>
      </c>
      <c r="BN231">
        <v>0.01</v>
      </c>
      <c r="BO231">
        <v>0.01</v>
      </c>
      <c r="BP231">
        <v>0.01</v>
      </c>
      <c r="BQ231">
        <v>0.01</v>
      </c>
      <c r="BR231">
        <v>0</v>
      </c>
      <c r="BS231">
        <v>0</v>
      </c>
      <c r="BT231">
        <v>0.01</v>
      </c>
      <c r="BU231">
        <v>0.01</v>
      </c>
      <c r="BV231">
        <v>0.01</v>
      </c>
      <c r="BW231">
        <v>0.01</v>
      </c>
      <c r="BX231">
        <v>0</v>
      </c>
      <c r="BY231">
        <v>0</v>
      </c>
      <c r="BZ231">
        <v>0.01</v>
      </c>
      <c r="CA231">
        <v>0</v>
      </c>
    </row>
    <row r="232" spans="1:79" x14ac:dyDescent="0.3">
      <c r="A232">
        <v>998</v>
      </c>
      <c r="B232" t="s">
        <v>277</v>
      </c>
      <c r="D232">
        <v>50</v>
      </c>
      <c r="E232">
        <v>50</v>
      </c>
      <c r="F232">
        <v>50</v>
      </c>
      <c r="G232">
        <v>50</v>
      </c>
      <c r="H232">
        <v>50</v>
      </c>
      <c r="I232">
        <v>50</v>
      </c>
      <c r="J232">
        <v>50</v>
      </c>
      <c r="K232">
        <v>50</v>
      </c>
      <c r="L232">
        <v>50</v>
      </c>
      <c r="M232">
        <v>50</v>
      </c>
      <c r="N232">
        <v>50</v>
      </c>
      <c r="O232">
        <v>50</v>
      </c>
      <c r="P232">
        <v>50</v>
      </c>
      <c r="Q232">
        <v>50</v>
      </c>
      <c r="R232">
        <v>50</v>
      </c>
      <c r="S232">
        <v>50</v>
      </c>
      <c r="T232">
        <v>50</v>
      </c>
      <c r="U232">
        <v>50</v>
      </c>
      <c r="V232">
        <v>50</v>
      </c>
      <c r="W232">
        <v>50</v>
      </c>
      <c r="X232">
        <v>50</v>
      </c>
      <c r="Y232">
        <v>50</v>
      </c>
      <c r="Z232">
        <v>50</v>
      </c>
      <c r="AA232">
        <v>50</v>
      </c>
      <c r="AB232">
        <v>50</v>
      </c>
      <c r="AC232">
        <v>50</v>
      </c>
      <c r="AD232">
        <v>50</v>
      </c>
      <c r="AE232">
        <v>50</v>
      </c>
      <c r="AF232">
        <v>50</v>
      </c>
      <c r="AG232">
        <v>50</v>
      </c>
      <c r="AH232">
        <v>50</v>
      </c>
      <c r="AI232">
        <v>50</v>
      </c>
      <c r="AJ232">
        <v>50</v>
      </c>
      <c r="AK232">
        <v>50</v>
      </c>
      <c r="AL232">
        <v>50</v>
      </c>
      <c r="AM232">
        <v>50</v>
      </c>
      <c r="AN232">
        <v>50</v>
      </c>
      <c r="AO232">
        <v>50</v>
      </c>
      <c r="AP232">
        <v>50</v>
      </c>
      <c r="AQ232">
        <v>50</v>
      </c>
      <c r="AR232">
        <v>50</v>
      </c>
      <c r="AS232">
        <v>50</v>
      </c>
      <c r="AT232">
        <v>50</v>
      </c>
      <c r="AU232">
        <v>50</v>
      </c>
      <c r="AV232">
        <v>50</v>
      </c>
      <c r="AW232">
        <v>50</v>
      </c>
      <c r="AX232">
        <v>50</v>
      </c>
      <c r="AY232">
        <v>50</v>
      </c>
      <c r="AZ232">
        <v>50</v>
      </c>
      <c r="BA232">
        <v>50</v>
      </c>
      <c r="BB232">
        <v>50</v>
      </c>
      <c r="BC232">
        <v>50</v>
      </c>
      <c r="BD232">
        <v>50</v>
      </c>
      <c r="BE232">
        <v>50</v>
      </c>
      <c r="BF232">
        <v>50</v>
      </c>
      <c r="BG232">
        <v>50</v>
      </c>
      <c r="BH232">
        <v>50</v>
      </c>
      <c r="BI232">
        <v>50</v>
      </c>
      <c r="BJ232">
        <v>50</v>
      </c>
      <c r="BK232">
        <v>50</v>
      </c>
      <c r="BL232">
        <v>50</v>
      </c>
      <c r="BM232">
        <v>50</v>
      </c>
      <c r="BN232">
        <v>50</v>
      </c>
      <c r="BO232">
        <v>50</v>
      </c>
      <c r="BP232">
        <v>50</v>
      </c>
      <c r="BQ232">
        <v>50</v>
      </c>
      <c r="BR232">
        <v>50</v>
      </c>
      <c r="BS232">
        <v>50</v>
      </c>
      <c r="BT232">
        <v>50</v>
      </c>
      <c r="BU232">
        <v>50</v>
      </c>
      <c r="BV232">
        <v>50</v>
      </c>
      <c r="BW232">
        <v>50</v>
      </c>
      <c r="BX232">
        <v>50</v>
      </c>
      <c r="BY232">
        <v>50</v>
      </c>
      <c r="BZ232">
        <v>50</v>
      </c>
      <c r="CA232">
        <v>50</v>
      </c>
    </row>
    <row r="233" spans="1:79" x14ac:dyDescent="0.3">
      <c r="A233">
        <v>999</v>
      </c>
      <c r="B233" t="s">
        <v>278</v>
      </c>
      <c r="D233">
        <v>50476</v>
      </c>
      <c r="E233">
        <v>50191</v>
      </c>
      <c r="F233">
        <v>50192</v>
      </c>
      <c r="G233">
        <v>50193</v>
      </c>
      <c r="H233">
        <v>50194</v>
      </c>
      <c r="I233">
        <v>50195</v>
      </c>
      <c r="J233">
        <v>50196</v>
      </c>
      <c r="K233">
        <v>50197</v>
      </c>
      <c r="L233">
        <v>50498</v>
      </c>
      <c r="M233">
        <v>50198</v>
      </c>
      <c r="N233">
        <v>50199</v>
      </c>
      <c r="O233">
        <v>50200</v>
      </c>
      <c r="P233">
        <v>50201</v>
      </c>
      <c r="Q233">
        <v>50202</v>
      </c>
      <c r="R233">
        <v>50493</v>
      </c>
      <c r="S233">
        <v>50203</v>
      </c>
      <c r="T233">
        <v>50518</v>
      </c>
      <c r="U233">
        <v>50204</v>
      </c>
      <c r="V233">
        <v>50205</v>
      </c>
      <c r="W233">
        <v>50206</v>
      </c>
      <c r="X233">
        <v>50207</v>
      </c>
      <c r="Y233">
        <v>50208</v>
      </c>
      <c r="Z233">
        <v>50209</v>
      </c>
      <c r="AA233">
        <v>50210</v>
      </c>
      <c r="AB233">
        <v>50519</v>
      </c>
      <c r="AC233">
        <v>50528</v>
      </c>
      <c r="AD233">
        <v>50211</v>
      </c>
      <c r="AE233">
        <v>50212</v>
      </c>
      <c r="AF233">
        <v>50213</v>
      </c>
      <c r="AG233">
        <v>50214</v>
      </c>
      <c r="AH233">
        <v>50215</v>
      </c>
      <c r="AI233">
        <v>50216</v>
      </c>
      <c r="AJ233">
        <v>50217</v>
      </c>
      <c r="AK233">
        <v>50218</v>
      </c>
      <c r="AL233">
        <v>50477</v>
      </c>
      <c r="AM233">
        <v>50520</v>
      </c>
      <c r="AN233">
        <v>50219</v>
      </c>
      <c r="AO233">
        <v>50220</v>
      </c>
      <c r="AP233">
        <v>50536</v>
      </c>
      <c r="AQ233">
        <v>50221</v>
      </c>
      <c r="AR233">
        <v>50222</v>
      </c>
      <c r="AS233">
        <v>50223</v>
      </c>
      <c r="AT233">
        <v>50224</v>
      </c>
      <c r="AU233">
        <v>50225</v>
      </c>
      <c r="AV233">
        <v>50226</v>
      </c>
      <c r="AW233">
        <v>50227</v>
      </c>
      <c r="AX233">
        <v>50455</v>
      </c>
      <c r="AY233">
        <v>50229</v>
      </c>
      <c r="AZ233">
        <v>50230</v>
      </c>
      <c r="BA233">
        <v>50231</v>
      </c>
      <c r="BB233">
        <v>50232</v>
      </c>
      <c r="BC233">
        <v>50233</v>
      </c>
      <c r="BD233">
        <v>50234</v>
      </c>
      <c r="BE233">
        <v>50235</v>
      </c>
      <c r="BF233">
        <v>50236</v>
      </c>
      <c r="BG233">
        <v>50237</v>
      </c>
      <c r="BH233">
        <v>50238</v>
      </c>
      <c r="BI233">
        <v>50444</v>
      </c>
      <c r="BJ233">
        <v>50239</v>
      </c>
      <c r="BK233">
        <v>50240</v>
      </c>
      <c r="BL233">
        <v>50241</v>
      </c>
      <c r="BM233">
        <v>50521</v>
      </c>
      <c r="BN233">
        <v>50242</v>
      </c>
      <c r="BO233">
        <v>50244</v>
      </c>
      <c r="BP233">
        <v>50243</v>
      </c>
      <c r="BQ233">
        <v>50245</v>
      </c>
      <c r="BR233">
        <v>50522</v>
      </c>
      <c r="BS233">
        <v>50246</v>
      </c>
      <c r="BT233">
        <v>50247</v>
      </c>
      <c r="BU233">
        <v>50248</v>
      </c>
      <c r="BV233">
        <v>50249</v>
      </c>
      <c r="BW233">
        <v>50250</v>
      </c>
      <c r="BX233">
        <v>50251</v>
      </c>
      <c r="BY233">
        <v>50252</v>
      </c>
      <c r="BZ233">
        <v>50253</v>
      </c>
      <c r="CA233">
        <v>50454</v>
      </c>
    </row>
    <row r="234" spans="1:79" x14ac:dyDescent="0.3">
      <c r="A234">
        <v>1050</v>
      </c>
      <c r="B234" t="s">
        <v>1431</v>
      </c>
      <c r="D234">
        <v>0</v>
      </c>
      <c r="E234">
        <v>2193436</v>
      </c>
      <c r="G234">
        <v>985015</v>
      </c>
      <c r="H234">
        <v>293390</v>
      </c>
      <c r="I234">
        <v>17131</v>
      </c>
      <c r="J234">
        <v>47983</v>
      </c>
      <c r="K234">
        <v>85337</v>
      </c>
      <c r="L234">
        <v>1543429</v>
      </c>
      <c r="N234">
        <v>3022</v>
      </c>
      <c r="P234">
        <v>744399</v>
      </c>
      <c r="Q234">
        <v>341233</v>
      </c>
      <c r="R234">
        <v>171666</v>
      </c>
      <c r="S234">
        <v>447196</v>
      </c>
      <c r="T234">
        <v>12400</v>
      </c>
      <c r="U234">
        <v>622661</v>
      </c>
      <c r="V234">
        <v>20674</v>
      </c>
      <c r="W234">
        <v>135911</v>
      </c>
      <c r="X234">
        <v>817065</v>
      </c>
      <c r="Y234">
        <v>0</v>
      </c>
      <c r="Z234">
        <v>12569</v>
      </c>
      <c r="AB234">
        <v>0</v>
      </c>
      <c r="AC234">
        <v>20600</v>
      </c>
      <c r="AD234">
        <v>0</v>
      </c>
      <c r="AE234">
        <v>46798</v>
      </c>
      <c r="AF234">
        <v>8019</v>
      </c>
      <c r="AG234">
        <v>0</v>
      </c>
      <c r="AH234">
        <v>7450</v>
      </c>
      <c r="AI234">
        <v>6074</v>
      </c>
      <c r="AJ234">
        <v>326343</v>
      </c>
      <c r="AK234">
        <v>21385</v>
      </c>
      <c r="AL234">
        <v>0</v>
      </c>
      <c r="AM234">
        <v>1739182</v>
      </c>
      <c r="AN234">
        <v>613697</v>
      </c>
      <c r="AP234">
        <v>54593</v>
      </c>
      <c r="AQ234">
        <v>78225</v>
      </c>
      <c r="AR234">
        <v>57348</v>
      </c>
      <c r="AT234">
        <v>48330</v>
      </c>
      <c r="AU234">
        <v>269724</v>
      </c>
      <c r="AV234">
        <v>2050</v>
      </c>
      <c r="AX234">
        <v>142311</v>
      </c>
      <c r="AY234">
        <v>118680</v>
      </c>
      <c r="BA234">
        <v>8826</v>
      </c>
      <c r="BB234">
        <v>0</v>
      </c>
      <c r="BD234">
        <v>5662</v>
      </c>
      <c r="BE234">
        <v>612449</v>
      </c>
      <c r="BH234">
        <v>37196</v>
      </c>
      <c r="BI234">
        <v>21133</v>
      </c>
      <c r="BJ234">
        <v>6890</v>
      </c>
      <c r="BK234">
        <v>178175</v>
      </c>
      <c r="BL234">
        <v>0</v>
      </c>
      <c r="BM234">
        <v>0</v>
      </c>
      <c r="BN234">
        <v>47197</v>
      </c>
      <c r="BO234">
        <v>32543</v>
      </c>
      <c r="BP234">
        <v>19253</v>
      </c>
      <c r="BQ234">
        <v>60266</v>
      </c>
      <c r="BR234">
        <v>198500</v>
      </c>
      <c r="BS234">
        <v>1062027</v>
      </c>
      <c r="BT234">
        <v>32250</v>
      </c>
      <c r="BU234">
        <v>0</v>
      </c>
      <c r="BW234">
        <v>0</v>
      </c>
      <c r="BX234">
        <v>0</v>
      </c>
      <c r="BY234">
        <v>300</v>
      </c>
      <c r="BZ234">
        <v>0</v>
      </c>
      <c r="CA234">
        <v>12331</v>
      </c>
    </row>
    <row r="235" spans="1:79" x14ac:dyDescent="0.3">
      <c r="A235">
        <v>1051</v>
      </c>
      <c r="B235" t="s">
        <v>1631</v>
      </c>
      <c r="D235">
        <v>0</v>
      </c>
      <c r="E235">
        <v>0</v>
      </c>
      <c r="G235">
        <v>0</v>
      </c>
      <c r="H235">
        <v>0</v>
      </c>
      <c r="I235">
        <v>0</v>
      </c>
      <c r="J235">
        <v>0</v>
      </c>
      <c r="K235">
        <v>0</v>
      </c>
      <c r="L235">
        <v>0</v>
      </c>
      <c r="N235">
        <v>0</v>
      </c>
      <c r="P235">
        <v>0</v>
      </c>
      <c r="Q235">
        <v>0</v>
      </c>
      <c r="R235">
        <v>0</v>
      </c>
      <c r="S235">
        <v>55000</v>
      </c>
      <c r="T235">
        <v>0</v>
      </c>
      <c r="U235">
        <v>5172141</v>
      </c>
      <c r="V235">
        <v>0</v>
      </c>
      <c r="W235">
        <v>0</v>
      </c>
      <c r="X235">
        <v>0</v>
      </c>
      <c r="Y235">
        <v>0</v>
      </c>
      <c r="Z235">
        <v>0</v>
      </c>
      <c r="AB235">
        <v>0</v>
      </c>
      <c r="AC235">
        <v>0</v>
      </c>
      <c r="AD235">
        <v>0</v>
      </c>
      <c r="AE235">
        <v>0</v>
      </c>
      <c r="AF235">
        <v>0</v>
      </c>
      <c r="AG235">
        <v>0</v>
      </c>
      <c r="AH235">
        <v>0</v>
      </c>
      <c r="AI235">
        <v>0</v>
      </c>
      <c r="AJ235">
        <v>581386</v>
      </c>
      <c r="AK235">
        <v>0</v>
      </c>
      <c r="AL235">
        <v>0</v>
      </c>
      <c r="AM235">
        <v>0</v>
      </c>
      <c r="AN235">
        <v>0</v>
      </c>
      <c r="AP235">
        <v>0</v>
      </c>
      <c r="AQ235">
        <v>0</v>
      </c>
      <c r="AR235">
        <v>0</v>
      </c>
      <c r="AT235">
        <v>0</v>
      </c>
      <c r="AU235">
        <v>0</v>
      </c>
      <c r="AV235">
        <v>0</v>
      </c>
      <c r="AX235">
        <v>0</v>
      </c>
      <c r="AY235">
        <v>0</v>
      </c>
      <c r="BA235">
        <v>0</v>
      </c>
      <c r="BB235">
        <v>0</v>
      </c>
      <c r="BD235">
        <v>0</v>
      </c>
      <c r="BE235">
        <v>0</v>
      </c>
      <c r="BH235">
        <v>0</v>
      </c>
      <c r="BI235">
        <v>0</v>
      </c>
      <c r="BJ235">
        <v>0</v>
      </c>
      <c r="BK235">
        <v>0</v>
      </c>
      <c r="BL235">
        <v>0</v>
      </c>
      <c r="BM235">
        <v>0</v>
      </c>
      <c r="BN235">
        <v>0</v>
      </c>
      <c r="BO235">
        <v>0</v>
      </c>
      <c r="BP235">
        <v>0</v>
      </c>
      <c r="BQ235">
        <v>0</v>
      </c>
      <c r="BR235">
        <v>0</v>
      </c>
      <c r="BS235">
        <v>0</v>
      </c>
      <c r="BT235">
        <v>0</v>
      </c>
      <c r="BU235">
        <v>0</v>
      </c>
      <c r="BW235">
        <v>0</v>
      </c>
      <c r="BX235">
        <v>0</v>
      </c>
      <c r="BY235">
        <v>0</v>
      </c>
      <c r="BZ235">
        <v>0</v>
      </c>
      <c r="CA235">
        <v>0</v>
      </c>
    </row>
    <row r="236" spans="1:79" x14ac:dyDescent="0.3">
      <c r="A236">
        <v>1052</v>
      </c>
      <c r="B236" t="s">
        <v>1632</v>
      </c>
      <c r="D236">
        <v>0</v>
      </c>
      <c r="E236">
        <v>0</v>
      </c>
      <c r="G236">
        <v>0</v>
      </c>
      <c r="H236">
        <v>0</v>
      </c>
      <c r="I236">
        <v>0</v>
      </c>
      <c r="J236">
        <v>0</v>
      </c>
      <c r="K236">
        <v>0</v>
      </c>
      <c r="L236">
        <v>0</v>
      </c>
      <c r="N236">
        <v>0</v>
      </c>
      <c r="P236">
        <v>0</v>
      </c>
      <c r="Q236">
        <v>-261517</v>
      </c>
      <c r="R236">
        <v>0</v>
      </c>
      <c r="S236">
        <v>0</v>
      </c>
      <c r="T236">
        <v>0</v>
      </c>
      <c r="U236">
        <v>0</v>
      </c>
      <c r="V236">
        <v>0</v>
      </c>
      <c r="W236">
        <v>0</v>
      </c>
      <c r="X236">
        <v>0</v>
      </c>
      <c r="Y236">
        <v>0</v>
      </c>
      <c r="Z236">
        <v>0</v>
      </c>
      <c r="AB236">
        <v>0</v>
      </c>
      <c r="AC236">
        <v>0</v>
      </c>
      <c r="AD236">
        <v>0</v>
      </c>
      <c r="AE236">
        <v>0</v>
      </c>
      <c r="AF236">
        <v>0</v>
      </c>
      <c r="AG236">
        <v>0</v>
      </c>
      <c r="AH236">
        <v>0</v>
      </c>
      <c r="AI236">
        <v>0</v>
      </c>
      <c r="AJ236">
        <v>0</v>
      </c>
      <c r="AK236">
        <v>0</v>
      </c>
      <c r="AL236">
        <v>0</v>
      </c>
      <c r="AM236">
        <v>0</v>
      </c>
      <c r="AN236">
        <v>0</v>
      </c>
      <c r="AP236">
        <v>0</v>
      </c>
      <c r="AQ236">
        <v>0</v>
      </c>
      <c r="AR236">
        <v>0</v>
      </c>
      <c r="AT236">
        <v>0</v>
      </c>
      <c r="AU236">
        <v>0</v>
      </c>
      <c r="AV236">
        <v>0</v>
      </c>
      <c r="AX236">
        <v>0</v>
      </c>
      <c r="AY236">
        <v>0</v>
      </c>
      <c r="BA236">
        <v>0</v>
      </c>
      <c r="BB236">
        <v>0</v>
      </c>
      <c r="BD236">
        <v>0</v>
      </c>
      <c r="BE236">
        <v>0</v>
      </c>
      <c r="BH236">
        <v>0</v>
      </c>
      <c r="BI236">
        <v>0</v>
      </c>
      <c r="BJ236">
        <v>0</v>
      </c>
      <c r="BK236">
        <v>0</v>
      </c>
      <c r="BL236">
        <v>0</v>
      </c>
      <c r="BM236">
        <v>0</v>
      </c>
      <c r="BN236">
        <v>0</v>
      </c>
      <c r="BO236">
        <v>0</v>
      </c>
      <c r="BP236">
        <v>0</v>
      </c>
      <c r="BQ236">
        <v>0</v>
      </c>
      <c r="BR236">
        <v>0</v>
      </c>
      <c r="BS236">
        <v>0</v>
      </c>
      <c r="BT236">
        <v>0</v>
      </c>
      <c r="BU236">
        <v>0</v>
      </c>
      <c r="BW236">
        <v>0</v>
      </c>
      <c r="BX236">
        <v>0</v>
      </c>
      <c r="BY236">
        <v>0</v>
      </c>
      <c r="BZ236">
        <v>0</v>
      </c>
      <c r="CA236">
        <v>0</v>
      </c>
    </row>
    <row r="237" spans="1:79" x14ac:dyDescent="0.3">
      <c r="A237">
        <v>1053</v>
      </c>
      <c r="B237" t="s">
        <v>1633</v>
      </c>
      <c r="D237">
        <v>0</v>
      </c>
      <c r="E237">
        <v>0</v>
      </c>
      <c r="G237">
        <v>0</v>
      </c>
      <c r="H237">
        <v>0</v>
      </c>
      <c r="I237">
        <v>0</v>
      </c>
      <c r="J237">
        <v>0</v>
      </c>
      <c r="K237">
        <v>0</v>
      </c>
      <c r="L237">
        <v>0</v>
      </c>
      <c r="N237">
        <v>0</v>
      </c>
      <c r="P237">
        <v>0</v>
      </c>
      <c r="Q237">
        <v>-125139</v>
      </c>
      <c r="R237">
        <v>0</v>
      </c>
      <c r="S237">
        <v>0</v>
      </c>
      <c r="T237">
        <v>0</v>
      </c>
      <c r="U237">
        <v>0</v>
      </c>
      <c r="V237">
        <v>0</v>
      </c>
      <c r="W237">
        <v>0</v>
      </c>
      <c r="X237">
        <v>0</v>
      </c>
      <c r="Y237">
        <v>0</v>
      </c>
      <c r="Z237">
        <v>0</v>
      </c>
      <c r="AB237">
        <v>0</v>
      </c>
      <c r="AC237">
        <v>0</v>
      </c>
      <c r="AD237">
        <v>0</v>
      </c>
      <c r="AE237">
        <v>0</v>
      </c>
      <c r="AF237">
        <v>0</v>
      </c>
      <c r="AG237">
        <v>0</v>
      </c>
      <c r="AH237">
        <v>0</v>
      </c>
      <c r="AI237">
        <v>0</v>
      </c>
      <c r="AJ237">
        <v>0</v>
      </c>
      <c r="AK237">
        <v>0</v>
      </c>
      <c r="AL237">
        <v>0</v>
      </c>
      <c r="AM237">
        <v>0</v>
      </c>
      <c r="AN237">
        <v>0</v>
      </c>
      <c r="AP237">
        <v>0</v>
      </c>
      <c r="AQ237">
        <v>0</v>
      </c>
      <c r="AR237">
        <v>0</v>
      </c>
      <c r="AT237">
        <v>0</v>
      </c>
      <c r="AU237">
        <v>0</v>
      </c>
      <c r="AV237">
        <v>0</v>
      </c>
      <c r="AX237">
        <v>0</v>
      </c>
      <c r="AY237">
        <v>0</v>
      </c>
      <c r="BA237">
        <v>0</v>
      </c>
      <c r="BB237">
        <v>0</v>
      </c>
      <c r="BD237">
        <v>0</v>
      </c>
      <c r="BE237">
        <v>0</v>
      </c>
      <c r="BH237">
        <v>0</v>
      </c>
      <c r="BI237">
        <v>0</v>
      </c>
      <c r="BJ237">
        <v>0</v>
      </c>
      <c r="BK237">
        <v>0</v>
      </c>
      <c r="BL237">
        <v>0</v>
      </c>
      <c r="BM237">
        <v>0</v>
      </c>
      <c r="BN237">
        <v>0</v>
      </c>
      <c r="BO237">
        <v>0</v>
      </c>
      <c r="BP237">
        <v>0</v>
      </c>
      <c r="BQ237">
        <v>0</v>
      </c>
      <c r="BR237">
        <v>0</v>
      </c>
      <c r="BS237">
        <v>0</v>
      </c>
      <c r="BT237">
        <v>0</v>
      </c>
      <c r="BU237">
        <v>0</v>
      </c>
      <c r="BW237">
        <v>0</v>
      </c>
      <c r="BX237">
        <v>0</v>
      </c>
      <c r="BY237">
        <v>0</v>
      </c>
      <c r="BZ237">
        <v>0</v>
      </c>
      <c r="CA237">
        <v>0</v>
      </c>
    </row>
    <row r="238" spans="1:79" x14ac:dyDescent="0.3">
      <c r="A238">
        <v>1054</v>
      </c>
      <c r="B238" t="s">
        <v>1634</v>
      </c>
      <c r="D238">
        <v>0</v>
      </c>
      <c r="E238">
        <v>0</v>
      </c>
      <c r="G238">
        <v>0</v>
      </c>
      <c r="H238">
        <v>0</v>
      </c>
      <c r="I238">
        <v>0</v>
      </c>
      <c r="J238">
        <v>0</v>
      </c>
      <c r="K238">
        <v>0</v>
      </c>
      <c r="L238">
        <v>0</v>
      </c>
      <c r="N238">
        <v>0</v>
      </c>
      <c r="P238">
        <v>0</v>
      </c>
      <c r="Q238">
        <v>0</v>
      </c>
      <c r="R238">
        <v>0</v>
      </c>
      <c r="S238">
        <v>0</v>
      </c>
      <c r="T238">
        <v>0</v>
      </c>
      <c r="U238">
        <v>0</v>
      </c>
      <c r="V238">
        <v>0</v>
      </c>
      <c r="W238">
        <v>0</v>
      </c>
      <c r="X238">
        <v>0</v>
      </c>
      <c r="Y238">
        <v>0</v>
      </c>
      <c r="Z238">
        <v>0</v>
      </c>
      <c r="AB238">
        <v>0</v>
      </c>
      <c r="AC238">
        <v>0</v>
      </c>
      <c r="AD238">
        <v>0</v>
      </c>
      <c r="AE238">
        <v>0</v>
      </c>
      <c r="AF238">
        <v>0</v>
      </c>
      <c r="AG238">
        <v>0</v>
      </c>
      <c r="AH238">
        <v>0</v>
      </c>
      <c r="AI238">
        <v>0</v>
      </c>
      <c r="AJ238">
        <v>0</v>
      </c>
      <c r="AK238">
        <v>0</v>
      </c>
      <c r="AL238">
        <v>0</v>
      </c>
      <c r="AM238">
        <v>0</v>
      </c>
      <c r="AN238">
        <v>0</v>
      </c>
      <c r="AP238">
        <v>0</v>
      </c>
      <c r="AQ238">
        <v>0</v>
      </c>
      <c r="AR238">
        <v>0</v>
      </c>
      <c r="AT238">
        <v>0</v>
      </c>
      <c r="AU238">
        <v>0</v>
      </c>
      <c r="AV238">
        <v>0</v>
      </c>
      <c r="AX238">
        <v>0</v>
      </c>
      <c r="AY238">
        <v>0</v>
      </c>
      <c r="BA238">
        <v>0</v>
      </c>
      <c r="BB238">
        <v>0</v>
      </c>
      <c r="BD238">
        <v>0</v>
      </c>
      <c r="BE238">
        <v>0</v>
      </c>
      <c r="BH238">
        <v>0</v>
      </c>
      <c r="BI238">
        <v>0</v>
      </c>
      <c r="BJ238">
        <v>0</v>
      </c>
      <c r="BK238">
        <v>0</v>
      </c>
      <c r="BL238">
        <v>0</v>
      </c>
      <c r="BM238">
        <v>0</v>
      </c>
      <c r="BN238">
        <v>0</v>
      </c>
      <c r="BO238">
        <v>0</v>
      </c>
      <c r="BP238">
        <v>0</v>
      </c>
      <c r="BQ238">
        <v>0</v>
      </c>
      <c r="BR238">
        <v>0</v>
      </c>
      <c r="BS238">
        <v>0</v>
      </c>
      <c r="BT238">
        <v>0</v>
      </c>
      <c r="BU238">
        <v>0</v>
      </c>
      <c r="BW238">
        <v>0</v>
      </c>
      <c r="BX238">
        <v>0</v>
      </c>
      <c r="BY238">
        <v>0</v>
      </c>
      <c r="BZ238">
        <v>0</v>
      </c>
      <c r="CA238">
        <v>0</v>
      </c>
    </row>
    <row r="239" spans="1:79" x14ac:dyDescent="0.3">
      <c r="A239">
        <v>1055</v>
      </c>
      <c r="B239" t="s">
        <v>1635</v>
      </c>
      <c r="D239">
        <v>2</v>
      </c>
      <c r="E239">
        <v>2</v>
      </c>
      <c r="G239">
        <v>2</v>
      </c>
      <c r="H239">
        <v>2</v>
      </c>
      <c r="I239">
        <v>2</v>
      </c>
      <c r="J239">
        <v>2</v>
      </c>
      <c r="K239">
        <v>2</v>
      </c>
      <c r="L239">
        <v>2</v>
      </c>
      <c r="N239">
        <v>2</v>
      </c>
      <c r="P239">
        <v>2</v>
      </c>
      <c r="Q239">
        <v>2</v>
      </c>
      <c r="R239">
        <v>2</v>
      </c>
      <c r="S239">
        <v>2</v>
      </c>
      <c r="T239">
        <v>2</v>
      </c>
      <c r="U239">
        <v>2</v>
      </c>
      <c r="V239">
        <v>2</v>
      </c>
      <c r="W239">
        <v>2</v>
      </c>
      <c r="X239">
        <v>2</v>
      </c>
      <c r="Y239">
        <v>2</v>
      </c>
      <c r="Z239">
        <v>2</v>
      </c>
      <c r="AB239">
        <v>2</v>
      </c>
      <c r="AC239">
        <v>2</v>
      </c>
      <c r="AD239">
        <v>1</v>
      </c>
      <c r="AE239">
        <v>1</v>
      </c>
      <c r="AF239">
        <v>2</v>
      </c>
      <c r="AG239">
        <v>2</v>
      </c>
      <c r="AH239">
        <v>2</v>
      </c>
      <c r="AI239">
        <v>2</v>
      </c>
      <c r="AJ239">
        <v>2</v>
      </c>
      <c r="AK239">
        <v>2</v>
      </c>
      <c r="AL239">
        <v>2</v>
      </c>
      <c r="AM239">
        <v>2</v>
      </c>
      <c r="AN239">
        <v>2</v>
      </c>
      <c r="AP239">
        <v>2</v>
      </c>
      <c r="AQ239">
        <v>2</v>
      </c>
      <c r="AR239">
        <v>1</v>
      </c>
      <c r="AT239">
        <v>2</v>
      </c>
      <c r="AU239">
        <v>2</v>
      </c>
      <c r="AV239">
        <v>1</v>
      </c>
      <c r="AX239">
        <v>2</v>
      </c>
      <c r="AY239">
        <v>2</v>
      </c>
      <c r="BA239">
        <v>2</v>
      </c>
      <c r="BB239">
        <v>2</v>
      </c>
      <c r="BD239">
        <v>2</v>
      </c>
      <c r="BE239">
        <v>2</v>
      </c>
      <c r="BH239">
        <v>2</v>
      </c>
      <c r="BI239">
        <v>1</v>
      </c>
      <c r="BJ239">
        <v>2</v>
      </c>
      <c r="BK239">
        <v>2</v>
      </c>
      <c r="BL239">
        <v>2</v>
      </c>
      <c r="BM239">
        <v>2</v>
      </c>
      <c r="BN239">
        <v>2</v>
      </c>
      <c r="BO239">
        <v>2</v>
      </c>
      <c r="BP239">
        <v>2</v>
      </c>
      <c r="BQ239">
        <v>2</v>
      </c>
      <c r="BR239">
        <v>2</v>
      </c>
      <c r="BS239">
        <v>2</v>
      </c>
      <c r="BT239">
        <v>2</v>
      </c>
      <c r="BU239">
        <v>2</v>
      </c>
      <c r="BW239">
        <v>2</v>
      </c>
      <c r="BX239">
        <v>2</v>
      </c>
      <c r="BY239">
        <v>2</v>
      </c>
      <c r="BZ239">
        <v>2</v>
      </c>
      <c r="CA239">
        <v>2</v>
      </c>
    </row>
    <row r="240" spans="1:79" x14ac:dyDescent="0.3">
      <c r="A240">
        <v>1056</v>
      </c>
      <c r="B240" t="s">
        <v>1636</v>
      </c>
      <c r="D240">
        <v>2</v>
      </c>
      <c r="E240">
        <v>2</v>
      </c>
      <c r="G240">
        <v>2</v>
      </c>
      <c r="H240">
        <v>2</v>
      </c>
      <c r="I240">
        <v>2</v>
      </c>
      <c r="J240">
        <v>2</v>
      </c>
      <c r="K240">
        <v>2</v>
      </c>
      <c r="L240">
        <v>2</v>
      </c>
      <c r="N240">
        <v>2</v>
      </c>
      <c r="P240">
        <v>2</v>
      </c>
      <c r="Q240">
        <v>2</v>
      </c>
      <c r="R240">
        <v>2</v>
      </c>
      <c r="S240">
        <v>2</v>
      </c>
      <c r="T240">
        <v>2</v>
      </c>
      <c r="U240">
        <v>2</v>
      </c>
      <c r="V240">
        <v>2</v>
      </c>
      <c r="W240">
        <v>2</v>
      </c>
      <c r="X240">
        <v>2</v>
      </c>
      <c r="Y240">
        <v>2</v>
      </c>
      <c r="Z240">
        <v>2</v>
      </c>
      <c r="AB240">
        <v>2</v>
      </c>
      <c r="AC240">
        <v>2</v>
      </c>
      <c r="AD240">
        <v>1</v>
      </c>
      <c r="AE240">
        <v>1</v>
      </c>
      <c r="AF240">
        <v>2</v>
      </c>
      <c r="AG240">
        <v>2</v>
      </c>
      <c r="AH240">
        <v>2</v>
      </c>
      <c r="AI240">
        <v>2</v>
      </c>
      <c r="AJ240">
        <v>1</v>
      </c>
      <c r="AK240">
        <v>2</v>
      </c>
      <c r="AL240">
        <v>2</v>
      </c>
      <c r="AM240">
        <v>2</v>
      </c>
      <c r="AN240">
        <v>2</v>
      </c>
      <c r="AP240">
        <v>2</v>
      </c>
      <c r="AQ240">
        <v>2</v>
      </c>
      <c r="AR240">
        <v>2</v>
      </c>
      <c r="AT240">
        <v>2</v>
      </c>
      <c r="AU240">
        <v>2</v>
      </c>
      <c r="AV240">
        <v>1</v>
      </c>
      <c r="AX240">
        <v>2</v>
      </c>
      <c r="AY240">
        <v>2</v>
      </c>
      <c r="BA240">
        <v>1</v>
      </c>
      <c r="BB240">
        <v>2</v>
      </c>
      <c r="BD240">
        <v>2</v>
      </c>
      <c r="BE240">
        <v>2</v>
      </c>
      <c r="BH240">
        <v>2</v>
      </c>
      <c r="BI240">
        <v>1</v>
      </c>
      <c r="BJ240">
        <v>2</v>
      </c>
      <c r="BK240">
        <v>2</v>
      </c>
      <c r="BL240">
        <v>2</v>
      </c>
      <c r="BM240">
        <v>2</v>
      </c>
      <c r="BN240">
        <v>2</v>
      </c>
      <c r="BO240">
        <v>2</v>
      </c>
      <c r="BP240">
        <v>2</v>
      </c>
      <c r="BQ240">
        <v>2</v>
      </c>
      <c r="BR240">
        <v>2</v>
      </c>
      <c r="BS240">
        <v>2</v>
      </c>
      <c r="BT240">
        <v>2</v>
      </c>
      <c r="BU240">
        <v>2</v>
      </c>
      <c r="BW240">
        <v>2</v>
      </c>
      <c r="BX240">
        <v>2</v>
      </c>
      <c r="BY240">
        <v>1</v>
      </c>
      <c r="BZ240">
        <v>2</v>
      </c>
      <c r="CA240">
        <v>2</v>
      </c>
    </row>
    <row r="241" spans="1:79" x14ac:dyDescent="0.3">
      <c r="A241">
        <v>1057</v>
      </c>
      <c r="B241" t="s">
        <v>1879</v>
      </c>
      <c r="D241">
        <v>2</v>
      </c>
      <c r="E241">
        <v>2</v>
      </c>
      <c r="G241">
        <v>2</v>
      </c>
      <c r="H241">
        <v>2</v>
      </c>
      <c r="I241">
        <v>2</v>
      </c>
      <c r="J241">
        <v>2</v>
      </c>
      <c r="K241">
        <v>2</v>
      </c>
      <c r="L241">
        <v>2</v>
      </c>
      <c r="N241">
        <v>1</v>
      </c>
      <c r="P241">
        <v>2</v>
      </c>
      <c r="Q241">
        <v>2</v>
      </c>
      <c r="R241">
        <v>2</v>
      </c>
      <c r="S241">
        <v>2</v>
      </c>
      <c r="T241">
        <v>2</v>
      </c>
      <c r="U241">
        <v>2</v>
      </c>
      <c r="V241">
        <v>2</v>
      </c>
      <c r="W241">
        <v>2</v>
      </c>
      <c r="X241">
        <v>2</v>
      </c>
      <c r="Y241">
        <v>2</v>
      </c>
      <c r="Z241">
        <v>1</v>
      </c>
      <c r="AB241">
        <v>2</v>
      </c>
      <c r="AC241">
        <v>2</v>
      </c>
      <c r="AD241">
        <v>2</v>
      </c>
      <c r="AE241">
        <v>1</v>
      </c>
      <c r="AF241">
        <v>1</v>
      </c>
      <c r="AG241">
        <v>2</v>
      </c>
      <c r="AH241">
        <v>2</v>
      </c>
      <c r="AI241">
        <v>1</v>
      </c>
      <c r="AJ241">
        <v>2</v>
      </c>
      <c r="AK241">
        <v>2</v>
      </c>
      <c r="AL241">
        <v>1</v>
      </c>
      <c r="AM241">
        <v>2</v>
      </c>
      <c r="AN241">
        <v>2</v>
      </c>
      <c r="AP241">
        <v>2</v>
      </c>
      <c r="AQ241">
        <v>2</v>
      </c>
      <c r="AR241">
        <v>2</v>
      </c>
      <c r="AT241">
        <v>2</v>
      </c>
      <c r="AU241">
        <v>2</v>
      </c>
      <c r="AV241">
        <v>1</v>
      </c>
      <c r="AX241">
        <v>2</v>
      </c>
      <c r="AY241">
        <v>2</v>
      </c>
      <c r="BA241">
        <v>2</v>
      </c>
      <c r="BB241">
        <v>2</v>
      </c>
      <c r="BD241">
        <v>1</v>
      </c>
      <c r="BE241">
        <v>2</v>
      </c>
      <c r="BH241">
        <v>2</v>
      </c>
      <c r="BI241">
        <v>2</v>
      </c>
      <c r="BJ241">
        <v>1</v>
      </c>
      <c r="BK241">
        <v>2</v>
      </c>
      <c r="BL241">
        <v>2</v>
      </c>
      <c r="BM241">
        <v>2</v>
      </c>
      <c r="BN241">
        <v>2</v>
      </c>
      <c r="BO241">
        <v>2</v>
      </c>
      <c r="BP241">
        <v>2</v>
      </c>
      <c r="BQ241">
        <v>2</v>
      </c>
      <c r="BR241">
        <v>2</v>
      </c>
      <c r="BS241">
        <v>2</v>
      </c>
      <c r="BT241">
        <v>2</v>
      </c>
      <c r="BU241">
        <v>1</v>
      </c>
      <c r="BW241">
        <v>2</v>
      </c>
      <c r="BX241">
        <v>2</v>
      </c>
      <c r="BY241">
        <v>1</v>
      </c>
      <c r="BZ241">
        <v>2</v>
      </c>
      <c r="CA241">
        <v>1</v>
      </c>
    </row>
    <row r="242" spans="1:79" x14ac:dyDescent="0.3">
      <c r="A242">
        <v>1058</v>
      </c>
      <c r="B242" t="s">
        <v>1439</v>
      </c>
      <c r="D242">
        <v>2</v>
      </c>
      <c r="E242">
        <v>2</v>
      </c>
      <c r="G242">
        <v>2</v>
      </c>
      <c r="H242">
        <v>2</v>
      </c>
      <c r="I242">
        <v>2</v>
      </c>
      <c r="J242">
        <v>2</v>
      </c>
      <c r="K242">
        <v>2</v>
      </c>
      <c r="L242">
        <v>1</v>
      </c>
      <c r="N242">
        <v>2</v>
      </c>
      <c r="P242">
        <v>2</v>
      </c>
      <c r="Q242">
        <v>2</v>
      </c>
      <c r="R242">
        <v>2</v>
      </c>
      <c r="S242">
        <v>2</v>
      </c>
      <c r="T242">
        <v>2</v>
      </c>
      <c r="U242">
        <v>2</v>
      </c>
      <c r="V242">
        <v>2</v>
      </c>
      <c r="W242">
        <v>2</v>
      </c>
      <c r="X242">
        <v>2</v>
      </c>
      <c r="Y242">
        <v>2</v>
      </c>
      <c r="Z242">
        <v>1</v>
      </c>
      <c r="AB242">
        <v>2</v>
      </c>
      <c r="AC242">
        <v>1</v>
      </c>
      <c r="AD242">
        <v>1</v>
      </c>
      <c r="AE242">
        <v>1</v>
      </c>
      <c r="AF242">
        <v>2</v>
      </c>
      <c r="AG242">
        <v>2</v>
      </c>
      <c r="AH242">
        <v>2</v>
      </c>
      <c r="AI242">
        <v>2</v>
      </c>
      <c r="AJ242">
        <v>1</v>
      </c>
      <c r="AK242">
        <v>2</v>
      </c>
      <c r="AL242">
        <v>2</v>
      </c>
      <c r="AM242">
        <v>2</v>
      </c>
      <c r="AN242">
        <v>2</v>
      </c>
      <c r="AP242">
        <v>2</v>
      </c>
      <c r="AQ242">
        <v>2</v>
      </c>
      <c r="AR242">
        <v>2</v>
      </c>
      <c r="AT242">
        <v>2</v>
      </c>
      <c r="AU242">
        <v>2</v>
      </c>
      <c r="AV242">
        <v>1</v>
      </c>
      <c r="AX242">
        <v>2</v>
      </c>
      <c r="AY242">
        <v>2</v>
      </c>
      <c r="BA242">
        <v>1</v>
      </c>
      <c r="BB242">
        <v>2</v>
      </c>
      <c r="BD242">
        <v>2</v>
      </c>
      <c r="BE242">
        <v>2</v>
      </c>
      <c r="BH242">
        <v>2</v>
      </c>
      <c r="BI242">
        <v>1</v>
      </c>
      <c r="BJ242">
        <v>2</v>
      </c>
      <c r="BK242">
        <v>2</v>
      </c>
      <c r="BL242">
        <v>2</v>
      </c>
      <c r="BM242">
        <v>2</v>
      </c>
      <c r="BN242">
        <v>2</v>
      </c>
      <c r="BO242">
        <v>2</v>
      </c>
      <c r="BP242">
        <v>2</v>
      </c>
      <c r="BQ242">
        <v>2</v>
      </c>
      <c r="BR242">
        <v>2</v>
      </c>
      <c r="BS242">
        <v>2</v>
      </c>
      <c r="BT242">
        <v>2</v>
      </c>
      <c r="BU242">
        <v>2</v>
      </c>
      <c r="BW242">
        <v>2</v>
      </c>
      <c r="BX242">
        <v>2</v>
      </c>
      <c r="BY242">
        <v>1</v>
      </c>
      <c r="BZ242">
        <v>2</v>
      </c>
      <c r="CA242">
        <v>2</v>
      </c>
    </row>
    <row r="243" spans="1:79" x14ac:dyDescent="0.3">
      <c r="A243">
        <v>1059</v>
      </c>
      <c r="B243" t="s">
        <v>1637</v>
      </c>
      <c r="D243">
        <v>1</v>
      </c>
      <c r="E243">
        <v>1</v>
      </c>
      <c r="G243">
        <v>1</v>
      </c>
      <c r="H243">
        <v>1</v>
      </c>
      <c r="I243">
        <v>1</v>
      </c>
      <c r="J243">
        <v>1</v>
      </c>
      <c r="K243">
        <v>1</v>
      </c>
      <c r="L243">
        <v>1</v>
      </c>
      <c r="N243">
        <v>1</v>
      </c>
      <c r="P243">
        <v>1</v>
      </c>
      <c r="Q243">
        <v>1</v>
      </c>
      <c r="R243">
        <v>1</v>
      </c>
      <c r="S243">
        <v>1</v>
      </c>
      <c r="T243">
        <v>1</v>
      </c>
      <c r="U243">
        <v>1</v>
      </c>
      <c r="V243">
        <v>1</v>
      </c>
      <c r="W243">
        <v>1</v>
      </c>
      <c r="X243">
        <v>1</v>
      </c>
      <c r="Y243">
        <v>1</v>
      </c>
      <c r="Z243">
        <v>1</v>
      </c>
      <c r="AB243">
        <v>1</v>
      </c>
      <c r="AC243">
        <v>1</v>
      </c>
      <c r="AD243">
        <v>1</v>
      </c>
      <c r="AE243">
        <v>1</v>
      </c>
      <c r="AF243">
        <v>1</v>
      </c>
      <c r="AG243">
        <v>1</v>
      </c>
      <c r="AH243">
        <v>1</v>
      </c>
      <c r="AI243">
        <v>1</v>
      </c>
      <c r="AJ243">
        <v>1</v>
      </c>
      <c r="AK243">
        <v>1</v>
      </c>
      <c r="AL243">
        <v>1</v>
      </c>
      <c r="AM243">
        <v>1</v>
      </c>
      <c r="AN243">
        <v>1</v>
      </c>
      <c r="AP243">
        <v>1</v>
      </c>
      <c r="AQ243">
        <v>1</v>
      </c>
      <c r="AR243">
        <v>1</v>
      </c>
      <c r="AT243">
        <v>1</v>
      </c>
      <c r="AU243">
        <v>1</v>
      </c>
      <c r="AV243">
        <v>1</v>
      </c>
      <c r="AX243">
        <v>1</v>
      </c>
      <c r="AY243">
        <v>1</v>
      </c>
      <c r="BA243">
        <v>1</v>
      </c>
      <c r="BB243">
        <v>1</v>
      </c>
      <c r="BD243">
        <v>1</v>
      </c>
      <c r="BE243">
        <v>1</v>
      </c>
      <c r="BH243">
        <v>1</v>
      </c>
      <c r="BI243">
        <v>1</v>
      </c>
      <c r="BJ243">
        <v>1</v>
      </c>
      <c r="BK243">
        <v>1</v>
      </c>
      <c r="BL243">
        <v>1</v>
      </c>
      <c r="BM243">
        <v>1</v>
      </c>
      <c r="BN243">
        <v>1</v>
      </c>
      <c r="BO243">
        <v>1</v>
      </c>
      <c r="BP243">
        <v>1</v>
      </c>
      <c r="BQ243">
        <v>1</v>
      </c>
      <c r="BR243">
        <v>1</v>
      </c>
      <c r="BS243">
        <v>1</v>
      </c>
      <c r="BT243">
        <v>1</v>
      </c>
      <c r="BU243">
        <v>1</v>
      </c>
      <c r="BW243">
        <v>1</v>
      </c>
      <c r="BX243">
        <v>1</v>
      </c>
      <c r="BY243">
        <v>1</v>
      </c>
      <c r="BZ243">
        <v>1</v>
      </c>
      <c r="CA243">
        <v>1</v>
      </c>
    </row>
    <row r="244" spans="1:79" x14ac:dyDescent="0.3">
      <c r="A244">
        <v>1060</v>
      </c>
      <c r="B244" t="s">
        <v>1638</v>
      </c>
      <c r="D244">
        <v>37307</v>
      </c>
      <c r="E244">
        <v>3984827</v>
      </c>
      <c r="G244">
        <v>0</v>
      </c>
      <c r="H244">
        <v>1431311</v>
      </c>
      <c r="I244">
        <v>71229</v>
      </c>
      <c r="J244">
        <v>488564</v>
      </c>
      <c r="K244">
        <v>0</v>
      </c>
      <c r="L244">
        <v>0</v>
      </c>
      <c r="N244">
        <v>0</v>
      </c>
      <c r="P244">
        <v>3929539</v>
      </c>
      <c r="Q244">
        <v>2337008</v>
      </c>
      <c r="R244">
        <v>861250</v>
      </c>
      <c r="S244">
        <v>3499936</v>
      </c>
      <c r="T244">
        <v>0</v>
      </c>
      <c r="U244">
        <v>2563655</v>
      </c>
      <c r="V244">
        <v>0</v>
      </c>
      <c r="W244">
        <v>0</v>
      </c>
      <c r="X244">
        <v>5503419</v>
      </c>
      <c r="Y244">
        <v>321931</v>
      </c>
      <c r="Z244">
        <v>639580</v>
      </c>
      <c r="AB244">
        <v>0</v>
      </c>
      <c r="AC244">
        <v>13385</v>
      </c>
      <c r="AD244">
        <v>446176</v>
      </c>
      <c r="AE244">
        <v>898611</v>
      </c>
      <c r="AF244">
        <v>24380</v>
      </c>
      <c r="AG244">
        <v>0</v>
      </c>
      <c r="AH244">
        <v>28433</v>
      </c>
      <c r="AI244">
        <v>95000</v>
      </c>
      <c r="AJ244">
        <v>2833741</v>
      </c>
      <c r="AK244">
        <v>114096</v>
      </c>
      <c r="AL244">
        <v>17528</v>
      </c>
      <c r="AM244">
        <v>0</v>
      </c>
      <c r="AN244">
        <v>401918</v>
      </c>
      <c r="AP244">
        <v>2313771</v>
      </c>
      <c r="AQ244">
        <v>6033899</v>
      </c>
      <c r="AR244">
        <v>710306</v>
      </c>
      <c r="AT244">
        <v>1165447</v>
      </c>
      <c r="AU244">
        <v>3569411</v>
      </c>
      <c r="AV244">
        <v>0</v>
      </c>
      <c r="AX244">
        <v>658995</v>
      </c>
      <c r="AY244">
        <v>1571178</v>
      </c>
      <c r="BA244">
        <v>0</v>
      </c>
      <c r="BB244">
        <v>319865</v>
      </c>
      <c r="BD244">
        <v>15000</v>
      </c>
      <c r="BE244">
        <v>6528198</v>
      </c>
      <c r="BH244">
        <v>674364</v>
      </c>
      <c r="BI244">
        <v>0</v>
      </c>
      <c r="BJ244">
        <v>159358</v>
      </c>
      <c r="BK244">
        <v>548638</v>
      </c>
      <c r="BL244">
        <v>464023</v>
      </c>
      <c r="BM244">
        <v>0</v>
      </c>
      <c r="BN244">
        <v>1812476</v>
      </c>
      <c r="BO244">
        <v>0</v>
      </c>
      <c r="BP244">
        <v>144689</v>
      </c>
      <c r="BQ244">
        <v>852293</v>
      </c>
      <c r="BR244">
        <v>309911</v>
      </c>
      <c r="BS244">
        <v>10560996</v>
      </c>
      <c r="BT244">
        <v>0</v>
      </c>
      <c r="BU244">
        <v>218977</v>
      </c>
      <c r="BW244">
        <v>107242</v>
      </c>
      <c r="BX244">
        <v>0</v>
      </c>
      <c r="BY244">
        <v>111</v>
      </c>
      <c r="BZ244">
        <v>4062074</v>
      </c>
      <c r="CA244">
        <v>33065</v>
      </c>
    </row>
    <row r="245" spans="1:79" x14ac:dyDescent="0.3">
      <c r="A245">
        <v>1061</v>
      </c>
      <c r="B245" t="s">
        <v>1639</v>
      </c>
      <c r="D245">
        <v>618</v>
      </c>
      <c r="E245">
        <v>0</v>
      </c>
      <c r="G245">
        <v>0</v>
      </c>
      <c r="H245">
        <v>0</v>
      </c>
      <c r="I245">
        <v>32538</v>
      </c>
      <c r="J245">
        <v>0</v>
      </c>
      <c r="K245">
        <v>0</v>
      </c>
      <c r="L245">
        <v>0</v>
      </c>
      <c r="N245">
        <v>268025</v>
      </c>
      <c r="P245">
        <v>0</v>
      </c>
      <c r="Q245">
        <v>0</v>
      </c>
      <c r="R245">
        <v>0</v>
      </c>
      <c r="S245">
        <v>0</v>
      </c>
      <c r="T245">
        <v>0</v>
      </c>
      <c r="U245">
        <v>21146</v>
      </c>
      <c r="V245">
        <v>0</v>
      </c>
      <c r="W245">
        <v>0</v>
      </c>
      <c r="X245">
        <v>0</v>
      </c>
      <c r="Y245">
        <v>346779</v>
      </c>
      <c r="Z245">
        <v>195088</v>
      </c>
      <c r="AB245">
        <v>0</v>
      </c>
      <c r="AC245">
        <v>0</v>
      </c>
      <c r="AD245">
        <v>0</v>
      </c>
      <c r="AE245">
        <v>101475</v>
      </c>
      <c r="AF245">
        <v>0</v>
      </c>
      <c r="AG245">
        <v>0</v>
      </c>
      <c r="AH245">
        <v>0</v>
      </c>
      <c r="AI245">
        <v>647565</v>
      </c>
      <c r="AJ245">
        <v>0</v>
      </c>
      <c r="AK245">
        <v>0</v>
      </c>
      <c r="AL245">
        <v>0</v>
      </c>
      <c r="AM245">
        <v>3522932</v>
      </c>
      <c r="AN245">
        <v>0</v>
      </c>
      <c r="AP245">
        <v>1710701</v>
      </c>
      <c r="AQ245">
        <v>0</v>
      </c>
      <c r="AR245">
        <v>136792</v>
      </c>
      <c r="AT245">
        <v>0</v>
      </c>
      <c r="AU245">
        <v>0</v>
      </c>
      <c r="AV245">
        <v>42383</v>
      </c>
      <c r="AX245">
        <v>0</v>
      </c>
      <c r="AY245">
        <v>0</v>
      </c>
      <c r="BA245">
        <v>0</v>
      </c>
      <c r="BB245">
        <v>0</v>
      </c>
      <c r="BD245">
        <v>0</v>
      </c>
      <c r="BE245">
        <v>0</v>
      </c>
      <c r="BH245">
        <v>0</v>
      </c>
      <c r="BI245">
        <v>394229</v>
      </c>
      <c r="BJ245">
        <v>59959</v>
      </c>
      <c r="BK245">
        <v>0</v>
      </c>
      <c r="BL245">
        <v>0</v>
      </c>
      <c r="BM245">
        <v>0</v>
      </c>
      <c r="BN245">
        <v>0</v>
      </c>
      <c r="BO245">
        <v>213819</v>
      </c>
      <c r="BP245">
        <v>0</v>
      </c>
      <c r="BQ245">
        <v>0</v>
      </c>
      <c r="BR245">
        <v>0</v>
      </c>
      <c r="BS245">
        <v>0</v>
      </c>
      <c r="BT245">
        <v>0</v>
      </c>
      <c r="BU245">
        <v>0</v>
      </c>
      <c r="BW245">
        <v>107242</v>
      </c>
      <c r="BX245">
        <v>0</v>
      </c>
      <c r="BY245">
        <v>0</v>
      </c>
      <c r="BZ245">
        <v>1120584</v>
      </c>
      <c r="CA245">
        <v>0</v>
      </c>
    </row>
    <row r="246" spans="1:79" x14ac:dyDescent="0.3">
      <c r="A246">
        <v>1062</v>
      </c>
      <c r="B246" t="s">
        <v>1640</v>
      </c>
      <c r="D246">
        <v>1</v>
      </c>
      <c r="E246">
        <v>1</v>
      </c>
      <c r="G246">
        <v>1</v>
      </c>
      <c r="H246">
        <v>1</v>
      </c>
      <c r="I246">
        <v>1</v>
      </c>
      <c r="J246">
        <v>1</v>
      </c>
      <c r="K246">
        <v>1</v>
      </c>
      <c r="L246">
        <v>1</v>
      </c>
      <c r="N246">
        <v>1</v>
      </c>
      <c r="P246">
        <v>1</v>
      </c>
      <c r="Q246">
        <v>1</v>
      </c>
      <c r="R246">
        <v>1</v>
      </c>
      <c r="S246">
        <v>1</v>
      </c>
      <c r="T246">
        <v>1</v>
      </c>
      <c r="U246">
        <v>1</v>
      </c>
      <c r="V246">
        <v>1</v>
      </c>
      <c r="W246">
        <v>0</v>
      </c>
      <c r="X246">
        <v>1</v>
      </c>
      <c r="Y246">
        <v>1</v>
      </c>
      <c r="Z246">
        <v>1</v>
      </c>
      <c r="AB246">
        <v>1</v>
      </c>
      <c r="AC246">
        <v>1</v>
      </c>
      <c r="AD246">
        <v>1</v>
      </c>
      <c r="AE246">
        <v>1</v>
      </c>
      <c r="AF246">
        <v>1</v>
      </c>
      <c r="AG246">
        <v>0</v>
      </c>
      <c r="AH246">
        <v>1</v>
      </c>
      <c r="AI246">
        <v>1</v>
      </c>
      <c r="AJ246">
        <v>1</v>
      </c>
      <c r="AK246">
        <v>1</v>
      </c>
      <c r="AL246">
        <v>1</v>
      </c>
      <c r="AM246">
        <v>1</v>
      </c>
      <c r="AN246">
        <v>1</v>
      </c>
      <c r="AP246">
        <v>1</v>
      </c>
      <c r="AQ246">
        <v>1</v>
      </c>
      <c r="AR246">
        <v>1</v>
      </c>
      <c r="AT246">
        <v>1</v>
      </c>
      <c r="AU246">
        <v>1</v>
      </c>
      <c r="AV246">
        <v>1</v>
      </c>
      <c r="AX246">
        <v>1</v>
      </c>
      <c r="AY246">
        <v>1</v>
      </c>
      <c r="BA246">
        <v>1</v>
      </c>
      <c r="BB246">
        <v>1</v>
      </c>
      <c r="BD246">
        <v>1</v>
      </c>
      <c r="BE246">
        <v>1</v>
      </c>
      <c r="BH246">
        <v>1</v>
      </c>
      <c r="BI246">
        <v>1</v>
      </c>
      <c r="BJ246">
        <v>1</v>
      </c>
      <c r="BK246">
        <v>1</v>
      </c>
      <c r="BL246">
        <v>1</v>
      </c>
      <c r="BM246">
        <v>0</v>
      </c>
      <c r="BN246">
        <v>1</v>
      </c>
      <c r="BO246">
        <v>1</v>
      </c>
      <c r="BP246">
        <v>1</v>
      </c>
      <c r="BQ246">
        <v>1</v>
      </c>
      <c r="BR246">
        <v>1</v>
      </c>
      <c r="BS246">
        <v>1</v>
      </c>
      <c r="BT246">
        <v>1</v>
      </c>
      <c r="BU246">
        <v>1</v>
      </c>
      <c r="BW246">
        <v>1</v>
      </c>
      <c r="BX246">
        <v>0</v>
      </c>
      <c r="BY246">
        <v>1</v>
      </c>
      <c r="BZ246">
        <v>1</v>
      </c>
      <c r="CA246">
        <v>1</v>
      </c>
    </row>
    <row r="247" spans="1:79" x14ac:dyDescent="0.3">
      <c r="A247">
        <v>1063</v>
      </c>
      <c r="B247" t="s">
        <v>1641</v>
      </c>
      <c r="D247">
        <v>1</v>
      </c>
      <c r="E247">
        <v>1</v>
      </c>
      <c r="G247">
        <v>1</v>
      </c>
      <c r="H247">
        <v>1</v>
      </c>
      <c r="I247">
        <v>1</v>
      </c>
      <c r="J247">
        <v>1</v>
      </c>
      <c r="K247">
        <v>1</v>
      </c>
      <c r="L247">
        <v>1</v>
      </c>
      <c r="N247">
        <v>1</v>
      </c>
      <c r="P247">
        <v>1</v>
      </c>
      <c r="Q247">
        <v>1</v>
      </c>
      <c r="R247">
        <v>1</v>
      </c>
      <c r="S247">
        <v>1</v>
      </c>
      <c r="T247">
        <v>1</v>
      </c>
      <c r="U247">
        <v>1</v>
      </c>
      <c r="V247">
        <v>1</v>
      </c>
      <c r="W247">
        <v>0</v>
      </c>
      <c r="X247">
        <v>1</v>
      </c>
      <c r="Y247">
        <v>1</v>
      </c>
      <c r="Z247">
        <v>1</v>
      </c>
      <c r="AB247">
        <v>1</v>
      </c>
      <c r="AC247">
        <v>1</v>
      </c>
      <c r="AD247">
        <v>1</v>
      </c>
      <c r="AE247">
        <v>1</v>
      </c>
      <c r="AF247">
        <v>1</v>
      </c>
      <c r="AG247">
        <v>0</v>
      </c>
      <c r="AH247">
        <v>1</v>
      </c>
      <c r="AI247">
        <v>1</v>
      </c>
      <c r="AJ247">
        <v>1</v>
      </c>
      <c r="AK247">
        <v>1</v>
      </c>
      <c r="AL247">
        <v>1</v>
      </c>
      <c r="AM247">
        <v>1</v>
      </c>
      <c r="AN247">
        <v>1</v>
      </c>
      <c r="AP247">
        <v>1</v>
      </c>
      <c r="AQ247">
        <v>1</v>
      </c>
      <c r="AR247">
        <v>1</v>
      </c>
      <c r="AT247">
        <v>1</v>
      </c>
      <c r="AU247">
        <v>1</v>
      </c>
      <c r="AV247">
        <v>1</v>
      </c>
      <c r="AX247">
        <v>1</v>
      </c>
      <c r="AY247">
        <v>1</v>
      </c>
      <c r="BA247">
        <v>1</v>
      </c>
      <c r="BB247">
        <v>1</v>
      </c>
      <c r="BD247">
        <v>1</v>
      </c>
      <c r="BE247">
        <v>1</v>
      </c>
      <c r="BH247">
        <v>1</v>
      </c>
      <c r="BI247">
        <v>1</v>
      </c>
      <c r="BJ247">
        <v>1</v>
      </c>
      <c r="BK247">
        <v>1</v>
      </c>
      <c r="BL247">
        <v>1</v>
      </c>
      <c r="BM247">
        <v>0</v>
      </c>
      <c r="BN247">
        <v>1</v>
      </c>
      <c r="BO247">
        <v>1</v>
      </c>
      <c r="BP247">
        <v>1</v>
      </c>
      <c r="BQ247">
        <v>1</v>
      </c>
      <c r="BR247">
        <v>1</v>
      </c>
      <c r="BS247">
        <v>1</v>
      </c>
      <c r="BT247">
        <v>1</v>
      </c>
      <c r="BU247">
        <v>1</v>
      </c>
      <c r="BW247">
        <v>1</v>
      </c>
      <c r="BX247">
        <v>0</v>
      </c>
      <c r="BY247">
        <v>1</v>
      </c>
      <c r="BZ247">
        <v>1</v>
      </c>
      <c r="CA247">
        <v>1</v>
      </c>
    </row>
    <row r="248" spans="1:79" x14ac:dyDescent="0.3">
      <c r="A248">
        <v>1066</v>
      </c>
      <c r="B248" t="s">
        <v>1644</v>
      </c>
      <c r="D248" t="s">
        <v>2626</v>
      </c>
      <c r="E248" t="s">
        <v>2011</v>
      </c>
      <c r="G248" t="s">
        <v>2008</v>
      </c>
      <c r="H248" t="s">
        <v>2007</v>
      </c>
      <c r="I248" t="s">
        <v>2627</v>
      </c>
      <c r="J248" t="s">
        <v>2628</v>
      </c>
      <c r="K248" t="s">
        <v>2455</v>
      </c>
      <c r="L248" t="s">
        <v>2016</v>
      </c>
      <c r="N248" t="s">
        <v>2629</v>
      </c>
      <c r="P248" t="s">
        <v>2630</v>
      </c>
      <c r="Q248" t="s">
        <v>2631</v>
      </c>
      <c r="R248" t="s">
        <v>2632</v>
      </c>
      <c r="S248" t="s">
        <v>2019</v>
      </c>
      <c r="T248" t="s">
        <v>2009</v>
      </c>
      <c r="U248" t="s">
        <v>2633</v>
      </c>
      <c r="V248" t="s">
        <v>2634</v>
      </c>
      <c r="W248" t="s">
        <v>2012</v>
      </c>
      <c r="X248" t="s">
        <v>2013</v>
      </c>
      <c r="Y248" t="s">
        <v>2021</v>
      </c>
      <c r="Z248" t="s">
        <v>2010</v>
      </c>
      <c r="AB248" t="s">
        <v>2005</v>
      </c>
      <c r="AC248" t="s">
        <v>2635</v>
      </c>
      <c r="AD248" t="s">
        <v>2636</v>
      </c>
      <c r="AE248" t="s">
        <v>2637</v>
      </c>
      <c r="AF248" t="s">
        <v>2012</v>
      </c>
      <c r="AG248" t="s">
        <v>2014</v>
      </c>
      <c r="AH248" t="s">
        <v>2009</v>
      </c>
      <c r="AI248" t="s">
        <v>2638</v>
      </c>
      <c r="AJ248" t="s">
        <v>2639</v>
      </c>
      <c r="AK248" t="s">
        <v>2640</v>
      </c>
      <c r="AL248" t="s">
        <v>2641</v>
      </c>
      <c r="AM248" t="s">
        <v>2642</v>
      </c>
      <c r="AN248" t="s">
        <v>2012</v>
      </c>
      <c r="AP248" t="s">
        <v>2021</v>
      </c>
      <c r="AQ248" t="s">
        <v>2005</v>
      </c>
      <c r="AR248" t="s">
        <v>2643</v>
      </c>
      <c r="AT248" t="s">
        <v>2644</v>
      </c>
      <c r="AU248" t="s">
        <v>2635</v>
      </c>
      <c r="AV248" t="s">
        <v>2645</v>
      </c>
      <c r="AX248" t="s">
        <v>2015</v>
      </c>
      <c r="AY248" t="s">
        <v>1974</v>
      </c>
      <c r="BA248" t="s">
        <v>2010</v>
      </c>
      <c r="BB248" t="s">
        <v>2012</v>
      </c>
      <c r="BD248" t="s">
        <v>2646</v>
      </c>
      <c r="BE248" t="s">
        <v>2018</v>
      </c>
      <c r="BH248" t="s">
        <v>2647</v>
      </c>
      <c r="BI248" t="s">
        <v>2648</v>
      </c>
      <c r="BJ248" t="s">
        <v>2009</v>
      </c>
      <c r="BK248" t="s">
        <v>2019</v>
      </c>
      <c r="BL248" t="s">
        <v>2017</v>
      </c>
      <c r="BM248" t="s">
        <v>2649</v>
      </c>
      <c r="BN248" t="s">
        <v>2010</v>
      </c>
      <c r="BO248" t="s">
        <v>2009</v>
      </c>
      <c r="BP248" t="s">
        <v>2013</v>
      </c>
      <c r="BQ248" t="s">
        <v>2006</v>
      </c>
      <c r="BR248" t="s">
        <v>2009</v>
      </c>
      <c r="BS248" t="s">
        <v>2019</v>
      </c>
      <c r="BT248" t="s">
        <v>2009</v>
      </c>
      <c r="BU248" t="s">
        <v>2650</v>
      </c>
      <c r="BW248" t="s">
        <v>2005</v>
      </c>
      <c r="BX248" t="s">
        <v>2651</v>
      </c>
      <c r="BY248" t="s">
        <v>2652</v>
      </c>
      <c r="BZ248" t="s">
        <v>2016</v>
      </c>
      <c r="CA248" t="s">
        <v>2009</v>
      </c>
    </row>
    <row r="249" spans="1:79" x14ac:dyDescent="0.3">
      <c r="A249">
        <v>1067</v>
      </c>
      <c r="B249" t="s">
        <v>2022</v>
      </c>
      <c r="D249">
        <v>1</v>
      </c>
      <c r="E249">
        <v>1</v>
      </c>
      <c r="G249">
        <v>1</v>
      </c>
      <c r="H249">
        <v>1</v>
      </c>
      <c r="I249">
        <v>1</v>
      </c>
      <c r="J249">
        <v>1</v>
      </c>
      <c r="K249">
        <v>1</v>
      </c>
      <c r="L249">
        <v>1</v>
      </c>
      <c r="N249">
        <v>1</v>
      </c>
      <c r="P249">
        <v>1</v>
      </c>
      <c r="Q249">
        <v>1</v>
      </c>
      <c r="R249">
        <v>1</v>
      </c>
      <c r="S249">
        <v>1</v>
      </c>
      <c r="T249">
        <v>1</v>
      </c>
      <c r="U249">
        <v>1</v>
      </c>
      <c r="V249">
        <v>1</v>
      </c>
      <c r="W249">
        <v>1</v>
      </c>
      <c r="X249">
        <v>1</v>
      </c>
      <c r="Y249">
        <v>1</v>
      </c>
      <c r="Z249">
        <v>1</v>
      </c>
      <c r="AB249">
        <v>1</v>
      </c>
      <c r="AC249">
        <v>1</v>
      </c>
      <c r="AD249">
        <v>1</v>
      </c>
      <c r="AE249">
        <v>1</v>
      </c>
      <c r="AF249">
        <v>1</v>
      </c>
      <c r="AG249">
        <v>1</v>
      </c>
      <c r="AH249">
        <v>1</v>
      </c>
      <c r="AI249">
        <v>1</v>
      </c>
      <c r="AJ249">
        <v>1</v>
      </c>
      <c r="AK249">
        <v>1</v>
      </c>
      <c r="AL249">
        <v>1</v>
      </c>
      <c r="AM249">
        <v>1</v>
      </c>
      <c r="AN249">
        <v>1</v>
      </c>
      <c r="AP249">
        <v>1</v>
      </c>
      <c r="AQ249">
        <v>1</v>
      </c>
      <c r="AR249">
        <v>1</v>
      </c>
      <c r="AT249">
        <v>1</v>
      </c>
      <c r="AU249">
        <v>1</v>
      </c>
      <c r="AV249">
        <v>2</v>
      </c>
      <c r="AX249">
        <v>1</v>
      </c>
      <c r="AY249">
        <v>1</v>
      </c>
      <c r="BA249">
        <v>1</v>
      </c>
      <c r="BB249">
        <v>1</v>
      </c>
      <c r="BD249">
        <v>1</v>
      </c>
      <c r="BE249">
        <v>1</v>
      </c>
      <c r="BH249">
        <v>1</v>
      </c>
      <c r="BI249">
        <v>1</v>
      </c>
      <c r="BJ249">
        <v>1</v>
      </c>
      <c r="BK249">
        <v>1</v>
      </c>
      <c r="BL249">
        <v>1</v>
      </c>
      <c r="BM249">
        <v>1</v>
      </c>
      <c r="BN249">
        <v>1</v>
      </c>
      <c r="BO249">
        <v>1</v>
      </c>
      <c r="BP249">
        <v>1</v>
      </c>
      <c r="BQ249">
        <v>1</v>
      </c>
      <c r="BR249">
        <v>1</v>
      </c>
      <c r="BS249">
        <v>1</v>
      </c>
      <c r="BT249">
        <v>1</v>
      </c>
      <c r="BU249">
        <v>1</v>
      </c>
      <c r="BW249">
        <v>1</v>
      </c>
      <c r="BX249">
        <v>1</v>
      </c>
      <c r="BY249">
        <v>1</v>
      </c>
      <c r="BZ249">
        <v>1</v>
      </c>
      <c r="CA249">
        <v>1</v>
      </c>
    </row>
    <row r="250" spans="1:79" x14ac:dyDescent="0.3">
      <c r="A250">
        <v>1068</v>
      </c>
      <c r="B250" t="s">
        <v>2023</v>
      </c>
      <c r="D250">
        <v>2</v>
      </c>
      <c r="E250">
        <v>2</v>
      </c>
      <c r="G250">
        <v>1</v>
      </c>
      <c r="H250">
        <v>2</v>
      </c>
      <c r="I250">
        <v>2</v>
      </c>
      <c r="J250">
        <v>2</v>
      </c>
      <c r="K250">
        <v>2</v>
      </c>
      <c r="L250">
        <v>2</v>
      </c>
      <c r="N250">
        <v>2</v>
      </c>
      <c r="P250">
        <v>1</v>
      </c>
      <c r="Q250">
        <v>2</v>
      </c>
      <c r="R250">
        <v>2</v>
      </c>
      <c r="S250">
        <v>1</v>
      </c>
      <c r="T250">
        <v>2</v>
      </c>
      <c r="U250">
        <v>1</v>
      </c>
      <c r="V250">
        <v>2</v>
      </c>
      <c r="W250">
        <v>2</v>
      </c>
      <c r="X250">
        <v>2</v>
      </c>
      <c r="Y250">
        <v>2</v>
      </c>
      <c r="Z250">
        <v>2</v>
      </c>
      <c r="AB250">
        <v>2</v>
      </c>
      <c r="AC250">
        <v>2</v>
      </c>
      <c r="AD250">
        <v>2</v>
      </c>
      <c r="AE250">
        <v>2</v>
      </c>
      <c r="AF250">
        <v>2</v>
      </c>
      <c r="AG250">
        <v>2</v>
      </c>
      <c r="AH250">
        <v>2</v>
      </c>
      <c r="AI250">
        <v>2</v>
      </c>
      <c r="AJ250">
        <v>2</v>
      </c>
      <c r="AK250">
        <v>2</v>
      </c>
      <c r="AL250">
        <v>2</v>
      </c>
      <c r="AM250">
        <v>2</v>
      </c>
      <c r="AN250">
        <v>2</v>
      </c>
      <c r="AP250">
        <v>2</v>
      </c>
      <c r="AQ250">
        <v>1</v>
      </c>
      <c r="AR250">
        <v>2</v>
      </c>
      <c r="AT250">
        <v>2</v>
      </c>
      <c r="AU250">
        <v>2</v>
      </c>
      <c r="AV250">
        <v>0</v>
      </c>
      <c r="AX250">
        <v>2</v>
      </c>
      <c r="AY250">
        <v>2</v>
      </c>
      <c r="BA250">
        <v>2</v>
      </c>
      <c r="BB250">
        <v>2</v>
      </c>
      <c r="BD250">
        <v>2</v>
      </c>
      <c r="BE250">
        <v>1</v>
      </c>
      <c r="BH250">
        <v>2</v>
      </c>
      <c r="BI250">
        <v>2</v>
      </c>
      <c r="BJ250">
        <v>2</v>
      </c>
      <c r="BK250">
        <v>2</v>
      </c>
      <c r="BL250">
        <v>2</v>
      </c>
      <c r="BM250">
        <v>2</v>
      </c>
      <c r="BN250">
        <v>2</v>
      </c>
      <c r="BO250">
        <v>2</v>
      </c>
      <c r="BP250">
        <v>2</v>
      </c>
      <c r="BQ250">
        <v>2</v>
      </c>
      <c r="BR250">
        <v>2</v>
      </c>
      <c r="BS250">
        <v>2</v>
      </c>
      <c r="BT250">
        <v>2</v>
      </c>
      <c r="BU250">
        <v>2</v>
      </c>
      <c r="BW250">
        <v>2</v>
      </c>
      <c r="BX250">
        <v>2</v>
      </c>
      <c r="BY250">
        <v>2</v>
      </c>
      <c r="BZ250">
        <v>2</v>
      </c>
      <c r="CA250">
        <v>2</v>
      </c>
    </row>
    <row r="251" spans="1:79" x14ac:dyDescent="0.3">
      <c r="A251">
        <v>1069</v>
      </c>
      <c r="B251" t="s">
        <v>1570</v>
      </c>
      <c r="D251">
        <v>3</v>
      </c>
      <c r="E251">
        <v>3</v>
      </c>
      <c r="G251">
        <v>2</v>
      </c>
      <c r="H251">
        <v>3</v>
      </c>
      <c r="I251">
        <v>2</v>
      </c>
      <c r="J251">
        <v>3</v>
      </c>
      <c r="K251">
        <v>3</v>
      </c>
      <c r="L251">
        <v>3</v>
      </c>
      <c r="N251">
        <v>2</v>
      </c>
      <c r="P251">
        <v>3</v>
      </c>
      <c r="Q251">
        <v>2</v>
      </c>
      <c r="R251">
        <v>3</v>
      </c>
      <c r="S251">
        <v>1</v>
      </c>
      <c r="T251">
        <v>3</v>
      </c>
      <c r="U251">
        <v>1</v>
      </c>
      <c r="V251">
        <v>2</v>
      </c>
      <c r="W251">
        <v>3</v>
      </c>
      <c r="X251">
        <v>2</v>
      </c>
      <c r="Y251">
        <v>3</v>
      </c>
      <c r="Z251">
        <v>3</v>
      </c>
      <c r="AB251">
        <v>3</v>
      </c>
      <c r="AC251">
        <v>3</v>
      </c>
      <c r="AD251">
        <v>3</v>
      </c>
      <c r="AE251">
        <v>3</v>
      </c>
      <c r="AF251">
        <v>3</v>
      </c>
      <c r="AG251">
        <v>3</v>
      </c>
      <c r="AH251">
        <v>3</v>
      </c>
      <c r="AI251">
        <v>3</v>
      </c>
      <c r="AJ251">
        <v>3</v>
      </c>
      <c r="AK251">
        <v>3</v>
      </c>
      <c r="AL251">
        <v>3</v>
      </c>
      <c r="AM251">
        <v>3</v>
      </c>
      <c r="AN251">
        <v>3</v>
      </c>
      <c r="AP251">
        <v>3</v>
      </c>
      <c r="AQ251">
        <v>1</v>
      </c>
      <c r="AR251">
        <v>2</v>
      </c>
      <c r="AT251">
        <v>3</v>
      </c>
      <c r="AU251">
        <v>2</v>
      </c>
      <c r="AV251">
        <v>0</v>
      </c>
      <c r="AX251">
        <v>3</v>
      </c>
      <c r="AY251">
        <v>3</v>
      </c>
      <c r="BA251">
        <v>3</v>
      </c>
      <c r="BB251">
        <v>3</v>
      </c>
      <c r="BD251">
        <v>3</v>
      </c>
      <c r="BE251">
        <v>1</v>
      </c>
      <c r="BH251">
        <v>3</v>
      </c>
      <c r="BI251">
        <v>3</v>
      </c>
      <c r="BJ251">
        <v>3</v>
      </c>
      <c r="BK251">
        <v>3</v>
      </c>
      <c r="BL251">
        <v>2</v>
      </c>
      <c r="BM251">
        <v>2</v>
      </c>
      <c r="BN251">
        <v>2</v>
      </c>
      <c r="BO251">
        <v>3</v>
      </c>
      <c r="BP251">
        <v>3</v>
      </c>
      <c r="BQ251">
        <v>3</v>
      </c>
      <c r="BR251">
        <v>3</v>
      </c>
      <c r="BS251">
        <v>3</v>
      </c>
      <c r="BT251">
        <v>2</v>
      </c>
      <c r="BU251">
        <v>3</v>
      </c>
      <c r="BW251">
        <v>3</v>
      </c>
      <c r="BX251">
        <v>2</v>
      </c>
      <c r="BY251">
        <v>3</v>
      </c>
      <c r="BZ251">
        <v>3</v>
      </c>
      <c r="CA251">
        <v>3</v>
      </c>
    </row>
    <row r="252" spans="1:79" x14ac:dyDescent="0.3">
      <c r="A252">
        <v>1070</v>
      </c>
      <c r="B252" t="s">
        <v>2024</v>
      </c>
      <c r="D252">
        <v>2</v>
      </c>
      <c r="E252">
        <v>2</v>
      </c>
      <c r="G252">
        <v>2</v>
      </c>
      <c r="H252">
        <v>2</v>
      </c>
      <c r="I252">
        <v>2</v>
      </c>
      <c r="J252">
        <v>2</v>
      </c>
      <c r="K252">
        <v>2</v>
      </c>
      <c r="L252">
        <v>2</v>
      </c>
      <c r="N252">
        <v>2</v>
      </c>
      <c r="P252">
        <v>2</v>
      </c>
      <c r="Q252">
        <v>1</v>
      </c>
      <c r="R252">
        <v>2</v>
      </c>
      <c r="S252">
        <v>2</v>
      </c>
      <c r="T252">
        <v>2</v>
      </c>
      <c r="U252">
        <v>2</v>
      </c>
      <c r="V252">
        <v>2</v>
      </c>
      <c r="W252">
        <v>2</v>
      </c>
      <c r="X252">
        <v>2</v>
      </c>
      <c r="Y252">
        <v>2</v>
      </c>
      <c r="Z252">
        <v>2</v>
      </c>
      <c r="AB252">
        <v>2</v>
      </c>
      <c r="AC252">
        <v>2</v>
      </c>
      <c r="AD252">
        <v>2</v>
      </c>
      <c r="AE252">
        <v>2</v>
      </c>
      <c r="AF252">
        <v>2</v>
      </c>
      <c r="AG252">
        <v>2</v>
      </c>
      <c r="AH252">
        <v>2</v>
      </c>
      <c r="AI252">
        <v>2</v>
      </c>
      <c r="AJ252">
        <v>2</v>
      </c>
      <c r="AK252">
        <v>2</v>
      </c>
      <c r="AL252">
        <v>2</v>
      </c>
      <c r="AM252">
        <v>2</v>
      </c>
      <c r="AN252">
        <v>2</v>
      </c>
      <c r="AP252">
        <v>2</v>
      </c>
      <c r="AQ252">
        <v>2</v>
      </c>
      <c r="AR252">
        <v>2</v>
      </c>
      <c r="AT252">
        <v>2</v>
      </c>
      <c r="AU252">
        <v>2</v>
      </c>
      <c r="AV252">
        <v>0</v>
      </c>
      <c r="AX252">
        <v>2</v>
      </c>
      <c r="AY252">
        <v>2</v>
      </c>
      <c r="BA252">
        <v>2</v>
      </c>
      <c r="BB252">
        <v>2</v>
      </c>
      <c r="BD252">
        <v>2</v>
      </c>
      <c r="BE252">
        <v>2</v>
      </c>
      <c r="BH252">
        <v>2</v>
      </c>
      <c r="BI252">
        <v>2</v>
      </c>
      <c r="BJ252">
        <v>2</v>
      </c>
      <c r="BK252">
        <v>2</v>
      </c>
      <c r="BL252">
        <v>2</v>
      </c>
      <c r="BM252">
        <v>2</v>
      </c>
      <c r="BN252">
        <v>2</v>
      </c>
      <c r="BO252">
        <v>2</v>
      </c>
      <c r="BP252">
        <v>2</v>
      </c>
      <c r="BQ252">
        <v>2</v>
      </c>
      <c r="BR252">
        <v>2</v>
      </c>
      <c r="BS252">
        <v>2</v>
      </c>
      <c r="BT252">
        <v>2</v>
      </c>
      <c r="BU252">
        <v>2</v>
      </c>
      <c r="BW252">
        <v>2</v>
      </c>
      <c r="BX252">
        <v>2</v>
      </c>
      <c r="BY252">
        <v>2</v>
      </c>
      <c r="BZ252">
        <v>2</v>
      </c>
      <c r="CA252">
        <v>2</v>
      </c>
    </row>
    <row r="253" spans="1:79" x14ac:dyDescent="0.3">
      <c r="A253">
        <v>1071</v>
      </c>
      <c r="B253" t="s">
        <v>2025</v>
      </c>
      <c r="D253">
        <v>37307</v>
      </c>
      <c r="E253">
        <v>3984827</v>
      </c>
      <c r="G253">
        <v>0</v>
      </c>
      <c r="H253">
        <v>1431311</v>
      </c>
      <c r="I253">
        <v>57119</v>
      </c>
      <c r="J253">
        <v>488564</v>
      </c>
      <c r="K253">
        <v>505915</v>
      </c>
      <c r="L253">
        <v>0</v>
      </c>
      <c r="N253">
        <v>0</v>
      </c>
      <c r="P253">
        <v>3929539</v>
      </c>
      <c r="Q253">
        <v>2363588</v>
      </c>
      <c r="R253">
        <v>0</v>
      </c>
      <c r="S253">
        <v>1749968</v>
      </c>
      <c r="T253">
        <v>0</v>
      </c>
      <c r="U253">
        <v>3828497</v>
      </c>
      <c r="V253">
        <v>0</v>
      </c>
      <c r="W253">
        <v>1138069</v>
      </c>
      <c r="X253">
        <v>4915742</v>
      </c>
      <c r="Y253">
        <v>321931</v>
      </c>
      <c r="Z253">
        <v>0</v>
      </c>
      <c r="AB253">
        <v>448661</v>
      </c>
      <c r="AC253">
        <v>13385</v>
      </c>
      <c r="AD253">
        <v>223088</v>
      </c>
      <c r="AE253">
        <v>569375</v>
      </c>
      <c r="AF253">
        <v>24380</v>
      </c>
      <c r="AG253">
        <v>16891</v>
      </c>
      <c r="AH253">
        <v>1883</v>
      </c>
      <c r="AI253">
        <v>0</v>
      </c>
      <c r="AJ253">
        <v>2408741</v>
      </c>
      <c r="AK253">
        <v>0</v>
      </c>
      <c r="AL253">
        <v>17528</v>
      </c>
      <c r="AM253">
        <v>3980481</v>
      </c>
      <c r="AN253">
        <v>401918</v>
      </c>
      <c r="AP253">
        <v>1105603</v>
      </c>
      <c r="AQ253">
        <v>6033899</v>
      </c>
      <c r="AR253">
        <v>215686</v>
      </c>
      <c r="AT253">
        <v>1165477</v>
      </c>
      <c r="AU253">
        <v>2784706</v>
      </c>
      <c r="AV253">
        <v>0</v>
      </c>
      <c r="AX253">
        <v>658995</v>
      </c>
      <c r="AY253">
        <v>1571178</v>
      </c>
      <c r="BA253">
        <v>0</v>
      </c>
      <c r="BB253">
        <v>465014</v>
      </c>
      <c r="BD253">
        <v>15000</v>
      </c>
      <c r="BE253">
        <v>3334058</v>
      </c>
      <c r="BH253">
        <v>337182</v>
      </c>
      <c r="BI253">
        <v>0</v>
      </c>
      <c r="BJ253">
        <v>159358</v>
      </c>
      <c r="BK253">
        <v>548638</v>
      </c>
      <c r="BL253">
        <v>0</v>
      </c>
      <c r="BM253">
        <v>0</v>
      </c>
      <c r="BN253">
        <v>555055</v>
      </c>
      <c r="BO253">
        <v>404135</v>
      </c>
      <c r="BP253">
        <v>144689</v>
      </c>
      <c r="BQ253">
        <v>852293</v>
      </c>
      <c r="BR253">
        <v>0</v>
      </c>
      <c r="BS253">
        <v>5280498</v>
      </c>
      <c r="BT253">
        <v>0</v>
      </c>
      <c r="BU253">
        <v>142243</v>
      </c>
      <c r="BW253">
        <v>107242</v>
      </c>
      <c r="BX253">
        <v>0</v>
      </c>
      <c r="BY253">
        <v>111</v>
      </c>
      <c r="BZ253">
        <v>2016944</v>
      </c>
      <c r="CA253">
        <v>33065</v>
      </c>
    </row>
    <row r="254" spans="1:79" x14ac:dyDescent="0.3">
      <c r="A254">
        <v>1075</v>
      </c>
      <c r="B254" t="s">
        <v>2026</v>
      </c>
      <c r="D254">
        <v>0</v>
      </c>
      <c r="E254">
        <v>0</v>
      </c>
      <c r="G254">
        <v>2051315</v>
      </c>
      <c r="H254">
        <v>0</v>
      </c>
      <c r="I254">
        <v>0</v>
      </c>
      <c r="J254">
        <v>0</v>
      </c>
      <c r="K254">
        <v>0</v>
      </c>
      <c r="L254">
        <v>0</v>
      </c>
      <c r="N254">
        <v>0</v>
      </c>
      <c r="P254">
        <v>0</v>
      </c>
      <c r="Q254">
        <v>0</v>
      </c>
      <c r="R254">
        <v>0</v>
      </c>
      <c r="S254">
        <v>0</v>
      </c>
      <c r="T254">
        <v>0</v>
      </c>
      <c r="U254">
        <v>0</v>
      </c>
      <c r="V254">
        <v>0</v>
      </c>
      <c r="W254">
        <v>0</v>
      </c>
      <c r="X254">
        <v>0</v>
      </c>
      <c r="Y254">
        <v>0</v>
      </c>
      <c r="Z254">
        <v>0</v>
      </c>
      <c r="AB254">
        <v>0</v>
      </c>
      <c r="AC254">
        <v>24594</v>
      </c>
      <c r="AD254">
        <v>0</v>
      </c>
      <c r="AE254">
        <v>0</v>
      </c>
      <c r="AF254">
        <v>0</v>
      </c>
      <c r="AG254">
        <v>0</v>
      </c>
      <c r="AH254">
        <v>0</v>
      </c>
      <c r="AI254">
        <v>0</v>
      </c>
      <c r="AJ254">
        <v>0</v>
      </c>
      <c r="AK254">
        <v>0</v>
      </c>
      <c r="AL254">
        <v>0</v>
      </c>
      <c r="AM254">
        <v>0</v>
      </c>
      <c r="AN254">
        <v>0</v>
      </c>
      <c r="AP254">
        <v>0</v>
      </c>
      <c r="AQ254">
        <v>0</v>
      </c>
      <c r="AR254">
        <v>0</v>
      </c>
      <c r="AT254">
        <v>0</v>
      </c>
      <c r="AU254">
        <v>0</v>
      </c>
      <c r="AV254">
        <v>0</v>
      </c>
      <c r="AX254">
        <v>0</v>
      </c>
      <c r="AY254">
        <v>0</v>
      </c>
      <c r="BA254">
        <v>9448</v>
      </c>
      <c r="BB254">
        <v>0</v>
      </c>
      <c r="BD254">
        <v>0</v>
      </c>
      <c r="BE254">
        <v>0</v>
      </c>
      <c r="BH254">
        <v>0</v>
      </c>
      <c r="BI254">
        <v>0</v>
      </c>
      <c r="BJ254">
        <v>0</v>
      </c>
      <c r="BK254">
        <v>0</v>
      </c>
      <c r="BL254">
        <v>0</v>
      </c>
      <c r="BM254">
        <v>0</v>
      </c>
      <c r="BN254">
        <v>0</v>
      </c>
      <c r="BO254">
        <v>0</v>
      </c>
      <c r="BP254">
        <v>0</v>
      </c>
      <c r="BQ254">
        <v>0</v>
      </c>
      <c r="BR254">
        <v>0</v>
      </c>
      <c r="BS254">
        <v>0</v>
      </c>
      <c r="BT254">
        <v>0</v>
      </c>
      <c r="BU254">
        <v>0</v>
      </c>
      <c r="BW254">
        <v>0</v>
      </c>
      <c r="BX254">
        <v>0</v>
      </c>
      <c r="BY254">
        <v>0</v>
      </c>
      <c r="BZ254">
        <v>0</v>
      </c>
      <c r="CA254">
        <v>0</v>
      </c>
    </row>
    <row r="255" spans="1:79" x14ac:dyDescent="0.3">
      <c r="A255">
        <v>1076</v>
      </c>
      <c r="B255" t="s">
        <v>2027</v>
      </c>
      <c r="D255">
        <v>0</v>
      </c>
      <c r="E255">
        <v>0</v>
      </c>
      <c r="G255">
        <v>0</v>
      </c>
      <c r="H255">
        <v>0</v>
      </c>
      <c r="I255">
        <v>0</v>
      </c>
      <c r="J255">
        <v>0</v>
      </c>
      <c r="K255">
        <v>0</v>
      </c>
      <c r="L255">
        <v>0</v>
      </c>
      <c r="N255">
        <v>0</v>
      </c>
      <c r="P255">
        <v>0</v>
      </c>
      <c r="Q255">
        <v>0</v>
      </c>
      <c r="R255">
        <v>0</v>
      </c>
      <c r="S255">
        <v>0</v>
      </c>
      <c r="T255">
        <v>0</v>
      </c>
      <c r="U255">
        <v>0</v>
      </c>
      <c r="V255">
        <v>0</v>
      </c>
      <c r="W255">
        <v>0</v>
      </c>
      <c r="X255">
        <v>0</v>
      </c>
      <c r="Y255">
        <v>0</v>
      </c>
      <c r="Z255">
        <v>20000</v>
      </c>
      <c r="AB255">
        <v>0</v>
      </c>
      <c r="AC255">
        <v>0</v>
      </c>
      <c r="AD255">
        <v>0</v>
      </c>
      <c r="AE255">
        <v>0</v>
      </c>
      <c r="AF255">
        <v>0</v>
      </c>
      <c r="AG255">
        <v>0</v>
      </c>
      <c r="AH255">
        <v>0</v>
      </c>
      <c r="AI255">
        <v>0</v>
      </c>
      <c r="AJ255">
        <v>0</v>
      </c>
      <c r="AK255">
        <v>0</v>
      </c>
      <c r="AL255">
        <v>0</v>
      </c>
      <c r="AM255">
        <v>0</v>
      </c>
      <c r="AN255">
        <v>0</v>
      </c>
      <c r="AP255">
        <v>0</v>
      </c>
      <c r="AQ255">
        <v>0</v>
      </c>
      <c r="AR255">
        <v>0</v>
      </c>
      <c r="AT255">
        <v>0</v>
      </c>
      <c r="AU255">
        <v>389222</v>
      </c>
      <c r="AV255">
        <v>0</v>
      </c>
      <c r="AX255">
        <v>0</v>
      </c>
      <c r="AY255">
        <v>60000</v>
      </c>
      <c r="BA255">
        <v>0</v>
      </c>
      <c r="BB255">
        <v>0</v>
      </c>
      <c r="BD255">
        <v>0</v>
      </c>
      <c r="BE255">
        <v>104047</v>
      </c>
      <c r="BH255">
        <v>0</v>
      </c>
      <c r="BI255">
        <v>0</v>
      </c>
      <c r="BJ255">
        <v>0</v>
      </c>
      <c r="BK255">
        <v>0</v>
      </c>
      <c r="BL255">
        <v>0</v>
      </c>
      <c r="BM255">
        <v>0</v>
      </c>
      <c r="BN255">
        <v>0</v>
      </c>
      <c r="BO255">
        <v>0</v>
      </c>
      <c r="BP255">
        <v>0</v>
      </c>
      <c r="BQ255">
        <v>0</v>
      </c>
      <c r="BR255">
        <v>0</v>
      </c>
      <c r="BS255">
        <v>0</v>
      </c>
      <c r="BT255">
        <v>0</v>
      </c>
      <c r="BU255">
        <v>0</v>
      </c>
      <c r="BW255">
        <v>73889</v>
      </c>
      <c r="BX255">
        <v>0</v>
      </c>
      <c r="BY255">
        <v>0</v>
      </c>
      <c r="BZ255">
        <v>0</v>
      </c>
      <c r="CA255">
        <v>0</v>
      </c>
    </row>
    <row r="256" spans="1:79" x14ac:dyDescent="0.3">
      <c r="A256">
        <v>1077</v>
      </c>
      <c r="B256" t="s">
        <v>2028</v>
      </c>
      <c r="D256">
        <v>0</v>
      </c>
      <c r="E256">
        <v>0</v>
      </c>
      <c r="G256">
        <v>4528792</v>
      </c>
      <c r="H256">
        <v>449016</v>
      </c>
      <c r="I256">
        <v>0</v>
      </c>
      <c r="J256">
        <v>0</v>
      </c>
      <c r="K256">
        <v>0</v>
      </c>
      <c r="L256">
        <v>0</v>
      </c>
      <c r="N256">
        <v>0</v>
      </c>
      <c r="P256">
        <v>0</v>
      </c>
      <c r="Q256">
        <v>0</v>
      </c>
      <c r="R256">
        <v>0</v>
      </c>
      <c r="S256">
        <v>330000</v>
      </c>
      <c r="T256">
        <v>0</v>
      </c>
      <c r="U256">
        <v>10108</v>
      </c>
      <c r="V256">
        <v>0</v>
      </c>
      <c r="W256">
        <v>0</v>
      </c>
      <c r="X256">
        <v>0</v>
      </c>
      <c r="Y256">
        <v>0</v>
      </c>
      <c r="Z256">
        <v>0</v>
      </c>
      <c r="AB256">
        <v>0</v>
      </c>
      <c r="AC256">
        <v>0</v>
      </c>
      <c r="AD256">
        <v>0</v>
      </c>
      <c r="AE256">
        <v>0</v>
      </c>
      <c r="AF256">
        <v>0</v>
      </c>
      <c r="AG256">
        <v>0</v>
      </c>
      <c r="AH256">
        <v>0</v>
      </c>
      <c r="AI256">
        <v>0</v>
      </c>
      <c r="AJ256">
        <v>0</v>
      </c>
      <c r="AK256">
        <v>0</v>
      </c>
      <c r="AL256">
        <v>0</v>
      </c>
      <c r="AM256">
        <v>0</v>
      </c>
      <c r="AN256">
        <v>0</v>
      </c>
      <c r="AP256">
        <v>0</v>
      </c>
      <c r="AQ256">
        <v>0</v>
      </c>
      <c r="AR256">
        <v>73300</v>
      </c>
      <c r="AT256">
        <v>0</v>
      </c>
      <c r="AU256">
        <v>0</v>
      </c>
      <c r="AV256">
        <v>0</v>
      </c>
      <c r="AX256">
        <v>0</v>
      </c>
      <c r="AY256">
        <v>0</v>
      </c>
      <c r="BA256">
        <v>0</v>
      </c>
      <c r="BB256">
        <v>0</v>
      </c>
      <c r="BD256">
        <v>0</v>
      </c>
      <c r="BE256">
        <v>0</v>
      </c>
      <c r="BH256">
        <v>0</v>
      </c>
      <c r="BI256">
        <v>0</v>
      </c>
      <c r="BJ256">
        <v>0</v>
      </c>
      <c r="BK256">
        <v>0</v>
      </c>
      <c r="BL256">
        <v>0</v>
      </c>
      <c r="BM256">
        <v>0</v>
      </c>
      <c r="BN256">
        <v>0</v>
      </c>
      <c r="BO256">
        <v>0</v>
      </c>
      <c r="BP256">
        <v>0</v>
      </c>
      <c r="BQ256">
        <v>0</v>
      </c>
      <c r="BR256">
        <v>0</v>
      </c>
      <c r="BS256">
        <v>0</v>
      </c>
      <c r="BT256">
        <v>0</v>
      </c>
      <c r="BU256">
        <v>0</v>
      </c>
      <c r="BW256">
        <v>0</v>
      </c>
      <c r="BX256">
        <v>0</v>
      </c>
      <c r="BY256">
        <v>0</v>
      </c>
      <c r="BZ256">
        <v>3708102</v>
      </c>
      <c r="CA256">
        <v>0</v>
      </c>
    </row>
    <row r="257" spans="1:79" x14ac:dyDescent="0.3">
      <c r="A257">
        <v>1078</v>
      </c>
      <c r="B257" t="s">
        <v>2029</v>
      </c>
      <c r="D257">
        <v>3</v>
      </c>
      <c r="E257">
        <v>3</v>
      </c>
      <c r="G257">
        <v>3</v>
      </c>
      <c r="H257">
        <v>3</v>
      </c>
      <c r="I257">
        <v>3</v>
      </c>
      <c r="J257">
        <v>2</v>
      </c>
      <c r="K257">
        <v>3</v>
      </c>
      <c r="L257">
        <v>3</v>
      </c>
      <c r="N257">
        <v>3</v>
      </c>
      <c r="P257">
        <v>3</v>
      </c>
      <c r="Q257">
        <v>3</v>
      </c>
      <c r="R257">
        <v>3</v>
      </c>
      <c r="S257">
        <v>3</v>
      </c>
      <c r="T257">
        <v>3</v>
      </c>
      <c r="U257">
        <v>3</v>
      </c>
      <c r="V257">
        <v>3</v>
      </c>
      <c r="W257">
        <v>3</v>
      </c>
      <c r="X257">
        <v>3</v>
      </c>
      <c r="Y257">
        <v>3</v>
      </c>
      <c r="Z257">
        <v>3</v>
      </c>
      <c r="AB257">
        <v>3</v>
      </c>
      <c r="AC257">
        <v>3</v>
      </c>
      <c r="AD257">
        <v>3</v>
      </c>
      <c r="AE257">
        <v>3</v>
      </c>
      <c r="AF257">
        <v>3</v>
      </c>
      <c r="AG257">
        <v>3</v>
      </c>
      <c r="AH257">
        <v>3</v>
      </c>
      <c r="AI257">
        <v>3</v>
      </c>
      <c r="AJ257">
        <v>3</v>
      </c>
      <c r="AK257">
        <v>3</v>
      </c>
      <c r="AL257">
        <v>3</v>
      </c>
      <c r="AM257">
        <v>3</v>
      </c>
      <c r="AN257">
        <v>3</v>
      </c>
      <c r="AP257">
        <v>3</v>
      </c>
      <c r="AQ257">
        <v>3</v>
      </c>
      <c r="AR257">
        <v>3</v>
      </c>
      <c r="AT257">
        <v>3</v>
      </c>
      <c r="AU257">
        <v>3</v>
      </c>
      <c r="AV257">
        <v>3</v>
      </c>
      <c r="AX257">
        <v>3</v>
      </c>
      <c r="AY257">
        <v>3</v>
      </c>
      <c r="BA257">
        <v>3</v>
      </c>
      <c r="BB257">
        <v>3</v>
      </c>
      <c r="BD257">
        <v>3</v>
      </c>
      <c r="BE257">
        <v>3</v>
      </c>
      <c r="BH257">
        <v>3</v>
      </c>
      <c r="BI257">
        <v>3</v>
      </c>
      <c r="BJ257">
        <v>3</v>
      </c>
      <c r="BK257">
        <v>3</v>
      </c>
      <c r="BL257">
        <v>3</v>
      </c>
      <c r="BM257">
        <v>3</v>
      </c>
      <c r="BN257">
        <v>3</v>
      </c>
      <c r="BO257">
        <v>3</v>
      </c>
      <c r="BP257">
        <v>3</v>
      </c>
      <c r="BQ257">
        <v>3</v>
      </c>
      <c r="BR257">
        <v>3</v>
      </c>
      <c r="BS257">
        <v>3</v>
      </c>
      <c r="BT257">
        <v>3</v>
      </c>
      <c r="BU257">
        <v>3</v>
      </c>
      <c r="BW257">
        <v>3</v>
      </c>
      <c r="BX257">
        <v>3</v>
      </c>
      <c r="BY257">
        <v>3</v>
      </c>
      <c r="BZ257">
        <v>3</v>
      </c>
      <c r="CA257">
        <v>3</v>
      </c>
    </row>
    <row r="258" spans="1:79" x14ac:dyDescent="0.3">
      <c r="A258">
        <v>1079</v>
      </c>
      <c r="B258" t="s">
        <v>1943</v>
      </c>
      <c r="D258" t="s">
        <v>2555</v>
      </c>
      <c r="E258" t="s">
        <v>2030</v>
      </c>
      <c r="G258" t="s">
        <v>1983</v>
      </c>
      <c r="H258" t="s">
        <v>2653</v>
      </c>
      <c r="I258" t="s">
        <v>2568</v>
      </c>
      <c r="J258" t="s">
        <v>1916</v>
      </c>
      <c r="K258" t="s">
        <v>2558</v>
      </c>
      <c r="L258" t="s">
        <v>1996</v>
      </c>
      <c r="N258" t="s">
        <v>1993</v>
      </c>
      <c r="P258" t="s">
        <v>2001</v>
      </c>
      <c r="Q258" t="s">
        <v>1970</v>
      </c>
      <c r="R258" t="s">
        <v>2526</v>
      </c>
      <c r="S258" t="s">
        <v>1991</v>
      </c>
      <c r="T258" t="s">
        <v>1985</v>
      </c>
      <c r="U258" t="s">
        <v>2560</v>
      </c>
      <c r="V258" t="s">
        <v>2568</v>
      </c>
      <c r="W258" t="s">
        <v>1981</v>
      </c>
      <c r="X258" t="s">
        <v>1992</v>
      </c>
      <c r="Y258" t="s">
        <v>2571</v>
      </c>
      <c r="Z258" t="s">
        <v>1986</v>
      </c>
      <c r="AB258" t="s">
        <v>1981</v>
      </c>
      <c r="AC258" t="s">
        <v>2446</v>
      </c>
      <c r="AD258" t="s">
        <v>2612</v>
      </c>
      <c r="AE258" t="s">
        <v>2654</v>
      </c>
      <c r="AF258" t="s">
        <v>2564</v>
      </c>
      <c r="AG258" t="s">
        <v>2655</v>
      </c>
      <c r="AH258" t="s">
        <v>1985</v>
      </c>
      <c r="AI258" t="s">
        <v>2656</v>
      </c>
      <c r="AJ258" t="s">
        <v>2437</v>
      </c>
      <c r="AK258" t="s">
        <v>2569</v>
      </c>
      <c r="AL258" t="s">
        <v>2657</v>
      </c>
      <c r="AM258" t="s">
        <v>1988</v>
      </c>
      <c r="AN258" t="s">
        <v>2564</v>
      </c>
      <c r="AP258" t="s">
        <v>2571</v>
      </c>
      <c r="AQ258" t="s">
        <v>1981</v>
      </c>
      <c r="AR258" t="s">
        <v>2526</v>
      </c>
      <c r="AT258" t="s">
        <v>2658</v>
      </c>
      <c r="AU258" t="s">
        <v>2446</v>
      </c>
      <c r="AV258" t="s">
        <v>2659</v>
      </c>
      <c r="AX258" t="s">
        <v>2033</v>
      </c>
      <c r="AY258" t="s">
        <v>1973</v>
      </c>
      <c r="BA258" t="s">
        <v>1986</v>
      </c>
      <c r="BB258" t="s">
        <v>1981</v>
      </c>
      <c r="BD258" t="s">
        <v>2573</v>
      </c>
      <c r="BE258" t="s">
        <v>2034</v>
      </c>
      <c r="BH258" t="s">
        <v>2574</v>
      </c>
      <c r="BI258" t="s">
        <v>2660</v>
      </c>
      <c r="BJ258" t="s">
        <v>1985</v>
      </c>
      <c r="BK258" t="s">
        <v>1991</v>
      </c>
      <c r="BL258" t="s">
        <v>2661</v>
      </c>
      <c r="BM258" t="s">
        <v>1995</v>
      </c>
      <c r="BN258" t="s">
        <v>1986</v>
      </c>
      <c r="BO258" t="s">
        <v>1985</v>
      </c>
      <c r="BP258" t="s">
        <v>1992</v>
      </c>
      <c r="BQ258" t="s">
        <v>1982</v>
      </c>
      <c r="BR258" t="s">
        <v>1985</v>
      </c>
      <c r="BS258" t="s">
        <v>1991</v>
      </c>
      <c r="BT258" t="s">
        <v>1985</v>
      </c>
      <c r="BU258" t="s">
        <v>2614</v>
      </c>
      <c r="BW258" t="s">
        <v>2556</v>
      </c>
      <c r="BX258" t="s">
        <v>2653</v>
      </c>
      <c r="BY258" t="s">
        <v>2579</v>
      </c>
      <c r="BZ258" t="s">
        <v>1996</v>
      </c>
      <c r="CA258" t="s">
        <v>1985</v>
      </c>
    </row>
    <row r="259" spans="1:79" x14ac:dyDescent="0.3">
      <c r="A259">
        <v>9000</v>
      </c>
      <c r="B259" t="s">
        <v>950</v>
      </c>
      <c r="C259" t="s">
        <v>349</v>
      </c>
      <c r="D259">
        <v>47828362.494999997</v>
      </c>
      <c r="E259" s="566">
        <f>857116212.805-264908</f>
        <v>856851304.80499995</v>
      </c>
      <c r="F259">
        <v>50242.01</v>
      </c>
      <c r="G259">
        <v>2726740123.7379999</v>
      </c>
      <c r="H259">
        <v>309062225.245</v>
      </c>
      <c r="I259">
        <v>16774346.51</v>
      </c>
      <c r="J259">
        <v>126682871.88</v>
      </c>
      <c r="K259">
        <v>89594515.5</v>
      </c>
      <c r="L259">
        <v>3099260779.9099998</v>
      </c>
      <c r="M259">
        <v>50248</v>
      </c>
      <c r="N259">
        <v>52250687.590000004</v>
      </c>
      <c r="O259">
        <v>50250.01</v>
      </c>
      <c r="P259">
        <v>1302815685.809</v>
      </c>
      <c r="Q259">
        <v>799171605.33500004</v>
      </c>
      <c r="R259">
        <v>382720513.69050002</v>
      </c>
      <c r="S259">
        <v>1014396732.04</v>
      </c>
      <c r="T259">
        <v>19163239.93</v>
      </c>
      <c r="U259">
        <v>1884315214.5999999</v>
      </c>
      <c r="V259">
        <v>2197899.83</v>
      </c>
      <c r="W259">
        <v>303952040.85000002</v>
      </c>
      <c r="X259">
        <v>885503208.74000001</v>
      </c>
      <c r="Y259">
        <v>255888859.93579999</v>
      </c>
      <c r="Z259">
        <v>327338301.83200002</v>
      </c>
      <c r="AA259">
        <v>50260.01</v>
      </c>
      <c r="AB259">
        <v>32051278.920000002</v>
      </c>
      <c r="AC259">
        <v>12534832.343</v>
      </c>
      <c r="AD259">
        <v>99068716.120000005</v>
      </c>
      <c r="AE259">
        <v>261192349.27000001</v>
      </c>
      <c r="AF259">
        <v>12958708.109999999</v>
      </c>
      <c r="AG259">
        <v>1507784.95</v>
      </c>
      <c r="AH259">
        <v>7887620.5</v>
      </c>
      <c r="AI259">
        <v>66466839.795000002</v>
      </c>
      <c r="AJ259">
        <v>649097143.62</v>
      </c>
      <c r="AK259">
        <v>22080079.710000001</v>
      </c>
      <c r="AL259">
        <v>1455805.86</v>
      </c>
      <c r="AM259">
        <v>948975305.62</v>
      </c>
      <c r="AN259">
        <v>985009266.96850002</v>
      </c>
      <c r="AO259">
        <v>50270.01</v>
      </c>
      <c r="AP259">
        <v>172407412.45699999</v>
      </c>
      <c r="AQ259">
        <v>1933596391.49</v>
      </c>
      <c r="AR259">
        <v>96991713.400000006</v>
      </c>
      <c r="AS259">
        <v>50273.01</v>
      </c>
      <c r="AT259">
        <v>188210158.25</v>
      </c>
      <c r="AU259" s="566">
        <f>749029334.28-131622</f>
        <v>748897712.27999997</v>
      </c>
      <c r="AV259">
        <v>24385457.960000001</v>
      </c>
      <c r="AW259">
        <v>50277.01</v>
      </c>
      <c r="AX259">
        <v>251972721.31</v>
      </c>
      <c r="AY259">
        <v>175361076.13</v>
      </c>
      <c r="AZ259">
        <v>50280.09</v>
      </c>
      <c r="BA259">
        <v>4976505.3600000003</v>
      </c>
      <c r="BB259">
        <v>119965856.09</v>
      </c>
      <c r="BC259">
        <v>50283.1</v>
      </c>
      <c r="BD259">
        <v>3917689.8</v>
      </c>
      <c r="BE259">
        <v>1481688191.6900001</v>
      </c>
      <c r="BF259">
        <v>50286.1</v>
      </c>
      <c r="BG259">
        <v>50287</v>
      </c>
      <c r="BH259">
        <v>150263731.59</v>
      </c>
      <c r="BI259">
        <v>144583558.41</v>
      </c>
      <c r="BJ259">
        <v>47017754.229999997</v>
      </c>
      <c r="BK259">
        <v>359652943.13999999</v>
      </c>
      <c r="BL259">
        <v>244271647.00999999</v>
      </c>
      <c r="BM259">
        <v>2209935</v>
      </c>
      <c r="BN259">
        <v>333099459.89999998</v>
      </c>
      <c r="BO259">
        <v>179993119.72</v>
      </c>
      <c r="BP259">
        <v>80367802.540000007</v>
      </c>
      <c r="BQ259">
        <v>126873884.59</v>
      </c>
      <c r="BR259">
        <v>81633966.019999996</v>
      </c>
      <c r="BS259">
        <v>1276653248.2550001</v>
      </c>
      <c r="BT259">
        <v>93072040.950000003</v>
      </c>
      <c r="BU259">
        <v>218680254.58000001</v>
      </c>
      <c r="BV259">
        <v>50299.01</v>
      </c>
      <c r="BW259">
        <v>57338871.5</v>
      </c>
      <c r="BX259">
        <v>2293785.31</v>
      </c>
      <c r="BY259">
        <v>2321299.61</v>
      </c>
      <c r="BZ259">
        <v>1191111001.46</v>
      </c>
      <c r="CA259">
        <v>2340283.98</v>
      </c>
    </row>
    <row r="260" spans="1:79" x14ac:dyDescent="0.3">
      <c r="A260">
        <v>9001</v>
      </c>
      <c r="B260" t="s">
        <v>951</v>
      </c>
      <c r="C260" t="s">
        <v>952</v>
      </c>
      <c r="D260">
        <v>7263313</v>
      </c>
      <c r="E260">
        <v>132832315</v>
      </c>
      <c r="F260">
        <v>0</v>
      </c>
      <c r="G260">
        <v>192091873</v>
      </c>
      <c r="H260">
        <v>19610224</v>
      </c>
      <c r="I260">
        <v>831996</v>
      </c>
      <c r="J260">
        <v>5204857</v>
      </c>
      <c r="K260">
        <v>6065630</v>
      </c>
      <c r="L260">
        <v>372292842</v>
      </c>
      <c r="M260">
        <v>0</v>
      </c>
      <c r="N260">
        <v>2666550</v>
      </c>
      <c r="O260">
        <v>0</v>
      </c>
      <c r="P260">
        <v>238336434</v>
      </c>
      <c r="Q260">
        <v>73526821</v>
      </c>
      <c r="R260">
        <v>19818678</v>
      </c>
      <c r="S260">
        <v>44857436</v>
      </c>
      <c r="T260">
        <v>1065767</v>
      </c>
      <c r="U260">
        <v>64606474</v>
      </c>
      <c r="V260">
        <v>291489</v>
      </c>
      <c r="W260">
        <v>40635585</v>
      </c>
      <c r="X260">
        <v>170453844</v>
      </c>
      <c r="Y260">
        <v>25438310</v>
      </c>
      <c r="Z260">
        <v>6661968</v>
      </c>
      <c r="AA260">
        <v>0</v>
      </c>
      <c r="AB260">
        <v>3063648</v>
      </c>
      <c r="AC260">
        <v>820688</v>
      </c>
      <c r="AD260">
        <v>4419498</v>
      </c>
      <c r="AE260">
        <v>13427051</v>
      </c>
      <c r="AF260">
        <v>1929141</v>
      </c>
      <c r="AG260">
        <v>203021</v>
      </c>
      <c r="AH260">
        <v>1296260</v>
      </c>
      <c r="AI260">
        <v>8720355</v>
      </c>
      <c r="AJ260">
        <v>28655946</v>
      </c>
      <c r="AK260">
        <v>1741563</v>
      </c>
      <c r="AL260">
        <v>166745</v>
      </c>
      <c r="AM260">
        <v>161628806</v>
      </c>
      <c r="AN260">
        <v>55790694</v>
      </c>
      <c r="AO260">
        <v>0</v>
      </c>
      <c r="AP260">
        <v>27796218</v>
      </c>
      <c r="AQ260">
        <v>82048758</v>
      </c>
      <c r="AR260">
        <v>5624675</v>
      </c>
      <c r="AS260">
        <v>0</v>
      </c>
      <c r="AT260">
        <v>18688312</v>
      </c>
      <c r="AU260">
        <v>41044048</v>
      </c>
      <c r="AV260">
        <v>1182400</v>
      </c>
      <c r="AW260">
        <v>0</v>
      </c>
      <c r="AX260">
        <v>18972840</v>
      </c>
      <c r="AY260">
        <v>9754764</v>
      </c>
      <c r="AZ260">
        <v>0</v>
      </c>
      <c r="BA260">
        <v>565300</v>
      </c>
      <c r="BB260">
        <v>8942982</v>
      </c>
      <c r="BC260">
        <v>0</v>
      </c>
      <c r="BD260">
        <v>438784</v>
      </c>
      <c r="BE260">
        <v>70338728</v>
      </c>
      <c r="BF260">
        <v>0</v>
      </c>
      <c r="BG260">
        <v>0</v>
      </c>
      <c r="BH260">
        <v>13469697</v>
      </c>
      <c r="BI260">
        <v>14302565</v>
      </c>
      <c r="BJ260">
        <v>1282286</v>
      </c>
      <c r="BK260">
        <v>19419730</v>
      </c>
      <c r="BL260">
        <v>17604418</v>
      </c>
      <c r="BM260">
        <v>266969</v>
      </c>
      <c r="BN260">
        <v>24927784</v>
      </c>
      <c r="BO260">
        <v>11578357</v>
      </c>
      <c r="BP260">
        <v>2564672</v>
      </c>
      <c r="BQ260">
        <v>7362564</v>
      </c>
      <c r="BR260">
        <v>17283562</v>
      </c>
      <c r="BS260">
        <v>299173434</v>
      </c>
      <c r="BT260">
        <v>6351935</v>
      </c>
      <c r="BU260">
        <v>8260696</v>
      </c>
      <c r="BV260">
        <v>0</v>
      </c>
      <c r="BW260">
        <v>5358271</v>
      </c>
      <c r="BX260">
        <v>283305</v>
      </c>
      <c r="BY260">
        <v>292647</v>
      </c>
      <c r="BZ260">
        <v>106764027</v>
      </c>
      <c r="CA260">
        <v>391555</v>
      </c>
    </row>
    <row r="261" spans="1:79" x14ac:dyDescent="0.3">
      <c r="A261">
        <v>9002</v>
      </c>
      <c r="B261" t="s">
        <v>953</v>
      </c>
      <c r="C261" t="s">
        <v>954</v>
      </c>
      <c r="D261">
        <v>130045</v>
      </c>
      <c r="E261">
        <v>12431471</v>
      </c>
      <c r="F261">
        <v>0</v>
      </c>
      <c r="G261">
        <v>8433147</v>
      </c>
      <c r="H261">
        <v>558152</v>
      </c>
      <c r="I261">
        <v>17528</v>
      </c>
      <c r="J261">
        <v>50883</v>
      </c>
      <c r="K261">
        <v>409336</v>
      </c>
      <c r="L261">
        <v>16619733</v>
      </c>
      <c r="M261">
        <v>0</v>
      </c>
      <c r="N261">
        <v>53095</v>
      </c>
      <c r="O261">
        <v>0</v>
      </c>
      <c r="P261">
        <v>13138883</v>
      </c>
      <c r="Q261">
        <v>3505274</v>
      </c>
      <c r="R261">
        <v>2515203</v>
      </c>
      <c r="S261">
        <v>1652123</v>
      </c>
      <c r="T261">
        <v>224372</v>
      </c>
      <c r="U261">
        <v>3515161</v>
      </c>
      <c r="V261">
        <v>753</v>
      </c>
      <c r="W261">
        <v>1514754</v>
      </c>
      <c r="X261">
        <v>4631976</v>
      </c>
      <c r="Y261">
        <v>1663006</v>
      </c>
      <c r="Z261">
        <v>352336</v>
      </c>
      <c r="AA261">
        <v>0</v>
      </c>
      <c r="AB261">
        <v>503470</v>
      </c>
      <c r="AC261">
        <v>10777</v>
      </c>
      <c r="AD261">
        <v>65182</v>
      </c>
      <c r="AE261">
        <v>374812</v>
      </c>
      <c r="AF261">
        <v>507490</v>
      </c>
      <c r="AG261">
        <v>1544</v>
      </c>
      <c r="AH261">
        <v>47617</v>
      </c>
      <c r="AI261">
        <v>1068221</v>
      </c>
      <c r="AJ261">
        <v>3373324</v>
      </c>
      <c r="AK261">
        <v>286066</v>
      </c>
      <c r="AL261">
        <v>4550</v>
      </c>
      <c r="AM261">
        <v>12550648</v>
      </c>
      <c r="AN261">
        <v>3874070</v>
      </c>
      <c r="AO261">
        <v>0</v>
      </c>
      <c r="AP261">
        <v>2653592</v>
      </c>
      <c r="AQ261">
        <v>3967089</v>
      </c>
      <c r="AR261">
        <v>367012</v>
      </c>
      <c r="AS261">
        <v>0</v>
      </c>
      <c r="AT261">
        <v>622759</v>
      </c>
      <c r="AU261">
        <v>1701797</v>
      </c>
      <c r="AV261">
        <v>5487</v>
      </c>
      <c r="AW261">
        <v>0</v>
      </c>
      <c r="AX261">
        <v>339025</v>
      </c>
      <c r="AY261">
        <v>205353</v>
      </c>
      <c r="AZ261">
        <v>0</v>
      </c>
      <c r="BA261">
        <v>241498</v>
      </c>
      <c r="BB261">
        <v>204087</v>
      </c>
      <c r="BC261">
        <v>0</v>
      </c>
      <c r="BD261">
        <v>1152</v>
      </c>
      <c r="BE261">
        <v>3699033</v>
      </c>
      <c r="BF261">
        <v>0</v>
      </c>
      <c r="BG261">
        <v>0</v>
      </c>
      <c r="BH261">
        <v>215276</v>
      </c>
      <c r="BI261">
        <v>606911</v>
      </c>
      <c r="BJ261">
        <v>70849</v>
      </c>
      <c r="BK261">
        <v>233523</v>
      </c>
      <c r="BL261">
        <v>244929</v>
      </c>
      <c r="BM261">
        <v>0</v>
      </c>
      <c r="BN261">
        <v>1723595</v>
      </c>
      <c r="BO261">
        <v>386107</v>
      </c>
      <c r="BP261">
        <v>34916</v>
      </c>
      <c r="BQ261">
        <v>128601</v>
      </c>
      <c r="BR261">
        <v>196844</v>
      </c>
      <c r="BS261">
        <v>3043093</v>
      </c>
      <c r="BT261">
        <v>113699</v>
      </c>
      <c r="BU261">
        <v>5704185</v>
      </c>
      <c r="BV261">
        <v>0</v>
      </c>
      <c r="BW261">
        <v>3460</v>
      </c>
      <c r="BX261">
        <v>0</v>
      </c>
      <c r="BY261">
        <v>26608</v>
      </c>
      <c r="BZ261">
        <v>4521170</v>
      </c>
      <c r="CA261">
        <v>35798</v>
      </c>
    </row>
    <row r="262" spans="1:79" x14ac:dyDescent="0.3">
      <c r="A262">
        <v>9003</v>
      </c>
      <c r="B262" t="s">
        <v>955</v>
      </c>
      <c r="C262" t="s">
        <v>956</v>
      </c>
      <c r="D262">
        <v>2603710</v>
      </c>
      <c r="E262">
        <v>30154878</v>
      </c>
      <c r="F262">
        <v>0</v>
      </c>
      <c r="G262">
        <v>47262213</v>
      </c>
      <c r="H262">
        <v>3090596</v>
      </c>
      <c r="I262">
        <v>502093</v>
      </c>
      <c r="J262">
        <v>781658</v>
      </c>
      <c r="K262">
        <v>2998173</v>
      </c>
      <c r="L262">
        <v>230079187</v>
      </c>
      <c r="M262">
        <v>0</v>
      </c>
      <c r="N262">
        <v>1266345</v>
      </c>
      <c r="O262">
        <v>0</v>
      </c>
      <c r="P262">
        <v>78031949</v>
      </c>
      <c r="Q262">
        <v>25514338</v>
      </c>
      <c r="R262">
        <v>7654859</v>
      </c>
      <c r="S262">
        <v>21757642</v>
      </c>
      <c r="T262">
        <v>224372</v>
      </c>
      <c r="U262">
        <v>29681409</v>
      </c>
      <c r="V262">
        <v>29906</v>
      </c>
      <c r="W262">
        <v>11232538</v>
      </c>
      <c r="X262">
        <v>43222652</v>
      </c>
      <c r="Y262">
        <v>12085947</v>
      </c>
      <c r="Z262">
        <v>638481</v>
      </c>
      <c r="AA262">
        <v>0</v>
      </c>
      <c r="AB262">
        <v>503470</v>
      </c>
      <c r="AC262">
        <v>46452</v>
      </c>
      <c r="AD262">
        <v>590435</v>
      </c>
      <c r="AE262">
        <v>2625092</v>
      </c>
      <c r="AF262">
        <v>507490</v>
      </c>
      <c r="AG262">
        <v>1544</v>
      </c>
      <c r="AH262">
        <v>47617</v>
      </c>
      <c r="AI262">
        <v>2319454</v>
      </c>
      <c r="AJ262">
        <v>14660561</v>
      </c>
      <c r="AK262">
        <v>286066</v>
      </c>
      <c r="AL262">
        <v>4550</v>
      </c>
      <c r="AM262">
        <v>35459053</v>
      </c>
      <c r="AN262">
        <v>19702362</v>
      </c>
      <c r="AO262">
        <v>0</v>
      </c>
      <c r="AP262">
        <v>4495551</v>
      </c>
      <c r="AQ262">
        <v>36547779</v>
      </c>
      <c r="AR262">
        <v>2539827</v>
      </c>
      <c r="AS262">
        <v>0</v>
      </c>
      <c r="AT262">
        <v>6610189</v>
      </c>
      <c r="AU262">
        <v>20189330</v>
      </c>
      <c r="AV262">
        <v>50759</v>
      </c>
      <c r="AW262">
        <v>0</v>
      </c>
      <c r="AX262">
        <v>2238400</v>
      </c>
      <c r="AY262">
        <v>3362798</v>
      </c>
      <c r="AZ262">
        <v>0</v>
      </c>
      <c r="BA262">
        <v>277192</v>
      </c>
      <c r="BB262">
        <v>2045645</v>
      </c>
      <c r="BC262">
        <v>0</v>
      </c>
      <c r="BD262">
        <v>21697</v>
      </c>
      <c r="BE262">
        <v>71062716</v>
      </c>
      <c r="BF262">
        <v>0</v>
      </c>
      <c r="BG262">
        <v>0</v>
      </c>
      <c r="BH262">
        <v>10011279</v>
      </c>
      <c r="BI262">
        <v>2177833</v>
      </c>
      <c r="BJ262">
        <v>316311</v>
      </c>
      <c r="BK262">
        <v>4006118</v>
      </c>
      <c r="BL262">
        <v>4480310</v>
      </c>
      <c r="BM262">
        <v>31500</v>
      </c>
      <c r="BN262">
        <v>8845411</v>
      </c>
      <c r="BO262">
        <v>1316648</v>
      </c>
      <c r="BP262">
        <v>374283</v>
      </c>
      <c r="BQ262">
        <v>2313221</v>
      </c>
      <c r="BR262">
        <v>2472713</v>
      </c>
      <c r="BS262">
        <v>19598505</v>
      </c>
      <c r="BT262">
        <v>1647474</v>
      </c>
      <c r="BU262">
        <v>7180764</v>
      </c>
      <c r="BV262">
        <v>0</v>
      </c>
      <c r="BW262">
        <v>83096</v>
      </c>
      <c r="BX262">
        <v>24196</v>
      </c>
      <c r="BY262">
        <v>26608</v>
      </c>
      <c r="BZ262">
        <v>30432836</v>
      </c>
      <c r="CA262">
        <v>59992</v>
      </c>
    </row>
    <row r="263" spans="1:79" x14ac:dyDescent="0.3">
      <c r="A263">
        <v>9004</v>
      </c>
      <c r="B263" t="s">
        <v>957</v>
      </c>
      <c r="C263" t="s">
        <v>958</v>
      </c>
      <c r="D263" t="s">
        <v>349</v>
      </c>
      <c r="E263" t="s">
        <v>349</v>
      </c>
      <c r="F263" t="s">
        <v>959</v>
      </c>
      <c r="G263" t="s">
        <v>959</v>
      </c>
      <c r="H263" t="s">
        <v>959</v>
      </c>
      <c r="I263" t="s">
        <v>959</v>
      </c>
      <c r="J263" t="s">
        <v>959</v>
      </c>
      <c r="K263" t="s">
        <v>959</v>
      </c>
      <c r="L263" t="s">
        <v>959</v>
      </c>
      <c r="M263" t="s">
        <v>349</v>
      </c>
      <c r="N263" t="s">
        <v>959</v>
      </c>
      <c r="O263" t="s">
        <v>959</v>
      </c>
      <c r="P263" t="s">
        <v>349</v>
      </c>
      <c r="Q263" t="s">
        <v>959</v>
      </c>
      <c r="R263" t="s">
        <v>959</v>
      </c>
      <c r="S263" t="s">
        <v>959</v>
      </c>
      <c r="T263" t="s">
        <v>959</v>
      </c>
      <c r="U263" t="s">
        <v>959</v>
      </c>
      <c r="V263" t="s">
        <v>349</v>
      </c>
      <c r="W263" t="s">
        <v>349</v>
      </c>
      <c r="X263" t="s">
        <v>349</v>
      </c>
      <c r="Y263" t="s">
        <v>959</v>
      </c>
      <c r="Z263" t="s">
        <v>959</v>
      </c>
      <c r="AA263" t="s">
        <v>959</v>
      </c>
      <c r="AB263" t="s">
        <v>349</v>
      </c>
      <c r="AC263" t="s">
        <v>959</v>
      </c>
      <c r="AD263" t="s">
        <v>959</v>
      </c>
      <c r="AE263" t="s">
        <v>959</v>
      </c>
      <c r="AF263" t="s">
        <v>959</v>
      </c>
      <c r="AG263" t="s">
        <v>349</v>
      </c>
      <c r="AH263" t="s">
        <v>349</v>
      </c>
      <c r="AI263" t="s">
        <v>349</v>
      </c>
      <c r="AJ263" t="s">
        <v>959</v>
      </c>
      <c r="AK263" t="s">
        <v>959</v>
      </c>
      <c r="AL263" t="s">
        <v>349</v>
      </c>
      <c r="AM263" t="s">
        <v>349</v>
      </c>
      <c r="AN263" t="s">
        <v>959</v>
      </c>
      <c r="AO263" t="s">
        <v>959</v>
      </c>
      <c r="AP263" t="s">
        <v>349</v>
      </c>
      <c r="AQ263" t="s">
        <v>959</v>
      </c>
      <c r="AR263" t="s">
        <v>959</v>
      </c>
      <c r="AS263" t="s">
        <v>959</v>
      </c>
      <c r="AT263" t="s">
        <v>959</v>
      </c>
      <c r="AU263" t="s">
        <v>959</v>
      </c>
      <c r="AV263" t="s">
        <v>959</v>
      </c>
      <c r="AW263" t="s">
        <v>959</v>
      </c>
      <c r="AX263" t="s">
        <v>959</v>
      </c>
      <c r="AY263" t="s">
        <v>959</v>
      </c>
      <c r="AZ263" t="s">
        <v>959</v>
      </c>
      <c r="BA263" t="s">
        <v>959</v>
      </c>
      <c r="BB263" t="s">
        <v>959</v>
      </c>
      <c r="BC263" t="s">
        <v>959</v>
      </c>
      <c r="BD263" t="s">
        <v>349</v>
      </c>
      <c r="BE263" t="s">
        <v>959</v>
      </c>
      <c r="BF263" t="s">
        <v>959</v>
      </c>
      <c r="BG263" t="s">
        <v>349</v>
      </c>
      <c r="BH263" t="s">
        <v>959</v>
      </c>
      <c r="BI263" t="s">
        <v>959</v>
      </c>
      <c r="BJ263" t="s">
        <v>959</v>
      </c>
      <c r="BK263" t="s">
        <v>959</v>
      </c>
      <c r="BL263" t="s">
        <v>959</v>
      </c>
      <c r="BM263" t="s">
        <v>349</v>
      </c>
      <c r="BN263" t="s">
        <v>959</v>
      </c>
      <c r="BO263" t="s">
        <v>959</v>
      </c>
      <c r="BP263" t="s">
        <v>959</v>
      </c>
      <c r="BQ263" t="s">
        <v>959</v>
      </c>
      <c r="BR263" t="s">
        <v>349</v>
      </c>
      <c r="BS263" t="s">
        <v>349</v>
      </c>
      <c r="BT263" t="s">
        <v>959</v>
      </c>
      <c r="BU263" t="s">
        <v>959</v>
      </c>
      <c r="BV263" t="s">
        <v>959</v>
      </c>
      <c r="BW263" t="s">
        <v>959</v>
      </c>
      <c r="BX263" t="s">
        <v>349</v>
      </c>
      <c r="BY263" t="s">
        <v>349</v>
      </c>
      <c r="BZ263" t="s">
        <v>959</v>
      </c>
      <c r="CA263" t="s">
        <v>349</v>
      </c>
    </row>
    <row r="264" spans="1:79" x14ac:dyDescent="0.3">
      <c r="A264">
        <v>9005</v>
      </c>
      <c r="B264" t="s">
        <v>960</v>
      </c>
      <c r="C264" t="s">
        <v>961</v>
      </c>
      <c r="D264">
        <v>893122</v>
      </c>
      <c r="E264">
        <v>27121200</v>
      </c>
      <c r="F264">
        <v>0</v>
      </c>
      <c r="G264">
        <v>29783156</v>
      </c>
      <c r="H264">
        <v>3853195</v>
      </c>
      <c r="I264">
        <v>424804</v>
      </c>
      <c r="J264">
        <v>3468971</v>
      </c>
      <c r="K264">
        <v>1137483</v>
      </c>
      <c r="L264">
        <v>49284208</v>
      </c>
      <c r="M264">
        <v>0</v>
      </c>
      <c r="N264">
        <v>801574</v>
      </c>
      <c r="O264">
        <v>0</v>
      </c>
      <c r="P264">
        <v>14201186</v>
      </c>
      <c r="Q264">
        <v>24380292</v>
      </c>
      <c r="R264">
        <v>3457520</v>
      </c>
      <c r="S264">
        <v>11795348</v>
      </c>
      <c r="T264">
        <v>300165</v>
      </c>
      <c r="U264">
        <v>13497515</v>
      </c>
      <c r="V264">
        <v>164602</v>
      </c>
      <c r="W264">
        <v>10583872</v>
      </c>
      <c r="X264">
        <v>9899535</v>
      </c>
      <c r="Y264">
        <v>6772347</v>
      </c>
      <c r="Z264">
        <v>2625451</v>
      </c>
      <c r="AA264">
        <v>0</v>
      </c>
      <c r="AB264">
        <v>1804889</v>
      </c>
      <c r="AC264">
        <v>400550</v>
      </c>
      <c r="AD264">
        <v>1580733</v>
      </c>
      <c r="AE264">
        <v>3110365</v>
      </c>
      <c r="AF264">
        <v>92568</v>
      </c>
      <c r="AG264">
        <v>65700</v>
      </c>
      <c r="AH264">
        <v>195906</v>
      </c>
      <c r="AI264">
        <v>2493914</v>
      </c>
      <c r="AJ264">
        <v>3600981</v>
      </c>
      <c r="AK264">
        <v>340930</v>
      </c>
      <c r="AL264">
        <v>139376</v>
      </c>
      <c r="AM264">
        <v>13511184</v>
      </c>
      <c r="AN264">
        <v>17209324</v>
      </c>
      <c r="AO264">
        <v>0</v>
      </c>
      <c r="AP264">
        <v>4624585</v>
      </c>
      <c r="AQ264">
        <v>13910756</v>
      </c>
      <c r="AR264">
        <v>657077</v>
      </c>
      <c r="AS264">
        <v>0</v>
      </c>
      <c r="AT264">
        <v>1761354</v>
      </c>
      <c r="AU264">
        <v>9776733</v>
      </c>
      <c r="AV264">
        <v>285018</v>
      </c>
      <c r="AW264">
        <v>0</v>
      </c>
      <c r="AX264">
        <v>5582234</v>
      </c>
      <c r="AY264">
        <v>4913561</v>
      </c>
      <c r="AZ264">
        <v>0</v>
      </c>
      <c r="BA264">
        <v>199941</v>
      </c>
      <c r="BB264">
        <v>2817812</v>
      </c>
      <c r="BC264">
        <v>0</v>
      </c>
      <c r="BD264">
        <v>382587</v>
      </c>
      <c r="BE264">
        <v>7504081</v>
      </c>
      <c r="BF264">
        <v>0</v>
      </c>
      <c r="BG264">
        <v>0</v>
      </c>
      <c r="BH264">
        <v>3496150</v>
      </c>
      <c r="BI264">
        <v>4228835</v>
      </c>
      <c r="BJ264">
        <v>417721</v>
      </c>
      <c r="BK264">
        <v>4139255</v>
      </c>
      <c r="BL264">
        <v>7773852</v>
      </c>
      <c r="BM264">
        <v>194337</v>
      </c>
      <c r="BN264">
        <v>4046879</v>
      </c>
      <c r="BO264">
        <v>5650936</v>
      </c>
      <c r="BP264">
        <v>1501212</v>
      </c>
      <c r="BQ264">
        <v>3543575</v>
      </c>
      <c r="BR264">
        <v>3074251</v>
      </c>
      <c r="BS264">
        <v>24100646</v>
      </c>
      <c r="BT264">
        <v>2478102</v>
      </c>
      <c r="BU264">
        <v>2623326</v>
      </c>
      <c r="BV264">
        <v>0</v>
      </c>
      <c r="BW264">
        <v>1119220</v>
      </c>
      <c r="BX264">
        <v>242249</v>
      </c>
      <c r="BY264">
        <v>198983</v>
      </c>
      <c r="BZ264">
        <v>15006787</v>
      </c>
      <c r="CA264">
        <v>55191</v>
      </c>
    </row>
    <row r="265" spans="1:79" x14ac:dyDescent="0.3">
      <c r="A265">
        <v>9006</v>
      </c>
      <c r="B265" t="s">
        <v>962</v>
      </c>
      <c r="C265" t="s">
        <v>963</v>
      </c>
      <c r="D265">
        <v>2251363</v>
      </c>
      <c r="E265">
        <v>25395846</v>
      </c>
      <c r="F265">
        <v>0</v>
      </c>
      <c r="G265">
        <v>59546725</v>
      </c>
      <c r="H265">
        <v>7620963</v>
      </c>
      <c r="I265">
        <v>382179</v>
      </c>
      <c r="J265">
        <v>1606913</v>
      </c>
      <c r="K265">
        <v>2593361</v>
      </c>
      <c r="L265">
        <v>62198210</v>
      </c>
      <c r="M265">
        <v>0</v>
      </c>
      <c r="N265">
        <v>906524</v>
      </c>
      <c r="O265">
        <v>0</v>
      </c>
      <c r="P265">
        <v>45259221</v>
      </c>
      <c r="Q265">
        <v>25140444</v>
      </c>
      <c r="R265">
        <v>8382346</v>
      </c>
      <c r="S265">
        <v>19890294</v>
      </c>
      <c r="T265">
        <v>134810</v>
      </c>
      <c r="U265">
        <v>24109791</v>
      </c>
      <c r="V265">
        <v>43472</v>
      </c>
      <c r="W265">
        <v>14251384</v>
      </c>
      <c r="X265">
        <v>29927482</v>
      </c>
      <c r="Y265">
        <v>7952545</v>
      </c>
      <c r="Z265">
        <v>1713549</v>
      </c>
      <c r="AA265">
        <v>0</v>
      </c>
      <c r="AB265">
        <v>1591261</v>
      </c>
      <c r="AC265">
        <v>342664</v>
      </c>
      <c r="AD265">
        <v>1394182</v>
      </c>
      <c r="AE265">
        <v>4049954</v>
      </c>
      <c r="AF265">
        <v>182962</v>
      </c>
      <c r="AG265">
        <v>69938</v>
      </c>
      <c r="AH265">
        <v>75704</v>
      </c>
      <c r="AI265">
        <v>3472504</v>
      </c>
      <c r="AJ265">
        <v>10535460</v>
      </c>
      <c r="AK265">
        <v>484092</v>
      </c>
      <c r="AL265">
        <v>30439</v>
      </c>
      <c r="AM265">
        <v>43142625</v>
      </c>
      <c r="AN265">
        <v>21458474</v>
      </c>
      <c r="AO265">
        <v>0</v>
      </c>
      <c r="AP265">
        <v>8984808</v>
      </c>
      <c r="AQ265">
        <v>29619170</v>
      </c>
      <c r="AR265">
        <v>5055438</v>
      </c>
      <c r="AS265">
        <v>0</v>
      </c>
      <c r="AT265">
        <v>6179117</v>
      </c>
      <c r="AU265">
        <v>13928917</v>
      </c>
      <c r="AV265">
        <v>82860</v>
      </c>
      <c r="AW265">
        <v>0</v>
      </c>
      <c r="AX265">
        <v>4018982</v>
      </c>
      <c r="AY265">
        <v>4747393</v>
      </c>
      <c r="AZ265">
        <v>0</v>
      </c>
      <c r="BA265">
        <v>70956</v>
      </c>
      <c r="BB265">
        <v>2984687</v>
      </c>
      <c r="BC265">
        <v>0</v>
      </c>
      <c r="BD265">
        <v>128669</v>
      </c>
      <c r="BE265">
        <v>28626291</v>
      </c>
      <c r="BF265">
        <v>0</v>
      </c>
      <c r="BG265">
        <v>0</v>
      </c>
      <c r="BH265">
        <v>3422107</v>
      </c>
      <c r="BI265">
        <v>3696715</v>
      </c>
      <c r="BJ265">
        <v>864085</v>
      </c>
      <c r="BK265">
        <v>12630568</v>
      </c>
      <c r="BL265">
        <v>5487476</v>
      </c>
      <c r="BM265">
        <v>28596</v>
      </c>
      <c r="BN265">
        <v>9413321</v>
      </c>
      <c r="BO265">
        <v>3318983</v>
      </c>
      <c r="BP265">
        <v>1426058</v>
      </c>
      <c r="BQ265">
        <v>2664304</v>
      </c>
      <c r="BR265">
        <v>2089317</v>
      </c>
      <c r="BS265">
        <v>28243840</v>
      </c>
      <c r="BT265">
        <v>2403626</v>
      </c>
      <c r="BU265">
        <v>3896224</v>
      </c>
      <c r="BV265">
        <v>0</v>
      </c>
      <c r="BW265">
        <v>1110867</v>
      </c>
      <c r="BX265">
        <v>47005</v>
      </c>
      <c r="BY265">
        <v>40163</v>
      </c>
      <c r="BZ265">
        <v>26352510</v>
      </c>
      <c r="CA265">
        <v>108658</v>
      </c>
    </row>
    <row r="266" spans="1:79" x14ac:dyDescent="0.3">
      <c r="A266">
        <v>9007</v>
      </c>
      <c r="B266" t="s">
        <v>1527</v>
      </c>
      <c r="C266" t="s">
        <v>964</v>
      </c>
      <c r="D266">
        <v>0.3967</v>
      </c>
      <c r="E266">
        <v>1.0679000000000001</v>
      </c>
      <c r="F266">
        <v>0</v>
      </c>
      <c r="G266">
        <v>0.50019999999999998</v>
      </c>
      <c r="H266">
        <v>0.50560000000000005</v>
      </c>
      <c r="I266">
        <v>1.1114999999999999</v>
      </c>
      <c r="J266">
        <v>2.1587999999999998</v>
      </c>
      <c r="K266">
        <v>0.43859999999999999</v>
      </c>
      <c r="L266">
        <v>0.79239999999999999</v>
      </c>
      <c r="M266">
        <v>0</v>
      </c>
      <c r="N266">
        <v>0.88419999999999999</v>
      </c>
      <c r="O266">
        <v>0</v>
      </c>
      <c r="P266">
        <v>0.31380000000000002</v>
      </c>
      <c r="Q266">
        <v>0.9698</v>
      </c>
      <c r="R266">
        <v>0.41249999999999998</v>
      </c>
      <c r="S266">
        <v>0.59299999999999997</v>
      </c>
      <c r="T266">
        <v>2.2265999999999999</v>
      </c>
      <c r="U266">
        <v>0.55979999999999996</v>
      </c>
      <c r="V266">
        <v>3.7864</v>
      </c>
      <c r="W266">
        <v>0.74270000000000003</v>
      </c>
      <c r="X266">
        <v>0.33079999999999998</v>
      </c>
      <c r="Y266">
        <v>0.85160000000000002</v>
      </c>
      <c r="Z266">
        <v>1.5322</v>
      </c>
      <c r="AA266">
        <v>0</v>
      </c>
      <c r="AB266">
        <v>1.1343000000000001</v>
      </c>
      <c r="AC266">
        <v>1.1689000000000001</v>
      </c>
      <c r="AD266">
        <v>1.1337999999999999</v>
      </c>
      <c r="AE266">
        <v>0.76800000000000002</v>
      </c>
      <c r="AF266">
        <v>0.50590000000000002</v>
      </c>
      <c r="AG266">
        <v>0.93940000000000001</v>
      </c>
      <c r="AH266">
        <v>2.5878000000000001</v>
      </c>
      <c r="AI266">
        <v>0.71819999999999995</v>
      </c>
      <c r="AJ266">
        <v>0.34179999999999999</v>
      </c>
      <c r="AK266">
        <v>0.70430000000000004</v>
      </c>
      <c r="AL266">
        <v>4.5789</v>
      </c>
      <c r="AM266">
        <v>0.31319999999999998</v>
      </c>
      <c r="AN266">
        <v>0.80200000000000005</v>
      </c>
      <c r="AO266">
        <v>0</v>
      </c>
      <c r="AP266">
        <v>0.51470000000000005</v>
      </c>
      <c r="AQ266">
        <v>0.46970000000000001</v>
      </c>
      <c r="AR266">
        <v>0.13</v>
      </c>
      <c r="AS266">
        <v>0</v>
      </c>
      <c r="AT266">
        <v>0.28499999999999998</v>
      </c>
      <c r="AU266">
        <v>0.70189999999999997</v>
      </c>
      <c r="AV266">
        <v>3.4398</v>
      </c>
      <c r="AW266">
        <v>0</v>
      </c>
      <c r="AX266">
        <v>1.389</v>
      </c>
      <c r="AY266">
        <v>1.0349999999999999</v>
      </c>
      <c r="AZ266">
        <v>0</v>
      </c>
      <c r="BA266">
        <v>2.8178000000000001</v>
      </c>
      <c r="BB266">
        <v>0.94410000000000005</v>
      </c>
      <c r="BC266">
        <v>0</v>
      </c>
      <c r="BD266">
        <v>2.9733999999999998</v>
      </c>
      <c r="BE266">
        <v>0.2621</v>
      </c>
      <c r="BF266">
        <v>0</v>
      </c>
      <c r="BG266">
        <v>0</v>
      </c>
      <c r="BH266">
        <v>1.0216000000000001</v>
      </c>
      <c r="BI266">
        <v>1.1438999999999999</v>
      </c>
      <c r="BJ266">
        <v>0.4834</v>
      </c>
      <c r="BK266">
        <v>0.32769999999999999</v>
      </c>
      <c r="BL266">
        <v>1.4167000000000001</v>
      </c>
      <c r="BM266">
        <v>6.7960000000000003</v>
      </c>
      <c r="BN266">
        <v>0.4299</v>
      </c>
      <c r="BO266">
        <v>1.7025999999999999</v>
      </c>
      <c r="BP266">
        <v>1.0527</v>
      </c>
      <c r="BQ266">
        <v>1.33</v>
      </c>
      <c r="BR266">
        <v>1.4714</v>
      </c>
      <c r="BS266">
        <v>0.85329999999999995</v>
      </c>
      <c r="BT266">
        <v>1.0309999999999999</v>
      </c>
      <c r="BU266">
        <v>0.67330000000000001</v>
      </c>
      <c r="BV266">
        <v>0</v>
      </c>
      <c r="BW266">
        <v>1.0075000000000001</v>
      </c>
      <c r="BX266">
        <v>5.1536999999999997</v>
      </c>
      <c r="BY266">
        <v>4.9543999999999997</v>
      </c>
      <c r="BZ266">
        <v>0.56950000000000001</v>
      </c>
      <c r="CA266">
        <v>0.50790000000000002</v>
      </c>
    </row>
    <row r="267" spans="1:79" x14ac:dyDescent="0.3">
      <c r="A267">
        <v>9008</v>
      </c>
      <c r="B267" t="s">
        <v>965</v>
      </c>
      <c r="C267" t="s">
        <v>349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row>
    <row r="268" spans="1:79" x14ac:dyDescent="0.3">
      <c r="A268">
        <v>9010</v>
      </c>
      <c r="B268" t="s">
        <v>966</v>
      </c>
      <c r="C268" t="s">
        <v>967</v>
      </c>
      <c r="D268">
        <v>0</v>
      </c>
      <c r="E268">
        <v>0</v>
      </c>
      <c r="F268">
        <v>0</v>
      </c>
      <c r="G268">
        <v>3.93</v>
      </c>
      <c r="H268">
        <v>28.58</v>
      </c>
      <c r="I268">
        <v>14.62</v>
      </c>
      <c r="J268">
        <v>3187.17</v>
      </c>
      <c r="K268">
        <v>7.36</v>
      </c>
      <c r="L268">
        <v>3.37</v>
      </c>
      <c r="M268">
        <v>0</v>
      </c>
      <c r="N268">
        <v>82.98</v>
      </c>
      <c r="O268">
        <v>0</v>
      </c>
      <c r="P268">
        <v>0</v>
      </c>
      <c r="Q268">
        <v>11.45</v>
      </c>
      <c r="R268">
        <v>8.81</v>
      </c>
      <c r="S268">
        <v>2.93</v>
      </c>
      <c r="T268">
        <v>0.52</v>
      </c>
      <c r="U268">
        <v>6.36</v>
      </c>
      <c r="V268">
        <v>0</v>
      </c>
      <c r="W268">
        <v>0</v>
      </c>
      <c r="X268">
        <v>0</v>
      </c>
      <c r="Y268">
        <v>8.33</v>
      </c>
      <c r="Z268">
        <v>39.44</v>
      </c>
      <c r="AA268">
        <v>0</v>
      </c>
      <c r="AB268">
        <v>0</v>
      </c>
      <c r="AC268">
        <v>4.75</v>
      </c>
      <c r="AD268">
        <v>10.050000000000001</v>
      </c>
      <c r="AE268">
        <v>8.31</v>
      </c>
      <c r="AF268">
        <v>0</v>
      </c>
      <c r="AG268">
        <v>0</v>
      </c>
      <c r="AH268">
        <v>0</v>
      </c>
      <c r="AI268">
        <v>0</v>
      </c>
      <c r="AJ268">
        <v>1.55</v>
      </c>
      <c r="AK268">
        <v>36.979999999999997</v>
      </c>
      <c r="AL268">
        <v>0</v>
      </c>
      <c r="AM268">
        <v>0</v>
      </c>
      <c r="AN268">
        <v>6.8</v>
      </c>
      <c r="AO268">
        <v>0</v>
      </c>
      <c r="AP268">
        <v>0</v>
      </c>
      <c r="AQ268">
        <v>7.45</v>
      </c>
      <c r="AR268">
        <v>4.38</v>
      </c>
      <c r="AS268">
        <v>0</v>
      </c>
      <c r="AT268">
        <v>9.51</v>
      </c>
      <c r="AU268">
        <v>16.059999999999999</v>
      </c>
      <c r="AV268">
        <v>32.82</v>
      </c>
      <c r="AW268">
        <v>0</v>
      </c>
      <c r="AX268">
        <v>58.23</v>
      </c>
      <c r="AY268">
        <v>18.57</v>
      </c>
      <c r="AZ268">
        <v>0</v>
      </c>
      <c r="BA268">
        <v>0.04</v>
      </c>
      <c r="BB268">
        <v>5.39</v>
      </c>
      <c r="BC268">
        <v>0</v>
      </c>
      <c r="BD268">
        <v>0</v>
      </c>
      <c r="BE268">
        <v>10.29</v>
      </c>
      <c r="BF268">
        <v>0</v>
      </c>
      <c r="BG268">
        <v>0</v>
      </c>
      <c r="BH268">
        <v>2.14</v>
      </c>
      <c r="BI268">
        <v>14.72</v>
      </c>
      <c r="BJ268">
        <v>3.37</v>
      </c>
      <c r="BK268">
        <v>27.54</v>
      </c>
      <c r="BL268">
        <v>30.06</v>
      </c>
      <c r="BM268">
        <v>0</v>
      </c>
      <c r="BN268">
        <v>7.65</v>
      </c>
      <c r="BO268">
        <v>87.95</v>
      </c>
      <c r="BP268">
        <v>51.87</v>
      </c>
      <c r="BQ268">
        <v>15.06</v>
      </c>
      <c r="BR268">
        <v>0</v>
      </c>
      <c r="BS268">
        <v>0</v>
      </c>
      <c r="BT268">
        <v>8.02</v>
      </c>
      <c r="BU268">
        <v>4.51</v>
      </c>
      <c r="BV268">
        <v>0</v>
      </c>
      <c r="BW268">
        <v>12.32</v>
      </c>
      <c r="BX268">
        <v>0</v>
      </c>
      <c r="BY268">
        <v>0</v>
      </c>
      <c r="BZ268">
        <v>3.12</v>
      </c>
      <c r="CA268">
        <v>0</v>
      </c>
    </row>
    <row r="269" spans="1:79" x14ac:dyDescent="0.3">
      <c r="A269">
        <v>9011</v>
      </c>
      <c r="B269" t="s">
        <v>1657</v>
      </c>
      <c r="C269" t="s">
        <v>968</v>
      </c>
      <c r="D269">
        <v>0</v>
      </c>
      <c r="E269">
        <v>0</v>
      </c>
      <c r="F269">
        <v>0</v>
      </c>
      <c r="G269">
        <v>5604114</v>
      </c>
      <c r="H269">
        <v>974015</v>
      </c>
      <c r="I269">
        <v>53316</v>
      </c>
      <c r="J269">
        <v>172369</v>
      </c>
      <c r="K269">
        <v>4122</v>
      </c>
      <c r="L269">
        <v>1206793</v>
      </c>
      <c r="M269">
        <v>0</v>
      </c>
      <c r="N269">
        <v>157999</v>
      </c>
      <c r="O269">
        <v>0</v>
      </c>
      <c r="P269">
        <v>0</v>
      </c>
      <c r="Q269">
        <v>2262016</v>
      </c>
      <c r="R269">
        <v>490860</v>
      </c>
      <c r="S269">
        <v>-63333</v>
      </c>
      <c r="T269">
        <v>-21581</v>
      </c>
      <c r="U269">
        <v>3805346</v>
      </c>
      <c r="V269">
        <v>0</v>
      </c>
      <c r="W269">
        <v>0</v>
      </c>
      <c r="X269">
        <v>0</v>
      </c>
      <c r="Y269">
        <v>348928</v>
      </c>
      <c r="Z269">
        <v>404305</v>
      </c>
      <c r="AA269">
        <v>0</v>
      </c>
      <c r="AB269">
        <v>0</v>
      </c>
      <c r="AC269">
        <v>13398</v>
      </c>
      <c r="AD269">
        <v>83670</v>
      </c>
      <c r="AE269">
        <v>-58819</v>
      </c>
      <c r="AF269">
        <v>-9200</v>
      </c>
      <c r="AG269">
        <v>0</v>
      </c>
      <c r="AH269">
        <v>0</v>
      </c>
      <c r="AI269">
        <v>0</v>
      </c>
      <c r="AJ269">
        <v>-575950</v>
      </c>
      <c r="AK269">
        <v>-19124</v>
      </c>
      <c r="AL269">
        <v>0</v>
      </c>
      <c r="AM269">
        <v>0</v>
      </c>
      <c r="AN269">
        <v>1354872</v>
      </c>
      <c r="AO269">
        <v>0</v>
      </c>
      <c r="AP269">
        <v>0</v>
      </c>
      <c r="AQ269">
        <v>1141808</v>
      </c>
      <c r="AR269">
        <v>-497255</v>
      </c>
      <c r="AS269">
        <v>0</v>
      </c>
      <c r="AT269">
        <v>-74439</v>
      </c>
      <c r="AU269">
        <v>1309100</v>
      </c>
      <c r="AV269">
        <v>148474</v>
      </c>
      <c r="AW269">
        <v>0</v>
      </c>
      <c r="AX269">
        <v>2201885</v>
      </c>
      <c r="AY269">
        <v>89031</v>
      </c>
      <c r="AZ269">
        <v>0</v>
      </c>
      <c r="BA269">
        <v>-14751</v>
      </c>
      <c r="BB269">
        <v>270166</v>
      </c>
      <c r="BC269">
        <v>0</v>
      </c>
      <c r="BD269">
        <v>0</v>
      </c>
      <c r="BE269">
        <v>938315</v>
      </c>
      <c r="BF269">
        <v>0</v>
      </c>
      <c r="BG269">
        <v>0</v>
      </c>
      <c r="BH269">
        <v>-183169</v>
      </c>
      <c r="BI269">
        <v>280221</v>
      </c>
      <c r="BJ269">
        <v>-113074</v>
      </c>
      <c r="BK269">
        <v>-813033</v>
      </c>
      <c r="BL269">
        <v>664104</v>
      </c>
      <c r="BM269">
        <v>0</v>
      </c>
      <c r="BN269">
        <v>430513</v>
      </c>
      <c r="BO269">
        <v>571774</v>
      </c>
      <c r="BP269">
        <v>276849</v>
      </c>
      <c r="BQ269">
        <v>347895</v>
      </c>
      <c r="BR269">
        <v>0</v>
      </c>
      <c r="BS269">
        <v>0</v>
      </c>
      <c r="BT269">
        <v>-74120</v>
      </c>
      <c r="BU269">
        <v>1180910</v>
      </c>
      <c r="BV269">
        <v>0</v>
      </c>
      <c r="BW269">
        <v>245110</v>
      </c>
      <c r="BX269">
        <v>0</v>
      </c>
      <c r="BY269">
        <v>0</v>
      </c>
      <c r="BZ269">
        <v>2395679</v>
      </c>
      <c r="CA269">
        <v>0</v>
      </c>
    </row>
    <row r="270" spans="1:79" x14ac:dyDescent="0.3">
      <c r="A270">
        <v>9012</v>
      </c>
      <c r="B270" t="s">
        <v>1658</v>
      </c>
      <c r="C270" t="s">
        <v>968</v>
      </c>
      <c r="D270">
        <v>0</v>
      </c>
      <c r="E270">
        <v>0</v>
      </c>
      <c r="F270">
        <v>0</v>
      </c>
      <c r="G270">
        <v>2.9874000000000001</v>
      </c>
      <c r="H270">
        <v>2.9586999999999999</v>
      </c>
      <c r="I270">
        <v>1.1100000000000001</v>
      </c>
      <c r="J270">
        <v>7.5675999999999997</v>
      </c>
      <c r="K270">
        <v>0.76439999999999997</v>
      </c>
      <c r="L270">
        <v>0.64019999999999999</v>
      </c>
      <c r="M270">
        <v>0</v>
      </c>
      <c r="N270">
        <v>3.2839999999999998</v>
      </c>
      <c r="O270">
        <v>0</v>
      </c>
      <c r="P270">
        <v>0</v>
      </c>
      <c r="Q270">
        <v>2.7048000000000001</v>
      </c>
      <c r="R270">
        <v>1.1085</v>
      </c>
      <c r="S270">
        <v>0.74180000000000001</v>
      </c>
      <c r="T270">
        <v>0.1474</v>
      </c>
      <c r="U270">
        <v>0.86119999999999997</v>
      </c>
      <c r="V270">
        <v>0</v>
      </c>
      <c r="W270">
        <v>0</v>
      </c>
      <c r="X270">
        <v>0</v>
      </c>
      <c r="Y270">
        <v>1.8649</v>
      </c>
      <c r="Z270">
        <v>1.5589</v>
      </c>
      <c r="AA270">
        <v>0</v>
      </c>
      <c r="AB270">
        <v>0</v>
      </c>
      <c r="AC270">
        <v>0.76200000000000001</v>
      </c>
      <c r="AD270">
        <v>2.238</v>
      </c>
      <c r="AE270">
        <v>1.0325</v>
      </c>
      <c r="AF270">
        <v>0.51859999999999995</v>
      </c>
      <c r="AG270">
        <v>0</v>
      </c>
      <c r="AH270">
        <v>0</v>
      </c>
      <c r="AI270">
        <v>0</v>
      </c>
      <c r="AJ270">
        <v>9.9500000000000005E-2</v>
      </c>
      <c r="AK270">
        <v>0.28170000000000001</v>
      </c>
      <c r="AL270">
        <v>0</v>
      </c>
      <c r="AM270">
        <v>0</v>
      </c>
      <c r="AN270">
        <v>1.2044999999999999</v>
      </c>
      <c r="AO270">
        <v>0</v>
      </c>
      <c r="AP270">
        <v>0</v>
      </c>
      <c r="AQ270">
        <v>0.49830000000000002</v>
      </c>
      <c r="AR270">
        <v>0.3634</v>
      </c>
      <c r="AS270">
        <v>0</v>
      </c>
      <c r="AT270">
        <v>0.38169999999999998</v>
      </c>
      <c r="AU270">
        <v>1.0889</v>
      </c>
      <c r="AV270">
        <v>4.0711000000000004</v>
      </c>
      <c r="AW270">
        <v>0</v>
      </c>
      <c r="AX270">
        <v>3.8498000000000001</v>
      </c>
      <c r="AY270">
        <v>0.62339999999999995</v>
      </c>
      <c r="AZ270">
        <v>0</v>
      </c>
      <c r="BA270">
        <v>5.9400000000000001E-2</v>
      </c>
      <c r="BB270">
        <v>0.3306</v>
      </c>
      <c r="BC270">
        <v>0</v>
      </c>
      <c r="BD270">
        <v>0</v>
      </c>
      <c r="BE270">
        <v>0.37780000000000002</v>
      </c>
      <c r="BF270">
        <v>0</v>
      </c>
      <c r="BG270">
        <v>0</v>
      </c>
      <c r="BH270">
        <v>0.44700000000000001</v>
      </c>
      <c r="BI270">
        <v>3.0421</v>
      </c>
      <c r="BJ270">
        <v>3.6299999999999999E-2</v>
      </c>
      <c r="BK270">
        <v>1.3963000000000001</v>
      </c>
      <c r="BL270">
        <v>2.3797000000000001</v>
      </c>
      <c r="BM270">
        <v>0</v>
      </c>
      <c r="BN270">
        <v>0.57699999999999996</v>
      </c>
      <c r="BO270">
        <v>4.9225000000000003</v>
      </c>
      <c r="BP270">
        <v>2.1322000000000001</v>
      </c>
      <c r="BQ270">
        <v>2.0613000000000001</v>
      </c>
      <c r="BR270">
        <v>0</v>
      </c>
      <c r="BS270">
        <v>0</v>
      </c>
      <c r="BT270">
        <v>1.2419</v>
      </c>
      <c r="BU270">
        <v>1.7554000000000001</v>
      </c>
      <c r="BV270">
        <v>0</v>
      </c>
      <c r="BW270">
        <v>3.5922000000000001</v>
      </c>
      <c r="BX270">
        <v>0</v>
      </c>
      <c r="BY270">
        <v>0</v>
      </c>
      <c r="BZ270">
        <v>1.2919</v>
      </c>
      <c r="CA270">
        <v>0</v>
      </c>
    </row>
    <row r="271" spans="1:79" x14ac:dyDescent="0.3">
      <c r="A271">
        <v>9013</v>
      </c>
      <c r="B271" t="s">
        <v>969</v>
      </c>
      <c r="C271" t="s">
        <v>970</v>
      </c>
      <c r="D271">
        <v>0</v>
      </c>
      <c r="E271">
        <v>0</v>
      </c>
      <c r="F271">
        <v>0</v>
      </c>
      <c r="G271">
        <v>3.93</v>
      </c>
      <c r="H271">
        <v>28.58</v>
      </c>
      <c r="I271">
        <v>14.62</v>
      </c>
      <c r="J271">
        <v>3187.17</v>
      </c>
      <c r="K271">
        <v>7.36</v>
      </c>
      <c r="L271">
        <v>3.37</v>
      </c>
      <c r="M271">
        <v>0</v>
      </c>
      <c r="N271">
        <v>82.98</v>
      </c>
      <c r="O271">
        <v>0</v>
      </c>
      <c r="P271">
        <v>0</v>
      </c>
      <c r="Q271">
        <v>11.45</v>
      </c>
      <c r="R271">
        <v>8.81</v>
      </c>
      <c r="S271">
        <v>2.93</v>
      </c>
      <c r="T271">
        <v>0.52</v>
      </c>
      <c r="U271">
        <v>6.36</v>
      </c>
      <c r="V271">
        <v>0</v>
      </c>
      <c r="W271">
        <v>0</v>
      </c>
      <c r="X271">
        <v>0</v>
      </c>
      <c r="Y271">
        <v>8.33</v>
      </c>
      <c r="Z271">
        <v>39.44</v>
      </c>
      <c r="AA271">
        <v>0</v>
      </c>
      <c r="AB271">
        <v>0</v>
      </c>
      <c r="AC271">
        <v>4.75</v>
      </c>
      <c r="AD271">
        <v>10.050000000000001</v>
      </c>
      <c r="AE271">
        <v>8.31</v>
      </c>
      <c r="AF271">
        <v>0</v>
      </c>
      <c r="AG271">
        <v>0</v>
      </c>
      <c r="AH271">
        <v>0</v>
      </c>
      <c r="AI271">
        <v>0</v>
      </c>
      <c r="AJ271">
        <v>1.55</v>
      </c>
      <c r="AK271">
        <v>36.979999999999997</v>
      </c>
      <c r="AL271">
        <v>0</v>
      </c>
      <c r="AM271">
        <v>0</v>
      </c>
      <c r="AN271">
        <v>6.8</v>
      </c>
      <c r="AO271">
        <v>0</v>
      </c>
      <c r="AP271">
        <v>0</v>
      </c>
      <c r="AQ271">
        <v>7.45</v>
      </c>
      <c r="AR271">
        <v>4.38</v>
      </c>
      <c r="AS271">
        <v>0</v>
      </c>
      <c r="AT271">
        <v>9.51</v>
      </c>
      <c r="AU271">
        <v>16.059999999999999</v>
      </c>
      <c r="AV271">
        <v>32.82</v>
      </c>
      <c r="AW271">
        <v>0</v>
      </c>
      <c r="AX271">
        <v>58.23</v>
      </c>
      <c r="AY271">
        <v>18.57</v>
      </c>
      <c r="AZ271">
        <v>0</v>
      </c>
      <c r="BA271">
        <v>0.04</v>
      </c>
      <c r="BB271">
        <v>5.39</v>
      </c>
      <c r="BC271">
        <v>0</v>
      </c>
      <c r="BD271">
        <v>0</v>
      </c>
      <c r="BE271">
        <v>10.29</v>
      </c>
      <c r="BF271">
        <v>0</v>
      </c>
      <c r="BG271">
        <v>0</v>
      </c>
      <c r="BH271">
        <v>2.14</v>
      </c>
      <c r="BI271">
        <v>14.72</v>
      </c>
      <c r="BJ271">
        <v>3.37</v>
      </c>
      <c r="BK271">
        <v>27.54</v>
      </c>
      <c r="BL271">
        <v>30.06</v>
      </c>
      <c r="BM271">
        <v>0</v>
      </c>
      <c r="BN271">
        <v>7.65</v>
      </c>
      <c r="BO271">
        <v>87.95</v>
      </c>
      <c r="BP271">
        <v>51.87</v>
      </c>
      <c r="BQ271">
        <v>15.06</v>
      </c>
      <c r="BR271">
        <v>0</v>
      </c>
      <c r="BS271">
        <v>0</v>
      </c>
      <c r="BT271">
        <v>8.02</v>
      </c>
      <c r="BU271">
        <v>4.51</v>
      </c>
      <c r="BV271">
        <v>0</v>
      </c>
      <c r="BW271">
        <v>12.32</v>
      </c>
      <c r="BX271">
        <v>0</v>
      </c>
      <c r="BY271">
        <v>0</v>
      </c>
      <c r="BZ271">
        <v>3.12</v>
      </c>
      <c r="CA271">
        <v>0</v>
      </c>
    </row>
    <row r="272" spans="1:79" x14ac:dyDescent="0.3">
      <c r="A272">
        <v>9014</v>
      </c>
      <c r="B272" t="s">
        <v>971</v>
      </c>
      <c r="C272" t="s">
        <v>972</v>
      </c>
      <c r="D272">
        <v>0</v>
      </c>
      <c r="E272">
        <v>0</v>
      </c>
      <c r="F272">
        <v>0</v>
      </c>
      <c r="G272">
        <v>0</v>
      </c>
      <c r="H272">
        <v>0</v>
      </c>
      <c r="I272">
        <v>0</v>
      </c>
      <c r="J272">
        <v>0</v>
      </c>
      <c r="K272">
        <v>0</v>
      </c>
      <c r="L272">
        <v>0</v>
      </c>
      <c r="M272">
        <v>0</v>
      </c>
      <c r="N272">
        <v>0</v>
      </c>
      <c r="O272">
        <v>0</v>
      </c>
      <c r="P272">
        <v>0</v>
      </c>
      <c r="Q272">
        <v>0</v>
      </c>
      <c r="R272">
        <v>0</v>
      </c>
      <c r="S272">
        <v>3.65</v>
      </c>
      <c r="T272">
        <v>0</v>
      </c>
      <c r="U272">
        <v>25.05</v>
      </c>
      <c r="V272">
        <v>0</v>
      </c>
      <c r="W272">
        <v>0</v>
      </c>
      <c r="X272">
        <v>0</v>
      </c>
      <c r="Y272">
        <v>0</v>
      </c>
      <c r="Z272">
        <v>1.62</v>
      </c>
      <c r="AA272">
        <v>0</v>
      </c>
      <c r="AB272">
        <v>0</v>
      </c>
      <c r="AC272">
        <v>0</v>
      </c>
      <c r="AD272">
        <v>0</v>
      </c>
      <c r="AE272">
        <v>7.82</v>
      </c>
      <c r="AF272">
        <v>0</v>
      </c>
      <c r="AG272">
        <v>0</v>
      </c>
      <c r="AH272">
        <v>0</v>
      </c>
      <c r="AI272">
        <v>0</v>
      </c>
      <c r="AJ272">
        <v>1.69</v>
      </c>
      <c r="AK272">
        <v>0</v>
      </c>
      <c r="AL272">
        <v>0</v>
      </c>
      <c r="AM272">
        <v>0</v>
      </c>
      <c r="AN272">
        <v>0</v>
      </c>
      <c r="AO272">
        <v>0</v>
      </c>
      <c r="AP272">
        <v>0</v>
      </c>
      <c r="AQ272">
        <v>5.27</v>
      </c>
      <c r="AR272">
        <v>0</v>
      </c>
      <c r="AS272">
        <v>0</v>
      </c>
      <c r="AT272">
        <v>0</v>
      </c>
      <c r="AU272">
        <v>7.53</v>
      </c>
      <c r="AV272">
        <v>0</v>
      </c>
      <c r="AW272">
        <v>0</v>
      </c>
      <c r="AX272">
        <v>0</v>
      </c>
      <c r="AY272">
        <v>0</v>
      </c>
      <c r="AZ272">
        <v>0</v>
      </c>
      <c r="BA272">
        <v>0</v>
      </c>
      <c r="BB272">
        <v>0</v>
      </c>
      <c r="BC272">
        <v>0</v>
      </c>
      <c r="BD272">
        <v>0</v>
      </c>
      <c r="BE272">
        <v>4.3600000000000003</v>
      </c>
      <c r="BF272">
        <v>0</v>
      </c>
      <c r="BG272">
        <v>0</v>
      </c>
      <c r="BH272">
        <v>0</v>
      </c>
      <c r="BI272">
        <v>0</v>
      </c>
      <c r="BJ272">
        <v>0</v>
      </c>
      <c r="BK272">
        <v>19.399999999999999</v>
      </c>
      <c r="BL272">
        <v>0</v>
      </c>
      <c r="BM272">
        <v>0</v>
      </c>
      <c r="BN272">
        <v>0</v>
      </c>
      <c r="BO272">
        <v>0</v>
      </c>
      <c r="BP272">
        <v>0</v>
      </c>
      <c r="BQ272">
        <v>0</v>
      </c>
      <c r="BR272">
        <v>0</v>
      </c>
      <c r="BS272">
        <v>0</v>
      </c>
      <c r="BT272">
        <v>0</v>
      </c>
      <c r="BU272">
        <v>0</v>
      </c>
      <c r="BV272">
        <v>0</v>
      </c>
      <c r="BW272">
        <v>0</v>
      </c>
      <c r="BX272">
        <v>0</v>
      </c>
      <c r="BY272">
        <v>0</v>
      </c>
      <c r="BZ272">
        <v>0</v>
      </c>
      <c r="CA272">
        <v>0</v>
      </c>
    </row>
    <row r="273" spans="1:104" x14ac:dyDescent="0.3">
      <c r="A273">
        <v>9015</v>
      </c>
      <c r="B273" t="s">
        <v>1659</v>
      </c>
      <c r="C273" t="s">
        <v>349</v>
      </c>
      <c r="D273">
        <v>0</v>
      </c>
      <c r="E273">
        <v>0</v>
      </c>
      <c r="F273">
        <v>0</v>
      </c>
      <c r="G273">
        <v>0</v>
      </c>
      <c r="H273">
        <v>0</v>
      </c>
      <c r="I273">
        <v>0</v>
      </c>
      <c r="J273">
        <v>0</v>
      </c>
      <c r="K273">
        <v>0</v>
      </c>
      <c r="L273">
        <v>0</v>
      </c>
      <c r="M273">
        <v>0</v>
      </c>
      <c r="N273">
        <v>0</v>
      </c>
      <c r="O273">
        <v>0</v>
      </c>
      <c r="P273">
        <v>0</v>
      </c>
      <c r="Q273">
        <v>0</v>
      </c>
      <c r="R273">
        <v>0</v>
      </c>
      <c r="S273">
        <v>2465296</v>
      </c>
      <c r="T273">
        <v>0</v>
      </c>
      <c r="U273">
        <v>8115476</v>
      </c>
      <c r="V273">
        <v>0</v>
      </c>
      <c r="W273">
        <v>0</v>
      </c>
      <c r="X273">
        <v>0</v>
      </c>
      <c r="Y273">
        <v>0</v>
      </c>
      <c r="Z273">
        <v>-143574</v>
      </c>
      <c r="AA273">
        <v>0</v>
      </c>
      <c r="AB273">
        <v>0</v>
      </c>
      <c r="AC273">
        <v>0</v>
      </c>
      <c r="AD273">
        <v>0</v>
      </c>
      <c r="AE273">
        <v>214464</v>
      </c>
      <c r="AF273">
        <v>0</v>
      </c>
      <c r="AG273">
        <v>0</v>
      </c>
      <c r="AH273">
        <v>0</v>
      </c>
      <c r="AI273">
        <v>0</v>
      </c>
      <c r="AJ273">
        <v>602196</v>
      </c>
      <c r="AK273">
        <v>0</v>
      </c>
      <c r="AL273">
        <v>0</v>
      </c>
      <c r="AM273">
        <v>0</v>
      </c>
      <c r="AN273">
        <v>0</v>
      </c>
      <c r="AO273">
        <v>0</v>
      </c>
      <c r="AP273">
        <v>0</v>
      </c>
      <c r="AQ273">
        <v>4923563</v>
      </c>
      <c r="AR273">
        <v>0</v>
      </c>
      <c r="AS273">
        <v>0</v>
      </c>
      <c r="AT273">
        <v>0</v>
      </c>
      <c r="AU273">
        <v>1020673</v>
      </c>
      <c r="AV273">
        <v>0</v>
      </c>
      <c r="AW273">
        <v>0</v>
      </c>
      <c r="AX273">
        <v>0</v>
      </c>
      <c r="AY273">
        <v>0</v>
      </c>
      <c r="AZ273">
        <v>0</v>
      </c>
      <c r="BA273">
        <v>0</v>
      </c>
      <c r="BB273">
        <v>0</v>
      </c>
      <c r="BC273">
        <v>0</v>
      </c>
      <c r="BD273">
        <v>0</v>
      </c>
      <c r="BE273">
        <v>1815058</v>
      </c>
      <c r="BF273">
        <v>0</v>
      </c>
      <c r="BG273">
        <v>0</v>
      </c>
      <c r="BH273">
        <v>0</v>
      </c>
      <c r="BI273">
        <v>0</v>
      </c>
      <c r="BJ273">
        <v>0</v>
      </c>
      <c r="BK273">
        <v>-274414</v>
      </c>
      <c r="BL273">
        <v>0</v>
      </c>
      <c r="BM273">
        <v>0</v>
      </c>
      <c r="BN273">
        <v>0</v>
      </c>
      <c r="BO273">
        <v>0</v>
      </c>
      <c r="BP273">
        <v>0</v>
      </c>
      <c r="BQ273">
        <v>0</v>
      </c>
      <c r="BR273">
        <v>0</v>
      </c>
      <c r="BS273">
        <v>0</v>
      </c>
      <c r="BT273">
        <v>0</v>
      </c>
      <c r="BU273">
        <v>0</v>
      </c>
      <c r="BV273">
        <v>0</v>
      </c>
      <c r="BW273">
        <v>0</v>
      </c>
      <c r="BX273">
        <v>0</v>
      </c>
      <c r="BY273">
        <v>0</v>
      </c>
      <c r="BZ273">
        <v>0</v>
      </c>
      <c r="CA273">
        <v>0</v>
      </c>
    </row>
    <row r="274" spans="1:104" x14ac:dyDescent="0.3">
      <c r="A274">
        <v>9016</v>
      </c>
      <c r="B274" t="s">
        <v>1660</v>
      </c>
      <c r="C274" t="s">
        <v>349</v>
      </c>
      <c r="D274">
        <v>0</v>
      </c>
      <c r="E274">
        <v>0</v>
      </c>
      <c r="F274">
        <v>0</v>
      </c>
      <c r="G274">
        <v>0</v>
      </c>
      <c r="H274">
        <v>0</v>
      </c>
      <c r="I274">
        <v>0</v>
      </c>
      <c r="J274">
        <v>0</v>
      </c>
      <c r="K274">
        <v>0</v>
      </c>
      <c r="L274">
        <v>0</v>
      </c>
      <c r="M274">
        <v>0</v>
      </c>
      <c r="N274">
        <v>0</v>
      </c>
      <c r="O274">
        <v>0</v>
      </c>
      <c r="P274">
        <v>0</v>
      </c>
      <c r="Q274">
        <v>0</v>
      </c>
      <c r="R274">
        <v>0</v>
      </c>
      <c r="S274">
        <v>0.31090000000000001</v>
      </c>
      <c r="T274">
        <v>0</v>
      </c>
      <c r="U274">
        <v>1.0515000000000001</v>
      </c>
      <c r="V274">
        <v>0</v>
      </c>
      <c r="W274">
        <v>0</v>
      </c>
      <c r="X274">
        <v>0</v>
      </c>
      <c r="Y274">
        <v>0</v>
      </c>
      <c r="Z274">
        <v>0.20880000000000001</v>
      </c>
      <c r="AA274">
        <v>0</v>
      </c>
      <c r="AB274">
        <v>0</v>
      </c>
      <c r="AC274">
        <v>0</v>
      </c>
      <c r="AD274">
        <v>0</v>
      </c>
      <c r="AE274">
        <v>0.36630000000000001</v>
      </c>
      <c r="AF274">
        <v>0</v>
      </c>
      <c r="AG274">
        <v>0</v>
      </c>
      <c r="AH274">
        <v>0</v>
      </c>
      <c r="AI274">
        <v>0</v>
      </c>
      <c r="AJ274">
        <v>8.48E-2</v>
      </c>
      <c r="AK274">
        <v>0</v>
      </c>
      <c r="AL274">
        <v>0</v>
      </c>
      <c r="AM274">
        <v>0</v>
      </c>
      <c r="AN274">
        <v>0</v>
      </c>
      <c r="AO274">
        <v>0</v>
      </c>
      <c r="AP274">
        <v>0</v>
      </c>
      <c r="AQ274">
        <v>0.40339999999999998</v>
      </c>
      <c r="AR274">
        <v>0</v>
      </c>
      <c r="AS274">
        <v>0</v>
      </c>
      <c r="AT274">
        <v>0</v>
      </c>
      <c r="AU274">
        <v>0.81440000000000001</v>
      </c>
      <c r="AV274">
        <v>0</v>
      </c>
      <c r="AW274">
        <v>0</v>
      </c>
      <c r="AX274">
        <v>0</v>
      </c>
      <c r="AY274">
        <v>0</v>
      </c>
      <c r="AZ274">
        <v>0</v>
      </c>
      <c r="BA274">
        <v>0</v>
      </c>
      <c r="BB274">
        <v>0</v>
      </c>
      <c r="BC274">
        <v>0</v>
      </c>
      <c r="BD274">
        <v>0</v>
      </c>
      <c r="BE274">
        <v>0.24840000000000001</v>
      </c>
      <c r="BF274">
        <v>0</v>
      </c>
      <c r="BG274">
        <v>0</v>
      </c>
      <c r="BH274">
        <v>0</v>
      </c>
      <c r="BI274">
        <v>0</v>
      </c>
      <c r="BJ274">
        <v>0</v>
      </c>
      <c r="BK274">
        <v>0.36459999999999998</v>
      </c>
      <c r="BL274">
        <v>0</v>
      </c>
      <c r="BM274">
        <v>0</v>
      </c>
      <c r="BN274">
        <v>0</v>
      </c>
      <c r="BO274">
        <v>0</v>
      </c>
      <c r="BP274">
        <v>0</v>
      </c>
      <c r="BQ274">
        <v>0</v>
      </c>
      <c r="BR274">
        <v>0</v>
      </c>
      <c r="BS274">
        <v>0</v>
      </c>
      <c r="BT274">
        <v>0</v>
      </c>
      <c r="BU274">
        <v>0</v>
      </c>
      <c r="BV274">
        <v>0</v>
      </c>
      <c r="BW274">
        <v>0</v>
      </c>
      <c r="BX274">
        <v>0</v>
      </c>
      <c r="BY274">
        <v>0</v>
      </c>
      <c r="BZ274">
        <v>0</v>
      </c>
      <c r="CA274">
        <v>0</v>
      </c>
    </row>
    <row r="275" spans="1:104" x14ac:dyDescent="0.3">
      <c r="A275">
        <v>9017</v>
      </c>
      <c r="B275" t="s">
        <v>973</v>
      </c>
      <c r="C275" t="s">
        <v>974</v>
      </c>
      <c r="D275">
        <v>0</v>
      </c>
      <c r="E275">
        <v>0</v>
      </c>
      <c r="F275">
        <v>0</v>
      </c>
      <c r="G275">
        <v>0</v>
      </c>
      <c r="H275">
        <v>0</v>
      </c>
      <c r="I275">
        <v>0</v>
      </c>
      <c r="J275">
        <v>0</v>
      </c>
      <c r="K275">
        <v>0</v>
      </c>
      <c r="L275">
        <v>0</v>
      </c>
      <c r="M275">
        <v>0</v>
      </c>
      <c r="N275">
        <v>0</v>
      </c>
      <c r="O275">
        <v>0</v>
      </c>
      <c r="P275">
        <v>0</v>
      </c>
      <c r="Q275">
        <v>0</v>
      </c>
      <c r="R275">
        <v>0</v>
      </c>
      <c r="S275">
        <v>3.65</v>
      </c>
      <c r="T275">
        <v>0</v>
      </c>
      <c r="U275">
        <v>25.05</v>
      </c>
      <c r="V275">
        <v>0</v>
      </c>
      <c r="W275">
        <v>0</v>
      </c>
      <c r="X275">
        <v>0</v>
      </c>
      <c r="Y275">
        <v>0</v>
      </c>
      <c r="Z275">
        <v>1.62</v>
      </c>
      <c r="AA275">
        <v>0</v>
      </c>
      <c r="AB275">
        <v>0</v>
      </c>
      <c r="AC275">
        <v>0</v>
      </c>
      <c r="AD275">
        <v>0</v>
      </c>
      <c r="AE275">
        <v>7.82</v>
      </c>
      <c r="AF275">
        <v>0</v>
      </c>
      <c r="AG275">
        <v>0</v>
      </c>
      <c r="AH275">
        <v>0</v>
      </c>
      <c r="AI275">
        <v>0</v>
      </c>
      <c r="AJ275">
        <v>1.69</v>
      </c>
      <c r="AK275">
        <v>0</v>
      </c>
      <c r="AL275">
        <v>0</v>
      </c>
      <c r="AM275">
        <v>0</v>
      </c>
      <c r="AN275">
        <v>0</v>
      </c>
      <c r="AO275">
        <v>0</v>
      </c>
      <c r="AP275">
        <v>0</v>
      </c>
      <c r="AQ275">
        <v>5.27</v>
      </c>
      <c r="AR275">
        <v>0</v>
      </c>
      <c r="AS275">
        <v>0</v>
      </c>
      <c r="AT275">
        <v>0</v>
      </c>
      <c r="AU275">
        <v>7.53</v>
      </c>
      <c r="AV275">
        <v>0</v>
      </c>
      <c r="AW275">
        <v>0</v>
      </c>
      <c r="AX275">
        <v>0</v>
      </c>
      <c r="AY275">
        <v>0</v>
      </c>
      <c r="AZ275">
        <v>0</v>
      </c>
      <c r="BA275">
        <v>0</v>
      </c>
      <c r="BB275">
        <v>0</v>
      </c>
      <c r="BC275">
        <v>0</v>
      </c>
      <c r="BD275">
        <v>0</v>
      </c>
      <c r="BE275">
        <v>4.3600000000000003</v>
      </c>
      <c r="BF275">
        <v>0</v>
      </c>
      <c r="BG275">
        <v>0</v>
      </c>
      <c r="BH275">
        <v>0</v>
      </c>
      <c r="BI275">
        <v>0</v>
      </c>
      <c r="BJ275">
        <v>0</v>
      </c>
      <c r="BK275">
        <v>19.399999999999999</v>
      </c>
      <c r="BL275">
        <v>0</v>
      </c>
      <c r="BM275">
        <v>0</v>
      </c>
      <c r="BN275">
        <v>0</v>
      </c>
      <c r="BO275">
        <v>0</v>
      </c>
      <c r="BP275">
        <v>0</v>
      </c>
      <c r="BQ275">
        <v>0</v>
      </c>
      <c r="BR275">
        <v>0</v>
      </c>
      <c r="BS275">
        <v>0</v>
      </c>
      <c r="BT275">
        <v>0</v>
      </c>
      <c r="BU275">
        <v>0</v>
      </c>
      <c r="BV275">
        <v>0</v>
      </c>
      <c r="BW275">
        <v>0</v>
      </c>
      <c r="BX275">
        <v>0</v>
      </c>
      <c r="BY275">
        <v>0</v>
      </c>
      <c r="BZ275">
        <v>0</v>
      </c>
      <c r="CA275">
        <v>0</v>
      </c>
    </row>
    <row r="276" spans="1:104" x14ac:dyDescent="0.3">
      <c r="A276">
        <v>9018</v>
      </c>
      <c r="B276" t="s">
        <v>975</v>
      </c>
      <c r="C276" t="s">
        <v>976</v>
      </c>
      <c r="D276">
        <v>130045</v>
      </c>
      <c r="E276">
        <v>3140305</v>
      </c>
      <c r="F276">
        <v>0</v>
      </c>
      <c r="G276">
        <v>8433147</v>
      </c>
      <c r="H276">
        <v>537252</v>
      </c>
      <c r="I276">
        <v>15994</v>
      </c>
      <c r="J276">
        <v>11128</v>
      </c>
      <c r="K276">
        <v>418291</v>
      </c>
      <c r="L276">
        <v>14361733</v>
      </c>
      <c r="M276">
        <v>0</v>
      </c>
      <c r="N276">
        <v>36687</v>
      </c>
      <c r="O276">
        <v>0</v>
      </c>
      <c r="P276">
        <v>10348174</v>
      </c>
      <c r="Q276">
        <v>2756289</v>
      </c>
      <c r="R276">
        <v>2227403</v>
      </c>
      <c r="S276">
        <v>1412091</v>
      </c>
      <c r="T276">
        <v>223914</v>
      </c>
      <c r="U276">
        <v>3307862</v>
      </c>
      <c r="V276">
        <v>753</v>
      </c>
      <c r="W276">
        <v>1464754</v>
      </c>
      <c r="X276">
        <v>4146783</v>
      </c>
      <c r="Y276">
        <v>1493006</v>
      </c>
      <c r="Z276">
        <v>786634</v>
      </c>
      <c r="AA276">
        <v>0</v>
      </c>
      <c r="AB276">
        <v>503470</v>
      </c>
      <c r="AC276">
        <v>10777</v>
      </c>
      <c r="AD276">
        <v>54269</v>
      </c>
      <c r="AE276">
        <v>287632</v>
      </c>
      <c r="AF276">
        <v>7490</v>
      </c>
      <c r="AG276">
        <v>1544</v>
      </c>
      <c r="AH276">
        <v>1114</v>
      </c>
      <c r="AI276">
        <v>148413</v>
      </c>
      <c r="AJ276">
        <v>3170340</v>
      </c>
      <c r="AK276">
        <v>294452</v>
      </c>
      <c r="AL276">
        <v>4550</v>
      </c>
      <c r="AM276">
        <v>12550648</v>
      </c>
      <c r="AN276">
        <v>3473587</v>
      </c>
      <c r="AO276">
        <v>0</v>
      </c>
      <c r="AP276">
        <v>2395380</v>
      </c>
      <c r="AQ276">
        <v>6854146</v>
      </c>
      <c r="AR276">
        <v>360856</v>
      </c>
      <c r="AS276">
        <v>0</v>
      </c>
      <c r="AT276">
        <v>522759</v>
      </c>
      <c r="AU276">
        <v>3469941</v>
      </c>
      <c r="AV276">
        <v>58896</v>
      </c>
      <c r="AW276">
        <v>0</v>
      </c>
      <c r="AX276">
        <v>3393703</v>
      </c>
      <c r="AY276">
        <v>54918</v>
      </c>
      <c r="AZ276">
        <v>0</v>
      </c>
      <c r="BA276">
        <v>241498</v>
      </c>
      <c r="BB276">
        <v>204087</v>
      </c>
      <c r="BC276">
        <v>0</v>
      </c>
      <c r="BD276">
        <v>1152</v>
      </c>
      <c r="BE276">
        <v>6265033</v>
      </c>
      <c r="BF276">
        <v>0</v>
      </c>
      <c r="BG276">
        <v>0</v>
      </c>
      <c r="BH276">
        <v>215276</v>
      </c>
      <c r="BI276">
        <v>550590</v>
      </c>
      <c r="BJ276">
        <v>62742</v>
      </c>
      <c r="BK276">
        <v>231043</v>
      </c>
      <c r="BL276">
        <v>194929</v>
      </c>
      <c r="BM276">
        <v>0</v>
      </c>
      <c r="BN276">
        <v>1478917</v>
      </c>
      <c r="BO276">
        <v>313445</v>
      </c>
      <c r="BP276">
        <v>15696</v>
      </c>
      <c r="BQ276">
        <v>128601</v>
      </c>
      <c r="BR276">
        <v>125286</v>
      </c>
      <c r="BS276">
        <v>2726937</v>
      </c>
      <c r="BT276">
        <v>113699</v>
      </c>
      <c r="BU276">
        <v>1138152</v>
      </c>
      <c r="BV276">
        <v>0</v>
      </c>
      <c r="BW276">
        <v>3460</v>
      </c>
      <c r="BX276">
        <v>0</v>
      </c>
      <c r="BY276">
        <v>1772</v>
      </c>
      <c r="BZ276">
        <v>2751161</v>
      </c>
      <c r="CA276">
        <v>35798</v>
      </c>
    </row>
    <row r="277" spans="1:104" x14ac:dyDescent="0.3">
      <c r="A277">
        <v>9019</v>
      </c>
      <c r="B277" t="s">
        <v>977</v>
      </c>
      <c r="C277" t="s">
        <v>978</v>
      </c>
      <c r="D277">
        <v>130045</v>
      </c>
      <c r="E277">
        <v>3140305</v>
      </c>
      <c r="F277">
        <v>0</v>
      </c>
      <c r="G277">
        <v>8433147</v>
      </c>
      <c r="H277">
        <v>537252</v>
      </c>
      <c r="I277">
        <v>15994</v>
      </c>
      <c r="J277">
        <v>11128</v>
      </c>
      <c r="K277">
        <v>418291</v>
      </c>
      <c r="L277">
        <v>14361733</v>
      </c>
      <c r="M277">
        <v>0</v>
      </c>
      <c r="N277">
        <v>36687</v>
      </c>
      <c r="O277">
        <v>0</v>
      </c>
      <c r="P277">
        <v>10348174</v>
      </c>
      <c r="Q277">
        <v>2756289</v>
      </c>
      <c r="R277">
        <v>2227403</v>
      </c>
      <c r="S277">
        <v>1412091</v>
      </c>
      <c r="T277">
        <v>223914</v>
      </c>
      <c r="U277">
        <v>3307862</v>
      </c>
      <c r="V277">
        <v>753</v>
      </c>
      <c r="W277">
        <v>1464754</v>
      </c>
      <c r="X277">
        <v>4146783</v>
      </c>
      <c r="Y277">
        <v>1493006</v>
      </c>
      <c r="Z277">
        <v>786634</v>
      </c>
      <c r="AA277">
        <v>0</v>
      </c>
      <c r="AB277">
        <v>503470</v>
      </c>
      <c r="AC277">
        <v>10777</v>
      </c>
      <c r="AD277">
        <v>54269</v>
      </c>
      <c r="AE277">
        <v>287632</v>
      </c>
      <c r="AF277">
        <v>7490</v>
      </c>
      <c r="AG277">
        <v>1544</v>
      </c>
      <c r="AH277">
        <v>1114</v>
      </c>
      <c r="AI277">
        <v>148413</v>
      </c>
      <c r="AJ277">
        <v>3170340</v>
      </c>
      <c r="AK277">
        <v>294452</v>
      </c>
      <c r="AL277">
        <v>4550</v>
      </c>
      <c r="AM277">
        <v>12550648</v>
      </c>
      <c r="AN277">
        <v>3473587</v>
      </c>
      <c r="AO277">
        <v>0</v>
      </c>
      <c r="AP277">
        <v>2395380</v>
      </c>
      <c r="AQ277">
        <v>6854146</v>
      </c>
      <c r="AR277">
        <v>360856</v>
      </c>
      <c r="AS277">
        <v>0</v>
      </c>
      <c r="AT277">
        <v>522759</v>
      </c>
      <c r="AU277">
        <v>3469941</v>
      </c>
      <c r="AV277">
        <v>58896</v>
      </c>
      <c r="AW277">
        <v>0</v>
      </c>
      <c r="AX277">
        <v>3393703</v>
      </c>
      <c r="AY277">
        <v>54918</v>
      </c>
      <c r="AZ277">
        <v>0</v>
      </c>
      <c r="BA277">
        <v>241498</v>
      </c>
      <c r="BB277">
        <v>204087</v>
      </c>
      <c r="BC277">
        <v>0</v>
      </c>
      <c r="BD277">
        <v>1152</v>
      </c>
      <c r="BE277">
        <v>6265033</v>
      </c>
      <c r="BF277">
        <v>0</v>
      </c>
      <c r="BG277">
        <v>0</v>
      </c>
      <c r="BH277">
        <v>215276</v>
      </c>
      <c r="BI277">
        <v>550590</v>
      </c>
      <c r="BJ277">
        <v>62742</v>
      </c>
      <c r="BK277">
        <v>231043</v>
      </c>
      <c r="BL277">
        <v>194929</v>
      </c>
      <c r="BM277">
        <v>0</v>
      </c>
      <c r="BN277">
        <v>1478917</v>
      </c>
      <c r="BO277">
        <v>313445</v>
      </c>
      <c r="BP277">
        <v>15696</v>
      </c>
      <c r="BQ277">
        <v>128601</v>
      </c>
      <c r="BR277">
        <v>125286</v>
      </c>
      <c r="BS277">
        <v>2726937</v>
      </c>
      <c r="BT277">
        <v>113699</v>
      </c>
      <c r="BU277">
        <v>1138152</v>
      </c>
      <c r="BV277">
        <v>0</v>
      </c>
      <c r="BW277">
        <v>3460</v>
      </c>
      <c r="BX277">
        <v>0</v>
      </c>
      <c r="BY277">
        <v>1772</v>
      </c>
      <c r="BZ277">
        <v>2751161</v>
      </c>
      <c r="CA277">
        <v>35798</v>
      </c>
    </row>
    <row r="278" spans="1:104" s="784" customFormat="1" ht="72" x14ac:dyDescent="0.3">
      <c r="A278" s="785"/>
      <c r="B278" s="784" t="s">
        <v>1865</v>
      </c>
      <c r="C278" s="924" t="s">
        <v>1663</v>
      </c>
      <c r="D278" s="784">
        <f>(D106+D135-D3-D4-D5-D8+D191)/(D132+D109+D11-D133-D108-D234)</f>
        <v>0.39670279737208081</v>
      </c>
      <c r="E278" s="784">
        <f t="shared" ref="E278:BP278" si="0">(E106+E135-E3-E4-E5-E8+E191)/(E132+E109+E11-E133-E108-E234)</f>
        <v>1.1688958172879456</v>
      </c>
      <c r="F278" s="784" t="e">
        <f t="shared" si="0"/>
        <v>#DIV/0!</v>
      </c>
      <c r="G278" s="784">
        <f t="shared" si="0"/>
        <v>0.50857729393489359</v>
      </c>
      <c r="H278" s="784">
        <f t="shared" si="0"/>
        <v>0.52584873600031001</v>
      </c>
      <c r="I278" s="784">
        <f t="shared" si="0"/>
        <v>1.1636935416712322</v>
      </c>
      <c r="J278" s="784">
        <f t="shared" si="0"/>
        <v>2.2252256355320639</v>
      </c>
      <c r="K278" s="784">
        <f t="shared" si="0"/>
        <v>0.45353752595668939</v>
      </c>
      <c r="L278" s="784">
        <f t="shared" si="0"/>
        <v>0.81253624508181799</v>
      </c>
      <c r="M278" s="784" t="e">
        <f t="shared" si="0"/>
        <v>#DIV/0!</v>
      </c>
      <c r="N278" s="784">
        <f t="shared" si="0"/>
        <v>0.88718563987683485</v>
      </c>
      <c r="O278" s="784" t="e">
        <f t="shared" si="0"/>
        <v>#DIV/0!</v>
      </c>
      <c r="P278" s="784">
        <f t="shared" si="0"/>
        <v>0.31902151602448281</v>
      </c>
      <c r="Q278" s="784">
        <f t="shared" si="0"/>
        <v>0.98310756741414074</v>
      </c>
      <c r="R278" s="784">
        <f t="shared" si="0"/>
        <v>0.42110032299395422</v>
      </c>
      <c r="S278" s="784">
        <f t="shared" si="0"/>
        <v>0.60665990574135875</v>
      </c>
      <c r="T278" s="784">
        <f t="shared" si="0"/>
        <v>2.4521280941099581</v>
      </c>
      <c r="U278" s="784">
        <f t="shared" si="0"/>
        <v>0.574677067823953</v>
      </c>
      <c r="V278" s="784">
        <f t="shared" si="0"/>
        <v>7.220019299938591</v>
      </c>
      <c r="W278" s="784">
        <f t="shared" si="0"/>
        <v>0.74980640039480084</v>
      </c>
      <c r="X278" s="784">
        <f t="shared" si="0"/>
        <v>0.34006847102190257</v>
      </c>
      <c r="Y278" s="784">
        <f t="shared" si="0"/>
        <v>0.85159492967345674</v>
      </c>
      <c r="Z278" s="784">
        <f t="shared" si="0"/>
        <v>1.5434931627649944</v>
      </c>
      <c r="AA278" s="784" t="e">
        <f t="shared" si="0"/>
        <v>#DIV/0!</v>
      </c>
      <c r="AB278" s="784">
        <f t="shared" si="0"/>
        <v>1.1342507608745518</v>
      </c>
      <c r="AC278" s="784">
        <f t="shared" si="0"/>
        <v>1.2436969049629887</v>
      </c>
      <c r="AD278" s="784">
        <f t="shared" si="0"/>
        <v>1.1338067770205038</v>
      </c>
      <c r="AE278" s="784">
        <f t="shared" si="0"/>
        <v>0.77697821418900492</v>
      </c>
      <c r="AF278" s="784">
        <f t="shared" si="0"/>
        <v>0.52913234596411407</v>
      </c>
      <c r="AG278" s="784">
        <f t="shared" si="0"/>
        <v>0.93940347164631532</v>
      </c>
      <c r="AH278" s="784">
        <f t="shared" si="0"/>
        <v>2.870249362674715</v>
      </c>
      <c r="AI278" s="784">
        <f t="shared" si="0"/>
        <v>0.71944738535034602</v>
      </c>
      <c r="AJ278" s="784">
        <f t="shared" si="0"/>
        <v>0.35272208164525887</v>
      </c>
      <c r="AK278" s="784">
        <f t="shared" si="0"/>
        <v>0.73681617092458074</v>
      </c>
      <c r="AL278" s="784">
        <f t="shared" si="0"/>
        <v>4.5788626433194262</v>
      </c>
      <c r="AM278" s="784">
        <f t="shared" si="0"/>
        <v>0.32632996246230056</v>
      </c>
      <c r="AN278" s="784">
        <f t="shared" si="0"/>
        <v>0.82559405648714779</v>
      </c>
      <c r="AO278" s="784" t="e">
        <f t="shared" si="0"/>
        <v>#DIV/0!</v>
      </c>
      <c r="AP278" s="784">
        <f t="shared" si="0"/>
        <v>0.51785819266389443</v>
      </c>
      <c r="AQ278" s="784">
        <f t="shared" si="0"/>
        <v>0.47089746113402942</v>
      </c>
      <c r="AR278" s="784">
        <f t="shared" si="0"/>
        <v>0.13146561986678912</v>
      </c>
      <c r="AS278" s="784" t="e">
        <f t="shared" si="0"/>
        <v>#DIV/0!</v>
      </c>
      <c r="AT278" s="784">
        <f t="shared" si="0"/>
        <v>0.28729655752189726</v>
      </c>
      <c r="AU278" s="784">
        <f t="shared" si="0"/>
        <v>0.71586233013730916</v>
      </c>
      <c r="AV278" s="784">
        <f t="shared" si="0"/>
        <v>3.527013983417894</v>
      </c>
      <c r="AW278" s="784" t="e">
        <f t="shared" si="0"/>
        <v>#DIV/0!</v>
      </c>
      <c r="AX278" s="784">
        <f t="shared" si="0"/>
        <v>1.4399555701270497</v>
      </c>
      <c r="AY278" s="784">
        <f t="shared" si="0"/>
        <v>1.0615393522994405</v>
      </c>
      <c r="AZ278" s="784" t="e">
        <f t="shared" si="0"/>
        <v>#DIV/0!</v>
      </c>
      <c r="BA278" s="784">
        <f t="shared" si="0"/>
        <v>3.2181071945919846</v>
      </c>
      <c r="BB278" s="784">
        <f t="shared" si="0"/>
        <v>0.94408961475692421</v>
      </c>
      <c r="BC278" s="784" t="e">
        <f t="shared" si="0"/>
        <v>#DIV/0!</v>
      </c>
      <c r="BD278" s="784">
        <f t="shared" si="0"/>
        <v>3.1102864064646729</v>
      </c>
      <c r="BE278" s="784">
        <f t="shared" si="0"/>
        <v>0.26787046917734453</v>
      </c>
      <c r="BF278" s="784" t="e">
        <f t="shared" si="0"/>
        <v>#DIV/0!</v>
      </c>
      <c r="BG278" s="784" t="e">
        <f t="shared" si="0"/>
        <v>#DIV/0!</v>
      </c>
      <c r="BH278" s="784">
        <f t="shared" si="0"/>
        <v>1.0328631978802396</v>
      </c>
      <c r="BI278" s="784">
        <f t="shared" si="0"/>
        <v>1.1505211963710782</v>
      </c>
      <c r="BJ278" s="784">
        <f t="shared" si="0"/>
        <v>0.48731152188241883</v>
      </c>
      <c r="BK278" s="784">
        <f t="shared" si="0"/>
        <v>0.33240638967947767</v>
      </c>
      <c r="BL278" s="784">
        <f t="shared" si="0"/>
        <v>1.4166534851359713</v>
      </c>
      <c r="BM278" s="784">
        <f t="shared" si="0"/>
        <v>6.7959504825849768</v>
      </c>
      <c r="BN278" s="784">
        <f t="shared" si="0"/>
        <v>0.4320761715305072</v>
      </c>
      <c r="BO278" s="784">
        <f t="shared" si="0"/>
        <v>1.7194703082971239</v>
      </c>
      <c r="BP278" s="784">
        <f t="shared" si="0"/>
        <v>1.067107381620054</v>
      </c>
      <c r="BQ278" s="784">
        <f t="shared" ref="BQ278:BR278" si="1">(BQ106+BQ135-BQ3-BQ4-BQ5-BQ8+BQ191)/(BQ132+BQ109+BQ11-BQ133-BQ108-BQ234)</f>
        <v>1.3608000344080999</v>
      </c>
      <c r="BR278" s="784">
        <f t="shared" si="1"/>
        <v>1.6258850010339445</v>
      </c>
      <c r="BS278" s="784">
        <f t="shared" ref="BS278:CA278" si="2">(BS106+BS135-BS3-BS4-BS5-BS8+BS191)/(BS132+BS109+BS11-BS133-BS108-BS234)</f>
        <v>0.88664600849104513</v>
      </c>
      <c r="BT278" s="784">
        <f t="shared" si="2"/>
        <v>1.0450059374810237</v>
      </c>
      <c r="BU278" s="784">
        <f t="shared" si="2"/>
        <v>0.6732995844181443</v>
      </c>
      <c r="BV278" s="784" t="e">
        <f t="shared" si="2"/>
        <v>#DIV/0!</v>
      </c>
      <c r="BW278" s="784">
        <f t="shared" si="2"/>
        <v>1.0075193520016348</v>
      </c>
      <c r="BX278" s="784">
        <f t="shared" si="2"/>
        <v>5.153685778108712</v>
      </c>
      <c r="BY278" s="784">
        <f t="shared" si="2"/>
        <v>4.9916714748011941</v>
      </c>
      <c r="BZ278" s="784">
        <f t="shared" si="2"/>
        <v>0.56946328831674853</v>
      </c>
      <c r="CA278" s="784">
        <f t="shared" si="2"/>
        <v>0.57295462331433555</v>
      </c>
    </row>
    <row r="279" spans="1:104" s="566" customFormat="1" ht="25.2" customHeight="1" x14ac:dyDescent="0.3">
      <c r="A279" s="565" t="s">
        <v>1873</v>
      </c>
      <c r="B279" s="566" t="s">
        <v>1874</v>
      </c>
      <c r="D279" s="970" t="e">
        <f t="shared" ref="D279:AI279" si="3">1-((D123+D124+D125+D126)/(D115+D116+D117+D118))</f>
        <v>#DIV/0!</v>
      </c>
      <c r="E279" s="970" t="e">
        <f t="shared" si="3"/>
        <v>#DIV/0!</v>
      </c>
      <c r="F279" s="970" t="e">
        <f t="shared" si="3"/>
        <v>#DIV/0!</v>
      </c>
      <c r="G279" s="970">
        <f t="shared" si="3"/>
        <v>0.23382393202588825</v>
      </c>
      <c r="H279" s="970">
        <f t="shared" si="3"/>
        <v>0.54212449565064946</v>
      </c>
      <c r="I279" s="970">
        <f t="shared" si="3"/>
        <v>0.21546958388441007</v>
      </c>
      <c r="J279" s="970">
        <f t="shared" si="3"/>
        <v>0.40707891582566147</v>
      </c>
      <c r="K279" s="970">
        <f t="shared" si="3"/>
        <v>0.61987120436762955</v>
      </c>
      <c r="L279" s="970">
        <f t="shared" si="3"/>
        <v>0.65175956034260962</v>
      </c>
      <c r="M279" s="970" t="e">
        <f t="shared" si="3"/>
        <v>#DIV/0!</v>
      </c>
      <c r="N279" s="970">
        <f t="shared" si="3"/>
        <v>0.26440056158046099</v>
      </c>
      <c r="O279" s="970" t="e">
        <f t="shared" si="3"/>
        <v>#DIV/0!</v>
      </c>
      <c r="P279" s="970" t="e">
        <f t="shared" si="3"/>
        <v>#DIV/0!</v>
      </c>
      <c r="Q279" s="970">
        <f t="shared" si="3"/>
        <v>0.48718529838453339</v>
      </c>
      <c r="R279" s="970">
        <f t="shared" si="3"/>
        <v>0.53143914209965093</v>
      </c>
      <c r="S279" s="970">
        <f t="shared" si="3"/>
        <v>0.35726783952455921</v>
      </c>
      <c r="T279" s="970">
        <f t="shared" si="3"/>
        <v>0.59269659941037589</v>
      </c>
      <c r="U279" s="970">
        <f t="shared" si="3"/>
        <v>0.45461881388632697</v>
      </c>
      <c r="V279" s="970" t="e">
        <f t="shared" si="3"/>
        <v>#DIV/0!</v>
      </c>
      <c r="W279" s="970" t="e">
        <f t="shared" si="3"/>
        <v>#DIV/0!</v>
      </c>
      <c r="X279" s="970" t="e">
        <f t="shared" si="3"/>
        <v>#DIV/0!</v>
      </c>
      <c r="Y279" s="970">
        <f t="shared" si="3"/>
        <v>0.53699069932279331</v>
      </c>
      <c r="Z279" s="970">
        <f t="shared" si="3"/>
        <v>0.36941537649967049</v>
      </c>
      <c r="AA279" s="970" t="e">
        <f t="shared" si="3"/>
        <v>#DIV/0!</v>
      </c>
      <c r="AB279" s="970" t="e">
        <f t="shared" si="3"/>
        <v>#DIV/0!</v>
      </c>
      <c r="AC279" s="970">
        <f t="shared" si="3"/>
        <v>0.25108976691628526</v>
      </c>
      <c r="AD279" s="970">
        <f t="shared" si="3"/>
        <v>0.48445016333891411</v>
      </c>
      <c r="AE279" s="970">
        <f t="shared" si="3"/>
        <v>0.47380858741208565</v>
      </c>
      <c r="AF279" s="970">
        <f t="shared" si="3"/>
        <v>0.41333911082820129</v>
      </c>
      <c r="AG279" s="970" t="e">
        <f t="shared" si="3"/>
        <v>#DIV/0!</v>
      </c>
      <c r="AH279" s="970" t="e">
        <f t="shared" si="3"/>
        <v>#DIV/0!</v>
      </c>
      <c r="AI279" s="970" t="e">
        <f t="shared" si="3"/>
        <v>#DIV/0!</v>
      </c>
      <c r="AJ279" s="970">
        <f t="shared" ref="AJ279:BR279" si="4">1-((AJ123+AJ124+AJ125+AJ126)/(AJ115+AJ116+AJ117+AJ118))</f>
        <v>0.5272746992524584</v>
      </c>
      <c r="AK279" s="970">
        <f t="shared" si="4"/>
        <v>0.54909853683354992</v>
      </c>
      <c r="AL279" s="970" t="e">
        <f t="shared" si="4"/>
        <v>#DIV/0!</v>
      </c>
      <c r="AM279" s="970" t="e">
        <f t="shared" si="4"/>
        <v>#DIV/0!</v>
      </c>
      <c r="AN279" s="970">
        <f t="shared" si="4"/>
        <v>0.62254897760683037</v>
      </c>
      <c r="AO279" s="970" t="e">
        <f t="shared" si="4"/>
        <v>#DIV/0!</v>
      </c>
      <c r="AP279" s="970" t="e">
        <f t="shared" si="4"/>
        <v>#DIV/0!</v>
      </c>
      <c r="AQ279" s="970">
        <f t="shared" si="4"/>
        <v>0.41441222090753438</v>
      </c>
      <c r="AR279" s="970">
        <f t="shared" si="4"/>
        <v>0.33603329323838216</v>
      </c>
      <c r="AS279" s="970" t="e">
        <f t="shared" si="4"/>
        <v>#DIV/0!</v>
      </c>
      <c r="AT279" s="970">
        <f t="shared" si="4"/>
        <v>0.47846118129951853</v>
      </c>
      <c r="AU279" s="970">
        <f t="shared" si="4"/>
        <v>0.33088207261929259</v>
      </c>
      <c r="AV279" s="970">
        <f t="shared" si="4"/>
        <v>0.23680765432837603</v>
      </c>
      <c r="AW279" s="970" t="e">
        <f t="shared" si="4"/>
        <v>#DIV/0!</v>
      </c>
      <c r="AX279" s="970">
        <f t="shared" si="4"/>
        <v>0.62178687100498609</v>
      </c>
      <c r="AY279" s="970">
        <f t="shared" si="4"/>
        <v>0.36789017684407965</v>
      </c>
      <c r="AZ279" s="970" t="e">
        <f t="shared" si="4"/>
        <v>#DIV/0!</v>
      </c>
      <c r="BA279" s="970">
        <f t="shared" si="4"/>
        <v>0</v>
      </c>
      <c r="BB279" s="970">
        <f t="shared" si="4"/>
        <v>0.31578456083726159</v>
      </c>
      <c r="BC279" s="970" t="e">
        <f t="shared" si="4"/>
        <v>#DIV/0!</v>
      </c>
      <c r="BD279" s="970" t="e">
        <f t="shared" si="4"/>
        <v>#DIV/0!</v>
      </c>
      <c r="BE279" s="970">
        <f t="shared" si="4"/>
        <v>0.50747424536293007</v>
      </c>
      <c r="BF279" s="970" t="e">
        <f t="shared" si="4"/>
        <v>#DIV/0!</v>
      </c>
      <c r="BG279" s="970" t="e">
        <f t="shared" si="4"/>
        <v>#DIV/0!</v>
      </c>
      <c r="BH279" s="970">
        <f t="shared" si="4"/>
        <v>0.30427173127864082</v>
      </c>
      <c r="BI279" s="970">
        <f t="shared" si="4"/>
        <v>0.56219247774376435</v>
      </c>
      <c r="BJ279" s="970">
        <f t="shared" si="4"/>
        <v>0.51272361064752792</v>
      </c>
      <c r="BK279" s="970">
        <f t="shared" si="4"/>
        <v>0.34784328963672795</v>
      </c>
      <c r="BL279" s="970">
        <f t="shared" si="4"/>
        <v>0.35403189697502746</v>
      </c>
      <c r="BM279" s="970" t="e">
        <f t="shared" si="4"/>
        <v>#DIV/0!</v>
      </c>
      <c r="BN279" s="970">
        <f t="shared" si="4"/>
        <v>0.45082538405946626</v>
      </c>
      <c r="BO279" s="970">
        <f t="shared" si="4"/>
        <v>0.47831847162822372</v>
      </c>
      <c r="BP279" s="970">
        <f t="shared" si="4"/>
        <v>0.45221693909898453</v>
      </c>
      <c r="BQ279" s="970">
        <f t="shared" si="4"/>
        <v>0.51363272683254346</v>
      </c>
      <c r="BR279" s="970" t="e">
        <f t="shared" si="4"/>
        <v>#DIV/0!</v>
      </c>
      <c r="BS279" s="970" t="e">
        <f t="shared" ref="BS279:CA279" si="5">1-((BS123+BS124+BS125+BS126)/(BS115+BS116+BS117+BS118))</f>
        <v>#DIV/0!</v>
      </c>
      <c r="BT279" s="970">
        <f t="shared" si="5"/>
        <v>0.51659336541052969</v>
      </c>
      <c r="BU279" s="970">
        <f t="shared" si="5"/>
        <v>0.51915218407564889</v>
      </c>
      <c r="BV279" s="970" t="e">
        <f t="shared" si="5"/>
        <v>#DIV/0!</v>
      </c>
      <c r="BW279" s="970">
        <f t="shared" si="5"/>
        <v>0.729261160516674</v>
      </c>
      <c r="BX279" s="970" t="e">
        <f t="shared" si="5"/>
        <v>#DIV/0!</v>
      </c>
      <c r="BY279" s="970" t="e">
        <f t="shared" si="5"/>
        <v>#DIV/0!</v>
      </c>
      <c r="BZ279" s="970">
        <f t="shared" si="5"/>
        <v>0.69499646995530517</v>
      </c>
      <c r="CA279" s="970" t="e">
        <f t="shared" si="5"/>
        <v>#DIV/0!</v>
      </c>
    </row>
    <row r="280" spans="1:104" s="180" customFormat="1" x14ac:dyDescent="0.3">
      <c r="A280" s="155"/>
    </row>
    <row r="281" spans="1:104" s="180" customFormat="1" x14ac:dyDescent="0.3">
      <c r="A281" s="155"/>
    </row>
    <row r="282" spans="1:104" s="180" customFormat="1" x14ac:dyDescent="0.3">
      <c r="A282" s="155"/>
    </row>
    <row r="283" spans="1:104" s="180" customFormat="1" x14ac:dyDescent="0.3">
      <c r="A283" s="155"/>
    </row>
    <row r="284" spans="1:104" s="180" customFormat="1" x14ac:dyDescent="0.3">
      <c r="A284" s="155"/>
    </row>
    <row r="285" spans="1:104" x14ac:dyDescent="0.3">
      <c r="A285" s="552">
        <f>A201</f>
        <v>906</v>
      </c>
      <c r="B285" s="552" t="str">
        <f t="shared" ref="B285:BM285" si="6">B201</f>
        <v>TD-Was a Unmodified Audit Opinion issued?</v>
      </c>
      <c r="C285" s="552">
        <f t="shared" si="6"/>
        <v>0</v>
      </c>
      <c r="D285" s="552">
        <f t="shared" si="6"/>
        <v>1</v>
      </c>
      <c r="E285" s="552">
        <f t="shared" si="6"/>
        <v>1</v>
      </c>
      <c r="F285" s="552">
        <f t="shared" si="6"/>
        <v>0</v>
      </c>
      <c r="G285" s="552">
        <f t="shared" si="6"/>
        <v>1</v>
      </c>
      <c r="H285" s="552">
        <f t="shared" si="6"/>
        <v>1</v>
      </c>
      <c r="I285" s="552">
        <f t="shared" si="6"/>
        <v>1</v>
      </c>
      <c r="J285" s="552">
        <f t="shared" si="6"/>
        <v>1</v>
      </c>
      <c r="K285" s="552">
        <f t="shared" si="6"/>
        <v>1</v>
      </c>
      <c r="L285" s="552">
        <f t="shared" si="6"/>
        <v>1</v>
      </c>
      <c r="M285" s="552">
        <f t="shared" si="6"/>
        <v>0</v>
      </c>
      <c r="N285" s="552">
        <f t="shared" si="6"/>
        <v>1</v>
      </c>
      <c r="O285" s="552">
        <f t="shared" si="6"/>
        <v>0</v>
      </c>
      <c r="P285" s="552">
        <f t="shared" si="6"/>
        <v>1</v>
      </c>
      <c r="Q285" s="552">
        <f t="shared" si="6"/>
        <v>1</v>
      </c>
      <c r="R285" s="552">
        <f t="shared" si="6"/>
        <v>1</v>
      </c>
      <c r="S285" s="552">
        <f t="shared" si="6"/>
        <v>1</v>
      </c>
      <c r="T285" s="552">
        <f t="shared" si="6"/>
        <v>1</v>
      </c>
      <c r="U285" s="552">
        <f t="shared" si="6"/>
        <v>1</v>
      </c>
      <c r="V285" s="552">
        <f t="shared" si="6"/>
        <v>1</v>
      </c>
      <c r="W285" s="552">
        <f t="shared" si="6"/>
        <v>1</v>
      </c>
      <c r="X285" s="552">
        <f t="shared" si="6"/>
        <v>1</v>
      </c>
      <c r="Y285" s="552">
        <f t="shared" si="6"/>
        <v>1</v>
      </c>
      <c r="Z285" s="552">
        <f t="shared" si="6"/>
        <v>1</v>
      </c>
      <c r="AA285" s="552">
        <f t="shared" si="6"/>
        <v>0</v>
      </c>
      <c r="AB285" s="552">
        <f t="shared" si="6"/>
        <v>1</v>
      </c>
      <c r="AC285" s="552">
        <f t="shared" si="6"/>
        <v>1</v>
      </c>
      <c r="AD285" s="552">
        <f t="shared" si="6"/>
        <v>1</v>
      </c>
      <c r="AE285" s="552">
        <f t="shared" si="6"/>
        <v>1</v>
      </c>
      <c r="AF285" s="552">
        <f t="shared" si="6"/>
        <v>1</v>
      </c>
      <c r="AG285" s="552">
        <f t="shared" si="6"/>
        <v>1</v>
      </c>
      <c r="AH285" s="552">
        <f t="shared" si="6"/>
        <v>1</v>
      </c>
      <c r="AI285" s="552">
        <f t="shared" si="6"/>
        <v>1</v>
      </c>
      <c r="AJ285" s="552">
        <f t="shared" si="6"/>
        <v>1</v>
      </c>
      <c r="AK285" s="552">
        <f t="shared" si="6"/>
        <v>1</v>
      </c>
      <c r="AL285" s="552">
        <f t="shared" si="6"/>
        <v>1</v>
      </c>
      <c r="AM285" s="552">
        <f t="shared" si="6"/>
        <v>1</v>
      </c>
      <c r="AN285" s="552">
        <f t="shared" si="6"/>
        <v>1</v>
      </c>
      <c r="AO285" s="552">
        <f t="shared" si="6"/>
        <v>0</v>
      </c>
      <c r="AP285" s="552">
        <f t="shared" si="6"/>
        <v>1</v>
      </c>
      <c r="AQ285" s="552">
        <f t="shared" si="6"/>
        <v>1</v>
      </c>
      <c r="AR285" s="552">
        <f t="shared" si="6"/>
        <v>1</v>
      </c>
      <c r="AS285" s="552">
        <f t="shared" si="6"/>
        <v>0</v>
      </c>
      <c r="AT285" s="552">
        <f t="shared" si="6"/>
        <v>1</v>
      </c>
      <c r="AU285" s="552">
        <f t="shared" si="6"/>
        <v>1</v>
      </c>
      <c r="AV285" s="552">
        <f t="shared" si="6"/>
        <v>1</v>
      </c>
      <c r="AW285" s="552">
        <f t="shared" si="6"/>
        <v>0</v>
      </c>
      <c r="AX285" s="552">
        <f t="shared" si="6"/>
        <v>1</v>
      </c>
      <c r="AY285" s="552">
        <f t="shared" si="6"/>
        <v>1</v>
      </c>
      <c r="AZ285" s="552">
        <f t="shared" si="6"/>
        <v>0</v>
      </c>
      <c r="BA285" s="552">
        <f t="shared" si="6"/>
        <v>1</v>
      </c>
      <c r="BB285" s="552">
        <f t="shared" si="6"/>
        <v>1</v>
      </c>
      <c r="BC285" s="552">
        <f t="shared" si="6"/>
        <v>0</v>
      </c>
      <c r="BD285" s="552">
        <f t="shared" si="6"/>
        <v>1</v>
      </c>
      <c r="BE285" s="552">
        <f t="shared" si="6"/>
        <v>1</v>
      </c>
      <c r="BF285" s="552">
        <f t="shared" si="6"/>
        <v>0</v>
      </c>
      <c r="BG285" s="552">
        <f t="shared" si="6"/>
        <v>0</v>
      </c>
      <c r="BH285" s="552">
        <f t="shared" si="6"/>
        <v>1</v>
      </c>
      <c r="BI285" s="552">
        <f t="shared" si="6"/>
        <v>1</v>
      </c>
      <c r="BJ285" s="552">
        <f t="shared" si="6"/>
        <v>1</v>
      </c>
      <c r="BK285" s="552">
        <f t="shared" si="6"/>
        <v>1</v>
      </c>
      <c r="BL285" s="552">
        <f t="shared" si="6"/>
        <v>1</v>
      </c>
      <c r="BM285" s="552">
        <f t="shared" si="6"/>
        <v>1</v>
      </c>
      <c r="BN285" s="552">
        <f t="shared" ref="BN285:BR285" si="7">BN201</f>
        <v>1</v>
      </c>
      <c r="BO285" s="552">
        <f t="shared" si="7"/>
        <v>1</v>
      </c>
      <c r="BP285" s="552">
        <f t="shared" si="7"/>
        <v>1</v>
      </c>
      <c r="BQ285" s="552">
        <f t="shared" si="7"/>
        <v>1</v>
      </c>
      <c r="BR285" s="552">
        <f t="shared" si="7"/>
        <v>1</v>
      </c>
      <c r="BS285" s="552">
        <f t="shared" ref="BS285:CA285" si="8">BS201</f>
        <v>1</v>
      </c>
      <c r="BT285" s="552">
        <f t="shared" si="8"/>
        <v>1</v>
      </c>
      <c r="BU285" s="552">
        <f t="shared" si="8"/>
        <v>1</v>
      </c>
      <c r="BV285" s="552">
        <f t="shared" si="8"/>
        <v>0</v>
      </c>
      <c r="BW285" s="552">
        <f t="shared" si="8"/>
        <v>1</v>
      </c>
      <c r="BX285" s="552">
        <f t="shared" si="8"/>
        <v>1</v>
      </c>
      <c r="BY285" s="552">
        <f t="shared" si="8"/>
        <v>1</v>
      </c>
      <c r="BZ285" s="552">
        <f t="shared" si="8"/>
        <v>1</v>
      </c>
      <c r="CA285" s="552">
        <f t="shared" si="8"/>
        <v>1</v>
      </c>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row>
    <row r="286" spans="1:104" x14ac:dyDescent="0.3">
      <c r="A286" s="552">
        <f>A202</f>
        <v>907</v>
      </c>
      <c r="B286" s="552" t="str">
        <f t="shared" ref="B286:BM286" si="9">B202</f>
        <v>TD-Was there a finding for lack of segregation of duties at this unit?</v>
      </c>
      <c r="C286" s="552">
        <f t="shared" si="9"/>
        <v>0</v>
      </c>
      <c r="D286" s="552">
        <f t="shared" si="9"/>
        <v>2</v>
      </c>
      <c r="E286" s="552">
        <f t="shared" si="9"/>
        <v>2</v>
      </c>
      <c r="F286" s="552">
        <f t="shared" si="9"/>
        <v>0</v>
      </c>
      <c r="G286" s="552">
        <f t="shared" si="9"/>
        <v>2</v>
      </c>
      <c r="H286" s="552">
        <f t="shared" si="9"/>
        <v>2</v>
      </c>
      <c r="I286" s="552">
        <f t="shared" si="9"/>
        <v>2</v>
      </c>
      <c r="J286" s="552">
        <f t="shared" si="9"/>
        <v>2</v>
      </c>
      <c r="K286" s="552">
        <f t="shared" si="9"/>
        <v>2</v>
      </c>
      <c r="L286" s="552">
        <f t="shared" si="9"/>
        <v>2</v>
      </c>
      <c r="M286" s="552">
        <f t="shared" si="9"/>
        <v>0</v>
      </c>
      <c r="N286" s="552">
        <f t="shared" si="9"/>
        <v>1</v>
      </c>
      <c r="O286" s="552">
        <f t="shared" si="9"/>
        <v>0</v>
      </c>
      <c r="P286" s="552">
        <f t="shared" si="9"/>
        <v>2</v>
      </c>
      <c r="Q286" s="552">
        <f t="shared" si="9"/>
        <v>2</v>
      </c>
      <c r="R286" s="552">
        <f t="shared" si="9"/>
        <v>2</v>
      </c>
      <c r="S286" s="552">
        <f t="shared" si="9"/>
        <v>2</v>
      </c>
      <c r="T286" s="552">
        <f t="shared" si="9"/>
        <v>2</v>
      </c>
      <c r="U286" s="552">
        <f t="shared" si="9"/>
        <v>2</v>
      </c>
      <c r="V286" s="552">
        <f t="shared" si="9"/>
        <v>1</v>
      </c>
      <c r="W286" s="552">
        <f t="shared" si="9"/>
        <v>2</v>
      </c>
      <c r="X286" s="552">
        <f t="shared" si="9"/>
        <v>2</v>
      </c>
      <c r="Y286" s="552">
        <f t="shared" si="9"/>
        <v>2</v>
      </c>
      <c r="Z286" s="552">
        <f t="shared" si="9"/>
        <v>2</v>
      </c>
      <c r="AA286" s="552">
        <f t="shared" si="9"/>
        <v>0</v>
      </c>
      <c r="AB286" s="552">
        <f t="shared" si="9"/>
        <v>2</v>
      </c>
      <c r="AC286" s="552">
        <f t="shared" si="9"/>
        <v>2</v>
      </c>
      <c r="AD286" s="552">
        <f t="shared" si="9"/>
        <v>1</v>
      </c>
      <c r="AE286" s="552">
        <f t="shared" si="9"/>
        <v>2</v>
      </c>
      <c r="AF286" s="552">
        <f t="shared" si="9"/>
        <v>1</v>
      </c>
      <c r="AG286" s="552">
        <f t="shared" si="9"/>
        <v>1</v>
      </c>
      <c r="AH286" s="552">
        <f t="shared" si="9"/>
        <v>1</v>
      </c>
      <c r="AI286" s="552">
        <f t="shared" si="9"/>
        <v>2</v>
      </c>
      <c r="AJ286" s="552">
        <f t="shared" si="9"/>
        <v>2</v>
      </c>
      <c r="AK286" s="552">
        <f t="shared" si="9"/>
        <v>1</v>
      </c>
      <c r="AL286" s="552">
        <f t="shared" si="9"/>
        <v>2</v>
      </c>
      <c r="AM286" s="552">
        <f t="shared" si="9"/>
        <v>2</v>
      </c>
      <c r="AN286" s="552">
        <f t="shared" si="9"/>
        <v>2</v>
      </c>
      <c r="AO286" s="552">
        <f t="shared" si="9"/>
        <v>0</v>
      </c>
      <c r="AP286" s="552">
        <f t="shared" si="9"/>
        <v>2</v>
      </c>
      <c r="AQ286" s="552">
        <f t="shared" si="9"/>
        <v>2</v>
      </c>
      <c r="AR286" s="552">
        <f t="shared" si="9"/>
        <v>2</v>
      </c>
      <c r="AS286" s="552">
        <f t="shared" si="9"/>
        <v>0</v>
      </c>
      <c r="AT286" s="552">
        <f t="shared" si="9"/>
        <v>2</v>
      </c>
      <c r="AU286" s="552">
        <f t="shared" si="9"/>
        <v>2</v>
      </c>
      <c r="AV286" s="552">
        <f t="shared" si="9"/>
        <v>1</v>
      </c>
      <c r="AW286" s="552">
        <f t="shared" si="9"/>
        <v>0</v>
      </c>
      <c r="AX286" s="552">
        <f t="shared" si="9"/>
        <v>2</v>
      </c>
      <c r="AY286" s="552">
        <f t="shared" si="9"/>
        <v>1</v>
      </c>
      <c r="AZ286" s="552">
        <f t="shared" si="9"/>
        <v>0</v>
      </c>
      <c r="BA286" s="552">
        <f t="shared" si="9"/>
        <v>1</v>
      </c>
      <c r="BB286" s="552">
        <f t="shared" si="9"/>
        <v>1</v>
      </c>
      <c r="BC286" s="552">
        <f t="shared" si="9"/>
        <v>0</v>
      </c>
      <c r="BD286" s="552">
        <f t="shared" si="9"/>
        <v>1</v>
      </c>
      <c r="BE286" s="552">
        <f t="shared" si="9"/>
        <v>2</v>
      </c>
      <c r="BF286" s="552">
        <f t="shared" si="9"/>
        <v>0</v>
      </c>
      <c r="BG286" s="552">
        <f t="shared" si="9"/>
        <v>0</v>
      </c>
      <c r="BH286" s="552">
        <f t="shared" si="9"/>
        <v>2</v>
      </c>
      <c r="BI286" s="552">
        <f t="shared" si="9"/>
        <v>2</v>
      </c>
      <c r="BJ286" s="552">
        <f t="shared" si="9"/>
        <v>1</v>
      </c>
      <c r="BK286" s="552">
        <f t="shared" si="9"/>
        <v>2</v>
      </c>
      <c r="BL286" s="552">
        <f t="shared" si="9"/>
        <v>2</v>
      </c>
      <c r="BM286" s="552">
        <f t="shared" si="9"/>
        <v>1</v>
      </c>
      <c r="BN286" s="552">
        <f t="shared" ref="BN286:BR286" si="10">BN202</f>
        <v>2</v>
      </c>
      <c r="BO286" s="552">
        <f t="shared" si="10"/>
        <v>2</v>
      </c>
      <c r="BP286" s="552">
        <f t="shared" si="10"/>
        <v>1</v>
      </c>
      <c r="BQ286" s="552">
        <f t="shared" si="10"/>
        <v>2</v>
      </c>
      <c r="BR286" s="552">
        <f t="shared" si="10"/>
        <v>1</v>
      </c>
      <c r="BS286" s="552">
        <f t="shared" ref="BS286:CA286" si="11">BS202</f>
        <v>2</v>
      </c>
      <c r="BT286" s="552">
        <f t="shared" si="11"/>
        <v>2</v>
      </c>
      <c r="BU286" s="552">
        <f t="shared" si="11"/>
        <v>2</v>
      </c>
      <c r="BV286" s="552">
        <f t="shared" si="11"/>
        <v>0</v>
      </c>
      <c r="BW286" s="552">
        <f t="shared" si="11"/>
        <v>2</v>
      </c>
      <c r="BX286" s="552">
        <f t="shared" si="11"/>
        <v>2</v>
      </c>
      <c r="BY286" s="552">
        <f t="shared" si="11"/>
        <v>1</v>
      </c>
      <c r="BZ286" s="552">
        <f t="shared" si="11"/>
        <v>2</v>
      </c>
      <c r="CA286" s="552">
        <f t="shared" si="11"/>
        <v>2</v>
      </c>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row>
    <row r="287" spans="1:104" x14ac:dyDescent="0.3">
      <c r="A287" s="552">
        <f>A239</f>
        <v>1055</v>
      </c>
      <c r="B287" s="552" t="str">
        <f t="shared" ref="B287:BM287" si="12">B239</f>
        <v>Did your audit disclose as a finding bank reconciliations or subsidiary ledger reconciliations not performed timely? (Yes or No)</v>
      </c>
      <c r="C287" s="552">
        <f t="shared" si="12"/>
        <v>0</v>
      </c>
      <c r="D287" s="552">
        <f t="shared" si="12"/>
        <v>2</v>
      </c>
      <c r="E287" s="552">
        <f t="shared" si="12"/>
        <v>2</v>
      </c>
      <c r="F287" s="552">
        <f t="shared" si="12"/>
        <v>0</v>
      </c>
      <c r="G287" s="552">
        <f t="shared" si="12"/>
        <v>2</v>
      </c>
      <c r="H287" s="552">
        <f t="shared" si="12"/>
        <v>2</v>
      </c>
      <c r="I287" s="552">
        <f t="shared" si="12"/>
        <v>2</v>
      </c>
      <c r="J287" s="552">
        <f t="shared" si="12"/>
        <v>2</v>
      </c>
      <c r="K287" s="552">
        <f t="shared" si="12"/>
        <v>2</v>
      </c>
      <c r="L287" s="552">
        <f t="shared" si="12"/>
        <v>2</v>
      </c>
      <c r="M287" s="552">
        <f t="shared" si="12"/>
        <v>0</v>
      </c>
      <c r="N287" s="552">
        <f t="shared" si="12"/>
        <v>2</v>
      </c>
      <c r="O287" s="552">
        <f t="shared" si="12"/>
        <v>0</v>
      </c>
      <c r="P287" s="552">
        <f t="shared" si="12"/>
        <v>2</v>
      </c>
      <c r="Q287" s="552">
        <f t="shared" si="12"/>
        <v>2</v>
      </c>
      <c r="R287" s="552">
        <f t="shared" si="12"/>
        <v>2</v>
      </c>
      <c r="S287" s="552">
        <f t="shared" si="12"/>
        <v>2</v>
      </c>
      <c r="T287" s="552">
        <f t="shared" si="12"/>
        <v>2</v>
      </c>
      <c r="U287" s="552">
        <f t="shared" si="12"/>
        <v>2</v>
      </c>
      <c r="V287" s="552">
        <f t="shared" si="12"/>
        <v>2</v>
      </c>
      <c r="W287" s="552">
        <f t="shared" si="12"/>
        <v>2</v>
      </c>
      <c r="X287" s="552">
        <f t="shared" si="12"/>
        <v>2</v>
      </c>
      <c r="Y287" s="552">
        <f t="shared" si="12"/>
        <v>2</v>
      </c>
      <c r="Z287" s="552">
        <f t="shared" si="12"/>
        <v>2</v>
      </c>
      <c r="AA287" s="552">
        <f t="shared" si="12"/>
        <v>0</v>
      </c>
      <c r="AB287" s="552">
        <f t="shared" si="12"/>
        <v>2</v>
      </c>
      <c r="AC287" s="552">
        <f t="shared" si="12"/>
        <v>2</v>
      </c>
      <c r="AD287" s="552">
        <f t="shared" si="12"/>
        <v>1</v>
      </c>
      <c r="AE287" s="552">
        <f t="shared" si="12"/>
        <v>1</v>
      </c>
      <c r="AF287" s="552">
        <f t="shared" si="12"/>
        <v>2</v>
      </c>
      <c r="AG287" s="552">
        <f t="shared" si="12"/>
        <v>2</v>
      </c>
      <c r="AH287" s="552">
        <f t="shared" si="12"/>
        <v>2</v>
      </c>
      <c r="AI287" s="552">
        <f t="shared" si="12"/>
        <v>2</v>
      </c>
      <c r="AJ287" s="552">
        <f t="shared" si="12"/>
        <v>2</v>
      </c>
      <c r="AK287" s="552">
        <f t="shared" si="12"/>
        <v>2</v>
      </c>
      <c r="AL287" s="552">
        <f t="shared" si="12"/>
        <v>2</v>
      </c>
      <c r="AM287" s="552">
        <f t="shared" si="12"/>
        <v>2</v>
      </c>
      <c r="AN287" s="552">
        <f t="shared" si="12"/>
        <v>2</v>
      </c>
      <c r="AO287" s="552">
        <f t="shared" si="12"/>
        <v>0</v>
      </c>
      <c r="AP287" s="552">
        <f t="shared" si="12"/>
        <v>2</v>
      </c>
      <c r="AQ287" s="552">
        <f t="shared" si="12"/>
        <v>2</v>
      </c>
      <c r="AR287" s="552">
        <f t="shared" si="12"/>
        <v>1</v>
      </c>
      <c r="AS287" s="552">
        <f t="shared" si="12"/>
        <v>0</v>
      </c>
      <c r="AT287" s="552">
        <f t="shared" si="12"/>
        <v>2</v>
      </c>
      <c r="AU287" s="552">
        <f t="shared" si="12"/>
        <v>2</v>
      </c>
      <c r="AV287" s="552">
        <f t="shared" si="12"/>
        <v>1</v>
      </c>
      <c r="AW287" s="552">
        <f t="shared" si="12"/>
        <v>0</v>
      </c>
      <c r="AX287" s="552">
        <f t="shared" si="12"/>
        <v>2</v>
      </c>
      <c r="AY287" s="552">
        <f t="shared" si="12"/>
        <v>2</v>
      </c>
      <c r="AZ287" s="552">
        <f t="shared" si="12"/>
        <v>0</v>
      </c>
      <c r="BA287" s="552">
        <f t="shared" si="12"/>
        <v>2</v>
      </c>
      <c r="BB287" s="552">
        <f t="shared" si="12"/>
        <v>2</v>
      </c>
      <c r="BC287" s="552">
        <f t="shared" si="12"/>
        <v>0</v>
      </c>
      <c r="BD287" s="552">
        <f t="shared" si="12"/>
        <v>2</v>
      </c>
      <c r="BE287" s="552">
        <f t="shared" si="12"/>
        <v>2</v>
      </c>
      <c r="BF287" s="552">
        <f t="shared" si="12"/>
        <v>0</v>
      </c>
      <c r="BG287" s="552">
        <f t="shared" si="12"/>
        <v>0</v>
      </c>
      <c r="BH287" s="552">
        <f t="shared" si="12"/>
        <v>2</v>
      </c>
      <c r="BI287" s="552">
        <f t="shared" si="12"/>
        <v>1</v>
      </c>
      <c r="BJ287" s="552">
        <f t="shared" si="12"/>
        <v>2</v>
      </c>
      <c r="BK287" s="552">
        <f t="shared" si="12"/>
        <v>2</v>
      </c>
      <c r="BL287" s="552">
        <f t="shared" si="12"/>
        <v>2</v>
      </c>
      <c r="BM287" s="552">
        <f t="shared" si="12"/>
        <v>2</v>
      </c>
      <c r="BN287" s="552">
        <f t="shared" ref="BN287:BR287" si="13">BN239</f>
        <v>2</v>
      </c>
      <c r="BO287" s="552">
        <f t="shared" si="13"/>
        <v>2</v>
      </c>
      <c r="BP287" s="552">
        <f t="shared" si="13"/>
        <v>2</v>
      </c>
      <c r="BQ287" s="552">
        <f t="shared" si="13"/>
        <v>2</v>
      </c>
      <c r="BR287" s="552">
        <f t="shared" si="13"/>
        <v>2</v>
      </c>
      <c r="BS287" s="552">
        <f t="shared" ref="BS287:CA287" si="14">BS239</f>
        <v>2</v>
      </c>
      <c r="BT287" s="552">
        <f t="shared" si="14"/>
        <v>2</v>
      </c>
      <c r="BU287" s="552">
        <f t="shared" si="14"/>
        <v>2</v>
      </c>
      <c r="BV287" s="552">
        <f t="shared" si="14"/>
        <v>0</v>
      </c>
      <c r="BW287" s="552">
        <f t="shared" si="14"/>
        <v>2</v>
      </c>
      <c r="BX287" s="552">
        <f t="shared" si="14"/>
        <v>2</v>
      </c>
      <c r="BY287" s="552">
        <f t="shared" si="14"/>
        <v>2</v>
      </c>
      <c r="BZ287" s="552">
        <f t="shared" si="14"/>
        <v>2</v>
      </c>
      <c r="CA287" s="552">
        <f t="shared" si="14"/>
        <v>2</v>
      </c>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row>
    <row r="288" spans="1:104" x14ac:dyDescent="0.3">
      <c r="A288" s="552">
        <f>A240</f>
        <v>1056</v>
      </c>
      <c r="B288" s="552" t="str">
        <f t="shared" ref="B288:BM288" si="15">B240</f>
        <v>Did your audit disclose as a finding that the unitGÇÖs records were not completed by the agreed upon time? (Yes or No)</v>
      </c>
      <c r="C288" s="552">
        <f t="shared" si="15"/>
        <v>0</v>
      </c>
      <c r="D288" s="552">
        <f t="shared" si="15"/>
        <v>2</v>
      </c>
      <c r="E288" s="552">
        <f t="shared" si="15"/>
        <v>2</v>
      </c>
      <c r="F288" s="552">
        <f t="shared" si="15"/>
        <v>0</v>
      </c>
      <c r="G288" s="552">
        <f t="shared" si="15"/>
        <v>2</v>
      </c>
      <c r="H288" s="552">
        <f t="shared" si="15"/>
        <v>2</v>
      </c>
      <c r="I288" s="552">
        <f t="shared" si="15"/>
        <v>2</v>
      </c>
      <c r="J288" s="552">
        <f t="shared" si="15"/>
        <v>2</v>
      </c>
      <c r="K288" s="552">
        <f t="shared" si="15"/>
        <v>2</v>
      </c>
      <c r="L288" s="552">
        <f t="shared" si="15"/>
        <v>2</v>
      </c>
      <c r="M288" s="552">
        <f t="shared" si="15"/>
        <v>0</v>
      </c>
      <c r="N288" s="552">
        <f t="shared" si="15"/>
        <v>2</v>
      </c>
      <c r="O288" s="552">
        <f t="shared" si="15"/>
        <v>0</v>
      </c>
      <c r="P288" s="552">
        <f t="shared" si="15"/>
        <v>2</v>
      </c>
      <c r="Q288" s="552">
        <f t="shared" si="15"/>
        <v>2</v>
      </c>
      <c r="R288" s="552">
        <f t="shared" si="15"/>
        <v>2</v>
      </c>
      <c r="S288" s="552">
        <f t="shared" si="15"/>
        <v>2</v>
      </c>
      <c r="T288" s="552">
        <f t="shared" si="15"/>
        <v>2</v>
      </c>
      <c r="U288" s="552">
        <f t="shared" si="15"/>
        <v>2</v>
      </c>
      <c r="V288" s="552">
        <f t="shared" si="15"/>
        <v>2</v>
      </c>
      <c r="W288" s="552">
        <f t="shared" si="15"/>
        <v>2</v>
      </c>
      <c r="X288" s="552">
        <f t="shared" si="15"/>
        <v>2</v>
      </c>
      <c r="Y288" s="552">
        <f t="shared" si="15"/>
        <v>2</v>
      </c>
      <c r="Z288" s="552">
        <f t="shared" si="15"/>
        <v>2</v>
      </c>
      <c r="AA288" s="552">
        <f t="shared" si="15"/>
        <v>0</v>
      </c>
      <c r="AB288" s="552">
        <f t="shared" si="15"/>
        <v>2</v>
      </c>
      <c r="AC288" s="552">
        <f t="shared" si="15"/>
        <v>2</v>
      </c>
      <c r="AD288" s="552">
        <f t="shared" si="15"/>
        <v>1</v>
      </c>
      <c r="AE288" s="552">
        <f t="shared" si="15"/>
        <v>1</v>
      </c>
      <c r="AF288" s="552">
        <f t="shared" si="15"/>
        <v>2</v>
      </c>
      <c r="AG288" s="552">
        <f t="shared" si="15"/>
        <v>2</v>
      </c>
      <c r="AH288" s="552">
        <f t="shared" si="15"/>
        <v>2</v>
      </c>
      <c r="AI288" s="552">
        <f t="shared" si="15"/>
        <v>2</v>
      </c>
      <c r="AJ288" s="552">
        <f t="shared" si="15"/>
        <v>1</v>
      </c>
      <c r="AK288" s="552">
        <f t="shared" si="15"/>
        <v>2</v>
      </c>
      <c r="AL288" s="552">
        <f t="shared" si="15"/>
        <v>2</v>
      </c>
      <c r="AM288" s="552">
        <f t="shared" si="15"/>
        <v>2</v>
      </c>
      <c r="AN288" s="552">
        <f t="shared" si="15"/>
        <v>2</v>
      </c>
      <c r="AO288" s="552">
        <f t="shared" si="15"/>
        <v>0</v>
      </c>
      <c r="AP288" s="552">
        <f t="shared" si="15"/>
        <v>2</v>
      </c>
      <c r="AQ288" s="552">
        <f t="shared" si="15"/>
        <v>2</v>
      </c>
      <c r="AR288" s="552">
        <f t="shared" si="15"/>
        <v>2</v>
      </c>
      <c r="AS288" s="552">
        <f t="shared" si="15"/>
        <v>0</v>
      </c>
      <c r="AT288" s="552">
        <f t="shared" si="15"/>
        <v>2</v>
      </c>
      <c r="AU288" s="552">
        <f t="shared" si="15"/>
        <v>2</v>
      </c>
      <c r="AV288" s="552">
        <f t="shared" si="15"/>
        <v>1</v>
      </c>
      <c r="AW288" s="552">
        <f t="shared" si="15"/>
        <v>0</v>
      </c>
      <c r="AX288" s="552">
        <f t="shared" si="15"/>
        <v>2</v>
      </c>
      <c r="AY288" s="552">
        <f t="shared" si="15"/>
        <v>2</v>
      </c>
      <c r="AZ288" s="552">
        <f t="shared" si="15"/>
        <v>0</v>
      </c>
      <c r="BA288" s="552">
        <f t="shared" si="15"/>
        <v>1</v>
      </c>
      <c r="BB288" s="552">
        <f t="shared" si="15"/>
        <v>2</v>
      </c>
      <c r="BC288" s="552">
        <f t="shared" si="15"/>
        <v>0</v>
      </c>
      <c r="BD288" s="552">
        <f t="shared" si="15"/>
        <v>2</v>
      </c>
      <c r="BE288" s="552">
        <f t="shared" si="15"/>
        <v>2</v>
      </c>
      <c r="BF288" s="552">
        <f t="shared" si="15"/>
        <v>0</v>
      </c>
      <c r="BG288" s="552">
        <f t="shared" si="15"/>
        <v>0</v>
      </c>
      <c r="BH288" s="552">
        <f t="shared" si="15"/>
        <v>2</v>
      </c>
      <c r="BI288" s="552">
        <f t="shared" si="15"/>
        <v>1</v>
      </c>
      <c r="BJ288" s="552">
        <f t="shared" si="15"/>
        <v>2</v>
      </c>
      <c r="BK288" s="552">
        <f t="shared" si="15"/>
        <v>2</v>
      </c>
      <c r="BL288" s="552">
        <f t="shared" si="15"/>
        <v>2</v>
      </c>
      <c r="BM288" s="552">
        <f t="shared" si="15"/>
        <v>2</v>
      </c>
      <c r="BN288" s="552">
        <f t="shared" ref="BN288:BR288" si="16">BN240</f>
        <v>2</v>
      </c>
      <c r="BO288" s="552">
        <f t="shared" si="16"/>
        <v>2</v>
      </c>
      <c r="BP288" s="552">
        <f t="shared" si="16"/>
        <v>2</v>
      </c>
      <c r="BQ288" s="552">
        <f t="shared" si="16"/>
        <v>2</v>
      </c>
      <c r="BR288" s="552">
        <f t="shared" si="16"/>
        <v>2</v>
      </c>
      <c r="BS288" s="552">
        <f t="shared" ref="BS288:CA288" si="17">BS240</f>
        <v>2</v>
      </c>
      <c r="BT288" s="552">
        <f t="shared" si="17"/>
        <v>2</v>
      </c>
      <c r="BU288" s="552">
        <f t="shared" si="17"/>
        <v>2</v>
      </c>
      <c r="BV288" s="552">
        <f t="shared" si="17"/>
        <v>0</v>
      </c>
      <c r="BW288" s="552">
        <f t="shared" si="17"/>
        <v>2</v>
      </c>
      <c r="BX288" s="552">
        <f t="shared" si="17"/>
        <v>2</v>
      </c>
      <c r="BY288" s="552">
        <f t="shared" si="17"/>
        <v>1</v>
      </c>
      <c r="BZ288" s="552">
        <f t="shared" si="17"/>
        <v>2</v>
      </c>
      <c r="CA288" s="552">
        <f t="shared" si="17"/>
        <v>2</v>
      </c>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row>
    <row r="289" spans="1:104" x14ac:dyDescent="0.3">
      <c r="A289" s="552">
        <f>A241</f>
        <v>1057</v>
      </c>
      <c r="B289" s="552" t="str">
        <f t="shared" ref="B289:BM289" si="18">B241</f>
        <v>Did your audit disclose any budget violations at the adopted ordinance level? (Yes or No)</v>
      </c>
      <c r="C289" s="552">
        <f t="shared" si="18"/>
        <v>0</v>
      </c>
      <c r="D289" s="552">
        <f t="shared" si="18"/>
        <v>2</v>
      </c>
      <c r="E289" s="552">
        <f t="shared" si="18"/>
        <v>2</v>
      </c>
      <c r="F289" s="552">
        <f t="shared" si="18"/>
        <v>0</v>
      </c>
      <c r="G289" s="552">
        <f t="shared" si="18"/>
        <v>2</v>
      </c>
      <c r="H289" s="552">
        <f t="shared" si="18"/>
        <v>2</v>
      </c>
      <c r="I289" s="552">
        <f t="shared" si="18"/>
        <v>2</v>
      </c>
      <c r="J289" s="552">
        <f t="shared" si="18"/>
        <v>2</v>
      </c>
      <c r="K289" s="552">
        <f t="shared" si="18"/>
        <v>2</v>
      </c>
      <c r="L289" s="552">
        <f t="shared" si="18"/>
        <v>2</v>
      </c>
      <c r="M289" s="552">
        <f t="shared" si="18"/>
        <v>0</v>
      </c>
      <c r="N289" s="552">
        <f t="shared" si="18"/>
        <v>1</v>
      </c>
      <c r="O289" s="552">
        <f t="shared" si="18"/>
        <v>0</v>
      </c>
      <c r="P289" s="552">
        <f t="shared" si="18"/>
        <v>2</v>
      </c>
      <c r="Q289" s="552">
        <f t="shared" si="18"/>
        <v>2</v>
      </c>
      <c r="R289" s="552">
        <f t="shared" si="18"/>
        <v>2</v>
      </c>
      <c r="S289" s="552">
        <f t="shared" si="18"/>
        <v>2</v>
      </c>
      <c r="T289" s="552">
        <f t="shared" si="18"/>
        <v>2</v>
      </c>
      <c r="U289" s="552">
        <f t="shared" si="18"/>
        <v>2</v>
      </c>
      <c r="V289" s="552">
        <f t="shared" si="18"/>
        <v>2</v>
      </c>
      <c r="W289" s="552">
        <f t="shared" si="18"/>
        <v>2</v>
      </c>
      <c r="X289" s="552">
        <f t="shared" si="18"/>
        <v>2</v>
      </c>
      <c r="Y289" s="552">
        <f t="shared" si="18"/>
        <v>2</v>
      </c>
      <c r="Z289" s="552">
        <f t="shared" si="18"/>
        <v>1</v>
      </c>
      <c r="AA289" s="552">
        <f t="shared" si="18"/>
        <v>0</v>
      </c>
      <c r="AB289" s="552">
        <f t="shared" si="18"/>
        <v>2</v>
      </c>
      <c r="AC289" s="552">
        <f t="shared" si="18"/>
        <v>2</v>
      </c>
      <c r="AD289" s="552">
        <f t="shared" si="18"/>
        <v>2</v>
      </c>
      <c r="AE289" s="552">
        <f t="shared" si="18"/>
        <v>1</v>
      </c>
      <c r="AF289" s="552">
        <f t="shared" si="18"/>
        <v>1</v>
      </c>
      <c r="AG289" s="552">
        <f t="shared" si="18"/>
        <v>2</v>
      </c>
      <c r="AH289" s="552">
        <f t="shared" si="18"/>
        <v>2</v>
      </c>
      <c r="AI289" s="552">
        <f t="shared" si="18"/>
        <v>1</v>
      </c>
      <c r="AJ289" s="552">
        <f t="shared" si="18"/>
        <v>2</v>
      </c>
      <c r="AK289" s="552">
        <f t="shared" si="18"/>
        <v>2</v>
      </c>
      <c r="AL289" s="552">
        <f t="shared" si="18"/>
        <v>1</v>
      </c>
      <c r="AM289" s="552">
        <f t="shared" si="18"/>
        <v>2</v>
      </c>
      <c r="AN289" s="552">
        <f t="shared" si="18"/>
        <v>2</v>
      </c>
      <c r="AO289" s="552">
        <f t="shared" si="18"/>
        <v>0</v>
      </c>
      <c r="AP289" s="552">
        <f t="shared" si="18"/>
        <v>2</v>
      </c>
      <c r="AQ289" s="552">
        <f t="shared" si="18"/>
        <v>2</v>
      </c>
      <c r="AR289" s="552">
        <f t="shared" si="18"/>
        <v>2</v>
      </c>
      <c r="AS289" s="552">
        <f t="shared" si="18"/>
        <v>0</v>
      </c>
      <c r="AT289" s="552">
        <f t="shared" si="18"/>
        <v>2</v>
      </c>
      <c r="AU289" s="552">
        <f t="shared" si="18"/>
        <v>2</v>
      </c>
      <c r="AV289" s="552">
        <f t="shared" si="18"/>
        <v>1</v>
      </c>
      <c r="AW289" s="552">
        <f t="shared" si="18"/>
        <v>0</v>
      </c>
      <c r="AX289" s="552">
        <f t="shared" si="18"/>
        <v>2</v>
      </c>
      <c r="AY289" s="552">
        <f t="shared" si="18"/>
        <v>2</v>
      </c>
      <c r="AZ289" s="552">
        <f t="shared" si="18"/>
        <v>0</v>
      </c>
      <c r="BA289" s="552">
        <f t="shared" si="18"/>
        <v>2</v>
      </c>
      <c r="BB289" s="552">
        <f t="shared" si="18"/>
        <v>2</v>
      </c>
      <c r="BC289" s="552">
        <f t="shared" si="18"/>
        <v>0</v>
      </c>
      <c r="BD289" s="552">
        <f t="shared" si="18"/>
        <v>1</v>
      </c>
      <c r="BE289" s="552">
        <f t="shared" si="18"/>
        <v>2</v>
      </c>
      <c r="BF289" s="552">
        <f t="shared" si="18"/>
        <v>0</v>
      </c>
      <c r="BG289" s="552">
        <f t="shared" si="18"/>
        <v>0</v>
      </c>
      <c r="BH289" s="552">
        <f t="shared" si="18"/>
        <v>2</v>
      </c>
      <c r="BI289" s="552">
        <f t="shared" si="18"/>
        <v>2</v>
      </c>
      <c r="BJ289" s="552">
        <f t="shared" si="18"/>
        <v>1</v>
      </c>
      <c r="BK289" s="552">
        <f t="shared" si="18"/>
        <v>2</v>
      </c>
      <c r="BL289" s="552">
        <f t="shared" si="18"/>
        <v>2</v>
      </c>
      <c r="BM289" s="552">
        <f t="shared" si="18"/>
        <v>2</v>
      </c>
      <c r="BN289" s="552">
        <f t="shared" ref="BN289:BR289" si="19">BN241</f>
        <v>2</v>
      </c>
      <c r="BO289" s="552">
        <f t="shared" si="19"/>
        <v>2</v>
      </c>
      <c r="BP289" s="552">
        <f t="shared" si="19"/>
        <v>2</v>
      </c>
      <c r="BQ289" s="552">
        <f t="shared" si="19"/>
        <v>2</v>
      </c>
      <c r="BR289" s="552">
        <f t="shared" si="19"/>
        <v>2</v>
      </c>
      <c r="BS289" s="552">
        <f t="shared" ref="BS289:CA289" si="20">BS241</f>
        <v>2</v>
      </c>
      <c r="BT289" s="552">
        <f t="shared" si="20"/>
        <v>2</v>
      </c>
      <c r="BU289" s="552">
        <f t="shared" si="20"/>
        <v>1</v>
      </c>
      <c r="BV289" s="552">
        <f t="shared" si="20"/>
        <v>0</v>
      </c>
      <c r="BW289" s="552">
        <f t="shared" si="20"/>
        <v>2</v>
      </c>
      <c r="BX289" s="552">
        <f t="shared" si="20"/>
        <v>2</v>
      </c>
      <c r="BY289" s="552">
        <f t="shared" si="20"/>
        <v>1</v>
      </c>
      <c r="BZ289" s="552">
        <f t="shared" si="20"/>
        <v>2</v>
      </c>
      <c r="CA289" s="552">
        <f t="shared" si="20"/>
        <v>1</v>
      </c>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row>
    <row r="290" spans="1:104" x14ac:dyDescent="0.3">
      <c r="A290" s="552">
        <f>A242</f>
        <v>1058</v>
      </c>
      <c r="B290" s="552" t="str">
        <f t="shared" ref="B290:BM290" si="21">B242</f>
        <v>Did your audit disclose as a finding any statutory violations? (not including budget violations) (Yes or No)</v>
      </c>
      <c r="C290" s="552">
        <f t="shared" si="21"/>
        <v>0</v>
      </c>
      <c r="D290" s="552">
        <f t="shared" si="21"/>
        <v>2</v>
      </c>
      <c r="E290" s="552">
        <f t="shared" si="21"/>
        <v>2</v>
      </c>
      <c r="F290" s="552">
        <f t="shared" si="21"/>
        <v>0</v>
      </c>
      <c r="G290" s="552">
        <f t="shared" si="21"/>
        <v>2</v>
      </c>
      <c r="H290" s="552">
        <f t="shared" si="21"/>
        <v>2</v>
      </c>
      <c r="I290" s="552">
        <f t="shared" si="21"/>
        <v>2</v>
      </c>
      <c r="J290" s="552">
        <f t="shared" si="21"/>
        <v>2</v>
      </c>
      <c r="K290" s="552">
        <f t="shared" si="21"/>
        <v>2</v>
      </c>
      <c r="L290" s="552">
        <f t="shared" si="21"/>
        <v>1</v>
      </c>
      <c r="M290" s="552">
        <f t="shared" si="21"/>
        <v>0</v>
      </c>
      <c r="N290" s="552">
        <f t="shared" si="21"/>
        <v>2</v>
      </c>
      <c r="O290" s="552">
        <f t="shared" si="21"/>
        <v>0</v>
      </c>
      <c r="P290" s="552">
        <f t="shared" si="21"/>
        <v>2</v>
      </c>
      <c r="Q290" s="552">
        <f t="shared" si="21"/>
        <v>2</v>
      </c>
      <c r="R290" s="552">
        <f t="shared" si="21"/>
        <v>2</v>
      </c>
      <c r="S290" s="552">
        <f t="shared" si="21"/>
        <v>2</v>
      </c>
      <c r="T290" s="552">
        <f t="shared" si="21"/>
        <v>2</v>
      </c>
      <c r="U290" s="552">
        <f t="shared" si="21"/>
        <v>2</v>
      </c>
      <c r="V290" s="552">
        <f t="shared" si="21"/>
        <v>2</v>
      </c>
      <c r="W290" s="552">
        <f t="shared" si="21"/>
        <v>2</v>
      </c>
      <c r="X290" s="552">
        <f t="shared" si="21"/>
        <v>2</v>
      </c>
      <c r="Y290" s="552">
        <f t="shared" si="21"/>
        <v>2</v>
      </c>
      <c r="Z290" s="552">
        <f t="shared" si="21"/>
        <v>1</v>
      </c>
      <c r="AA290" s="552">
        <f t="shared" si="21"/>
        <v>0</v>
      </c>
      <c r="AB290" s="552">
        <f t="shared" si="21"/>
        <v>2</v>
      </c>
      <c r="AC290" s="552">
        <f t="shared" si="21"/>
        <v>1</v>
      </c>
      <c r="AD290" s="552">
        <f t="shared" si="21"/>
        <v>1</v>
      </c>
      <c r="AE290" s="552">
        <f t="shared" si="21"/>
        <v>1</v>
      </c>
      <c r="AF290" s="552">
        <f t="shared" si="21"/>
        <v>2</v>
      </c>
      <c r="AG290" s="552">
        <f t="shared" si="21"/>
        <v>2</v>
      </c>
      <c r="AH290" s="552">
        <f t="shared" si="21"/>
        <v>2</v>
      </c>
      <c r="AI290" s="552">
        <f t="shared" si="21"/>
        <v>2</v>
      </c>
      <c r="AJ290" s="552">
        <f t="shared" si="21"/>
        <v>1</v>
      </c>
      <c r="AK290" s="552">
        <f t="shared" si="21"/>
        <v>2</v>
      </c>
      <c r="AL290" s="552">
        <f t="shared" si="21"/>
        <v>2</v>
      </c>
      <c r="AM290" s="552">
        <f t="shared" si="21"/>
        <v>2</v>
      </c>
      <c r="AN290" s="552">
        <f t="shared" si="21"/>
        <v>2</v>
      </c>
      <c r="AO290" s="552">
        <f t="shared" si="21"/>
        <v>0</v>
      </c>
      <c r="AP290" s="552">
        <f t="shared" si="21"/>
        <v>2</v>
      </c>
      <c r="AQ290" s="552">
        <f t="shared" si="21"/>
        <v>2</v>
      </c>
      <c r="AR290" s="552">
        <f t="shared" si="21"/>
        <v>2</v>
      </c>
      <c r="AS290" s="552">
        <f t="shared" si="21"/>
        <v>0</v>
      </c>
      <c r="AT290" s="552">
        <f t="shared" si="21"/>
        <v>2</v>
      </c>
      <c r="AU290" s="552">
        <f t="shared" si="21"/>
        <v>2</v>
      </c>
      <c r="AV290" s="552">
        <f t="shared" si="21"/>
        <v>1</v>
      </c>
      <c r="AW290" s="552">
        <f t="shared" si="21"/>
        <v>0</v>
      </c>
      <c r="AX290" s="552">
        <f t="shared" si="21"/>
        <v>2</v>
      </c>
      <c r="AY290" s="552">
        <f t="shared" si="21"/>
        <v>2</v>
      </c>
      <c r="AZ290" s="552">
        <f t="shared" si="21"/>
        <v>0</v>
      </c>
      <c r="BA290" s="552">
        <f t="shared" si="21"/>
        <v>1</v>
      </c>
      <c r="BB290" s="552">
        <f t="shared" si="21"/>
        <v>2</v>
      </c>
      <c r="BC290" s="552">
        <f t="shared" si="21"/>
        <v>0</v>
      </c>
      <c r="BD290" s="552">
        <f t="shared" si="21"/>
        <v>2</v>
      </c>
      <c r="BE290" s="552">
        <f t="shared" si="21"/>
        <v>2</v>
      </c>
      <c r="BF290" s="552">
        <f t="shared" si="21"/>
        <v>0</v>
      </c>
      <c r="BG290" s="552">
        <f t="shared" si="21"/>
        <v>0</v>
      </c>
      <c r="BH290" s="552">
        <f t="shared" si="21"/>
        <v>2</v>
      </c>
      <c r="BI290" s="552">
        <f t="shared" si="21"/>
        <v>1</v>
      </c>
      <c r="BJ290" s="552">
        <f t="shared" si="21"/>
        <v>2</v>
      </c>
      <c r="BK290" s="552">
        <f t="shared" si="21"/>
        <v>2</v>
      </c>
      <c r="BL290" s="552">
        <f t="shared" si="21"/>
        <v>2</v>
      </c>
      <c r="BM290" s="552">
        <f t="shared" si="21"/>
        <v>2</v>
      </c>
      <c r="BN290" s="552">
        <f t="shared" ref="BN290:BR290" si="22">BN242</f>
        <v>2</v>
      </c>
      <c r="BO290" s="552">
        <f t="shared" si="22"/>
        <v>2</v>
      </c>
      <c r="BP290" s="552">
        <f t="shared" si="22"/>
        <v>2</v>
      </c>
      <c r="BQ290" s="552">
        <f t="shared" si="22"/>
        <v>2</v>
      </c>
      <c r="BR290" s="552">
        <f t="shared" si="22"/>
        <v>2</v>
      </c>
      <c r="BS290" s="552">
        <f t="shared" ref="BS290:CA290" si="23">BS242</f>
        <v>2</v>
      </c>
      <c r="BT290" s="552">
        <f t="shared" si="23"/>
        <v>2</v>
      </c>
      <c r="BU290" s="552">
        <f t="shared" si="23"/>
        <v>2</v>
      </c>
      <c r="BV290" s="552">
        <f t="shared" si="23"/>
        <v>0</v>
      </c>
      <c r="BW290" s="552">
        <f t="shared" si="23"/>
        <v>2</v>
      </c>
      <c r="BX290" s="552">
        <f t="shared" si="23"/>
        <v>2</v>
      </c>
      <c r="BY290" s="552">
        <f t="shared" si="23"/>
        <v>1</v>
      </c>
      <c r="BZ290" s="552">
        <f t="shared" si="23"/>
        <v>2</v>
      </c>
      <c r="CA290" s="552">
        <f t="shared" si="23"/>
        <v>2</v>
      </c>
      <c r="CB290" s="180"/>
      <c r="CC290" s="180"/>
      <c r="CD290" s="180"/>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row>
    <row r="291" spans="1:104" x14ac:dyDescent="0.3">
      <c r="A291" s="552">
        <f>A243</f>
        <v>1059</v>
      </c>
      <c r="B291" s="552" t="str">
        <f t="shared" ref="B291:BM291" si="24">B243</f>
        <v>Did the unit have a board-appointed finance officer the entire fiscal year? (Yes or No)?</v>
      </c>
      <c r="C291" s="552">
        <f t="shared" si="24"/>
        <v>0</v>
      </c>
      <c r="D291" s="552">
        <f t="shared" si="24"/>
        <v>1</v>
      </c>
      <c r="E291" s="552">
        <f t="shared" si="24"/>
        <v>1</v>
      </c>
      <c r="F291" s="552">
        <f t="shared" si="24"/>
        <v>0</v>
      </c>
      <c r="G291" s="552">
        <f t="shared" si="24"/>
        <v>1</v>
      </c>
      <c r="H291" s="552">
        <f t="shared" si="24"/>
        <v>1</v>
      </c>
      <c r="I291" s="552">
        <f t="shared" si="24"/>
        <v>1</v>
      </c>
      <c r="J291" s="552">
        <f t="shared" si="24"/>
        <v>1</v>
      </c>
      <c r="K291" s="552">
        <f t="shared" si="24"/>
        <v>1</v>
      </c>
      <c r="L291" s="552">
        <f t="shared" si="24"/>
        <v>1</v>
      </c>
      <c r="M291" s="552">
        <f t="shared" si="24"/>
        <v>0</v>
      </c>
      <c r="N291" s="552">
        <f t="shared" si="24"/>
        <v>1</v>
      </c>
      <c r="O291" s="552">
        <f t="shared" si="24"/>
        <v>0</v>
      </c>
      <c r="P291" s="552">
        <f t="shared" si="24"/>
        <v>1</v>
      </c>
      <c r="Q291" s="552">
        <f t="shared" si="24"/>
        <v>1</v>
      </c>
      <c r="R291" s="552">
        <f t="shared" si="24"/>
        <v>1</v>
      </c>
      <c r="S291" s="552">
        <f t="shared" si="24"/>
        <v>1</v>
      </c>
      <c r="T291" s="552">
        <f t="shared" si="24"/>
        <v>1</v>
      </c>
      <c r="U291" s="552">
        <f t="shared" si="24"/>
        <v>1</v>
      </c>
      <c r="V291" s="552">
        <f t="shared" si="24"/>
        <v>1</v>
      </c>
      <c r="W291" s="552">
        <f t="shared" si="24"/>
        <v>1</v>
      </c>
      <c r="X291" s="552">
        <f t="shared" si="24"/>
        <v>1</v>
      </c>
      <c r="Y291" s="552">
        <f t="shared" si="24"/>
        <v>1</v>
      </c>
      <c r="Z291" s="552">
        <f t="shared" si="24"/>
        <v>1</v>
      </c>
      <c r="AA291" s="552">
        <f t="shared" si="24"/>
        <v>0</v>
      </c>
      <c r="AB291" s="552">
        <f t="shared" si="24"/>
        <v>1</v>
      </c>
      <c r="AC291" s="552">
        <f t="shared" si="24"/>
        <v>1</v>
      </c>
      <c r="AD291" s="552">
        <f t="shared" si="24"/>
        <v>1</v>
      </c>
      <c r="AE291" s="552">
        <f t="shared" si="24"/>
        <v>1</v>
      </c>
      <c r="AF291" s="552">
        <f t="shared" si="24"/>
        <v>1</v>
      </c>
      <c r="AG291" s="552">
        <f t="shared" si="24"/>
        <v>1</v>
      </c>
      <c r="AH291" s="552">
        <f t="shared" si="24"/>
        <v>1</v>
      </c>
      <c r="AI291" s="552">
        <f t="shared" si="24"/>
        <v>1</v>
      </c>
      <c r="AJ291" s="552">
        <f t="shared" si="24"/>
        <v>1</v>
      </c>
      <c r="AK291" s="552">
        <f t="shared" si="24"/>
        <v>1</v>
      </c>
      <c r="AL291" s="552">
        <f t="shared" si="24"/>
        <v>1</v>
      </c>
      <c r="AM291" s="552">
        <f t="shared" si="24"/>
        <v>1</v>
      </c>
      <c r="AN291" s="552">
        <f t="shared" si="24"/>
        <v>1</v>
      </c>
      <c r="AO291" s="552">
        <f t="shared" si="24"/>
        <v>0</v>
      </c>
      <c r="AP291" s="552">
        <f t="shared" si="24"/>
        <v>1</v>
      </c>
      <c r="AQ291" s="552">
        <f t="shared" si="24"/>
        <v>1</v>
      </c>
      <c r="AR291" s="552">
        <f t="shared" si="24"/>
        <v>1</v>
      </c>
      <c r="AS291" s="552">
        <f t="shared" si="24"/>
        <v>0</v>
      </c>
      <c r="AT291" s="552">
        <f t="shared" si="24"/>
        <v>1</v>
      </c>
      <c r="AU291" s="552">
        <f t="shared" si="24"/>
        <v>1</v>
      </c>
      <c r="AV291" s="552">
        <f t="shared" si="24"/>
        <v>1</v>
      </c>
      <c r="AW291" s="552">
        <f t="shared" si="24"/>
        <v>0</v>
      </c>
      <c r="AX291" s="552">
        <f t="shared" si="24"/>
        <v>1</v>
      </c>
      <c r="AY291" s="552">
        <f t="shared" si="24"/>
        <v>1</v>
      </c>
      <c r="AZ291" s="552">
        <f t="shared" si="24"/>
        <v>0</v>
      </c>
      <c r="BA291" s="552">
        <f t="shared" si="24"/>
        <v>1</v>
      </c>
      <c r="BB291" s="552">
        <f t="shared" si="24"/>
        <v>1</v>
      </c>
      <c r="BC291" s="552">
        <f t="shared" si="24"/>
        <v>0</v>
      </c>
      <c r="BD291" s="552">
        <f t="shared" si="24"/>
        <v>1</v>
      </c>
      <c r="BE291" s="552">
        <f t="shared" si="24"/>
        <v>1</v>
      </c>
      <c r="BF291" s="552">
        <f t="shared" si="24"/>
        <v>0</v>
      </c>
      <c r="BG291" s="552">
        <f t="shared" si="24"/>
        <v>0</v>
      </c>
      <c r="BH291" s="552">
        <f t="shared" si="24"/>
        <v>1</v>
      </c>
      <c r="BI291" s="552">
        <f t="shared" si="24"/>
        <v>1</v>
      </c>
      <c r="BJ291" s="552">
        <f t="shared" si="24"/>
        <v>1</v>
      </c>
      <c r="BK291" s="552">
        <f t="shared" si="24"/>
        <v>1</v>
      </c>
      <c r="BL291" s="552">
        <f t="shared" si="24"/>
        <v>1</v>
      </c>
      <c r="BM291" s="552">
        <f t="shared" si="24"/>
        <v>1</v>
      </c>
      <c r="BN291" s="552">
        <f t="shared" ref="BN291:BR291" si="25">BN243</f>
        <v>1</v>
      </c>
      <c r="BO291" s="552">
        <f t="shared" si="25"/>
        <v>1</v>
      </c>
      <c r="BP291" s="552">
        <f t="shared" si="25"/>
        <v>1</v>
      </c>
      <c r="BQ291" s="552">
        <f t="shared" si="25"/>
        <v>1</v>
      </c>
      <c r="BR291" s="552">
        <f t="shared" si="25"/>
        <v>1</v>
      </c>
      <c r="BS291" s="552">
        <f t="shared" ref="BS291:CA291" si="26">BS243</f>
        <v>1</v>
      </c>
      <c r="BT291" s="552">
        <f t="shared" si="26"/>
        <v>1</v>
      </c>
      <c r="BU291" s="552">
        <f t="shared" si="26"/>
        <v>1</v>
      </c>
      <c r="BV291" s="552">
        <f t="shared" si="26"/>
        <v>0</v>
      </c>
      <c r="BW291" s="552">
        <f t="shared" si="26"/>
        <v>1</v>
      </c>
      <c r="BX291" s="552">
        <f t="shared" si="26"/>
        <v>1</v>
      </c>
      <c r="BY291" s="552">
        <f t="shared" si="26"/>
        <v>1</v>
      </c>
      <c r="BZ291" s="552">
        <f t="shared" si="26"/>
        <v>1</v>
      </c>
      <c r="CA291" s="552">
        <f t="shared" si="26"/>
        <v>1</v>
      </c>
      <c r="CB291" s="180"/>
      <c r="CC291" s="180"/>
      <c r="CD291" s="180"/>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row>
    <row r="292" spans="1:104" x14ac:dyDescent="0.3">
      <c r="A292" s="552">
        <f>A257</f>
        <v>1078</v>
      </c>
      <c r="B292" s="552" t="str">
        <f t="shared" ref="B292:BM292" si="27">B257</f>
        <v>If the answer to 1059 is "No" then was the unit without a board-appointed interim or permanent finance officer for more than 2 weeks at any time in the fiscal year? (Note:  Please include a noncompliance finding related to GS 159-24, GS 159-25(a)(2) or GS</v>
      </c>
      <c r="C292" s="552">
        <f t="shared" si="27"/>
        <v>0</v>
      </c>
      <c r="D292" s="552">
        <f t="shared" si="27"/>
        <v>3</v>
      </c>
      <c r="E292" s="552">
        <f t="shared" si="27"/>
        <v>3</v>
      </c>
      <c r="F292" s="552">
        <f t="shared" si="27"/>
        <v>0</v>
      </c>
      <c r="G292" s="552">
        <f t="shared" si="27"/>
        <v>3</v>
      </c>
      <c r="H292" s="552">
        <f t="shared" si="27"/>
        <v>3</v>
      </c>
      <c r="I292" s="552">
        <f t="shared" si="27"/>
        <v>3</v>
      </c>
      <c r="J292" s="552">
        <f t="shared" si="27"/>
        <v>2</v>
      </c>
      <c r="K292" s="552">
        <f t="shared" si="27"/>
        <v>3</v>
      </c>
      <c r="L292" s="552">
        <f t="shared" si="27"/>
        <v>3</v>
      </c>
      <c r="M292" s="552">
        <f t="shared" si="27"/>
        <v>0</v>
      </c>
      <c r="N292" s="552">
        <f t="shared" si="27"/>
        <v>3</v>
      </c>
      <c r="O292" s="552">
        <f t="shared" si="27"/>
        <v>0</v>
      </c>
      <c r="P292" s="552">
        <f t="shared" si="27"/>
        <v>3</v>
      </c>
      <c r="Q292" s="552">
        <f t="shared" si="27"/>
        <v>3</v>
      </c>
      <c r="R292" s="552">
        <f t="shared" si="27"/>
        <v>3</v>
      </c>
      <c r="S292" s="552">
        <f t="shared" si="27"/>
        <v>3</v>
      </c>
      <c r="T292" s="552">
        <f t="shared" si="27"/>
        <v>3</v>
      </c>
      <c r="U292" s="552">
        <f t="shared" si="27"/>
        <v>3</v>
      </c>
      <c r="V292" s="552">
        <f t="shared" si="27"/>
        <v>3</v>
      </c>
      <c r="W292" s="552">
        <f t="shared" si="27"/>
        <v>3</v>
      </c>
      <c r="X292" s="552">
        <f t="shared" si="27"/>
        <v>3</v>
      </c>
      <c r="Y292" s="552">
        <f t="shared" si="27"/>
        <v>3</v>
      </c>
      <c r="Z292" s="552">
        <f t="shared" si="27"/>
        <v>3</v>
      </c>
      <c r="AA292" s="552">
        <f t="shared" si="27"/>
        <v>0</v>
      </c>
      <c r="AB292" s="552">
        <f t="shared" si="27"/>
        <v>3</v>
      </c>
      <c r="AC292" s="552">
        <f t="shared" si="27"/>
        <v>3</v>
      </c>
      <c r="AD292" s="552">
        <f t="shared" si="27"/>
        <v>3</v>
      </c>
      <c r="AE292" s="552">
        <f t="shared" si="27"/>
        <v>3</v>
      </c>
      <c r="AF292" s="552">
        <f t="shared" si="27"/>
        <v>3</v>
      </c>
      <c r="AG292" s="552">
        <f t="shared" si="27"/>
        <v>3</v>
      </c>
      <c r="AH292" s="552">
        <f t="shared" si="27"/>
        <v>3</v>
      </c>
      <c r="AI292" s="552">
        <f t="shared" si="27"/>
        <v>3</v>
      </c>
      <c r="AJ292" s="552">
        <f t="shared" si="27"/>
        <v>3</v>
      </c>
      <c r="AK292" s="552">
        <f t="shared" si="27"/>
        <v>3</v>
      </c>
      <c r="AL292" s="552">
        <f t="shared" si="27"/>
        <v>3</v>
      </c>
      <c r="AM292" s="552">
        <f t="shared" si="27"/>
        <v>3</v>
      </c>
      <c r="AN292" s="552">
        <f t="shared" si="27"/>
        <v>3</v>
      </c>
      <c r="AO292" s="552">
        <f t="shared" si="27"/>
        <v>0</v>
      </c>
      <c r="AP292" s="552">
        <f t="shared" si="27"/>
        <v>3</v>
      </c>
      <c r="AQ292" s="552">
        <f t="shared" si="27"/>
        <v>3</v>
      </c>
      <c r="AR292" s="552">
        <f t="shared" si="27"/>
        <v>3</v>
      </c>
      <c r="AS292" s="552">
        <f t="shared" si="27"/>
        <v>0</v>
      </c>
      <c r="AT292" s="552">
        <f t="shared" si="27"/>
        <v>3</v>
      </c>
      <c r="AU292" s="552">
        <f t="shared" si="27"/>
        <v>3</v>
      </c>
      <c r="AV292" s="552">
        <f t="shared" si="27"/>
        <v>3</v>
      </c>
      <c r="AW292" s="552">
        <f t="shared" si="27"/>
        <v>0</v>
      </c>
      <c r="AX292" s="552">
        <f t="shared" si="27"/>
        <v>3</v>
      </c>
      <c r="AY292" s="552">
        <f t="shared" si="27"/>
        <v>3</v>
      </c>
      <c r="AZ292" s="552">
        <f t="shared" si="27"/>
        <v>0</v>
      </c>
      <c r="BA292" s="552">
        <f t="shared" si="27"/>
        <v>3</v>
      </c>
      <c r="BB292" s="552">
        <f t="shared" si="27"/>
        <v>3</v>
      </c>
      <c r="BC292" s="552">
        <f t="shared" si="27"/>
        <v>0</v>
      </c>
      <c r="BD292" s="552">
        <f t="shared" si="27"/>
        <v>3</v>
      </c>
      <c r="BE292" s="552">
        <f t="shared" si="27"/>
        <v>3</v>
      </c>
      <c r="BF292" s="552">
        <f t="shared" si="27"/>
        <v>0</v>
      </c>
      <c r="BG292" s="552">
        <f t="shared" si="27"/>
        <v>0</v>
      </c>
      <c r="BH292" s="552">
        <f t="shared" si="27"/>
        <v>3</v>
      </c>
      <c r="BI292" s="552">
        <f t="shared" si="27"/>
        <v>3</v>
      </c>
      <c r="BJ292" s="552">
        <f t="shared" si="27"/>
        <v>3</v>
      </c>
      <c r="BK292" s="552">
        <f t="shared" si="27"/>
        <v>3</v>
      </c>
      <c r="BL292" s="552">
        <f t="shared" si="27"/>
        <v>3</v>
      </c>
      <c r="BM292" s="552">
        <f t="shared" si="27"/>
        <v>3</v>
      </c>
      <c r="BN292" s="552">
        <f t="shared" ref="BN292:BR292" si="28">BN257</f>
        <v>3</v>
      </c>
      <c r="BO292" s="552">
        <f t="shared" si="28"/>
        <v>3</v>
      </c>
      <c r="BP292" s="552">
        <f t="shared" si="28"/>
        <v>3</v>
      </c>
      <c r="BQ292" s="552">
        <f t="shared" si="28"/>
        <v>3</v>
      </c>
      <c r="BR292" s="552">
        <f t="shared" si="28"/>
        <v>3</v>
      </c>
      <c r="BS292" s="552">
        <f t="shared" ref="BS292:CA292" si="29">BS257</f>
        <v>3</v>
      </c>
      <c r="BT292" s="552">
        <f t="shared" si="29"/>
        <v>3</v>
      </c>
      <c r="BU292" s="552">
        <f t="shared" si="29"/>
        <v>3</v>
      </c>
      <c r="BV292" s="552">
        <f t="shared" si="29"/>
        <v>0</v>
      </c>
      <c r="BW292" s="552">
        <f t="shared" si="29"/>
        <v>3</v>
      </c>
      <c r="BX292" s="552">
        <f t="shared" si="29"/>
        <v>3</v>
      </c>
      <c r="BY292" s="552">
        <f t="shared" si="29"/>
        <v>3</v>
      </c>
      <c r="BZ292" s="552">
        <f t="shared" si="29"/>
        <v>3</v>
      </c>
      <c r="CA292" s="552">
        <f t="shared" si="29"/>
        <v>3</v>
      </c>
      <c r="CB292" s="180"/>
      <c r="CC292" s="180"/>
      <c r="CD292" s="180"/>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row>
    <row r="293" spans="1:104" x14ac:dyDescent="0.3">
      <c r="A293" s="552">
        <f>A249</f>
        <v>1067</v>
      </c>
      <c r="B293" s="552" t="str">
        <f t="shared" ref="B293:BM293" si="30">B249</f>
        <v>Was the finance officer or interim finance officer bonded pursuant to G.S. 159-29 which requires that the finance officer give a true accounting and faithful performance bond in an amount not less than the greater of (1) $50,000 or (2) an amount equal to</v>
      </c>
      <c r="C293" s="552">
        <f t="shared" si="30"/>
        <v>0</v>
      </c>
      <c r="D293" s="552">
        <f t="shared" si="30"/>
        <v>1</v>
      </c>
      <c r="E293" s="552">
        <f t="shared" si="30"/>
        <v>1</v>
      </c>
      <c r="F293" s="552">
        <f t="shared" si="30"/>
        <v>0</v>
      </c>
      <c r="G293" s="552">
        <f t="shared" si="30"/>
        <v>1</v>
      </c>
      <c r="H293" s="552">
        <f t="shared" si="30"/>
        <v>1</v>
      </c>
      <c r="I293" s="552">
        <f t="shared" si="30"/>
        <v>1</v>
      </c>
      <c r="J293" s="552">
        <f t="shared" si="30"/>
        <v>1</v>
      </c>
      <c r="K293" s="552">
        <f t="shared" si="30"/>
        <v>1</v>
      </c>
      <c r="L293" s="552">
        <f t="shared" si="30"/>
        <v>1</v>
      </c>
      <c r="M293" s="552">
        <f t="shared" si="30"/>
        <v>0</v>
      </c>
      <c r="N293" s="552">
        <f t="shared" si="30"/>
        <v>1</v>
      </c>
      <c r="O293" s="552">
        <f t="shared" si="30"/>
        <v>0</v>
      </c>
      <c r="P293" s="552">
        <f t="shared" si="30"/>
        <v>1</v>
      </c>
      <c r="Q293" s="552">
        <f t="shared" si="30"/>
        <v>1</v>
      </c>
      <c r="R293" s="552">
        <f t="shared" si="30"/>
        <v>1</v>
      </c>
      <c r="S293" s="552">
        <f t="shared" si="30"/>
        <v>1</v>
      </c>
      <c r="T293" s="552">
        <f t="shared" si="30"/>
        <v>1</v>
      </c>
      <c r="U293" s="552">
        <f t="shared" si="30"/>
        <v>1</v>
      </c>
      <c r="V293" s="552">
        <f t="shared" si="30"/>
        <v>1</v>
      </c>
      <c r="W293" s="552">
        <f t="shared" si="30"/>
        <v>1</v>
      </c>
      <c r="X293" s="552">
        <f t="shared" si="30"/>
        <v>1</v>
      </c>
      <c r="Y293" s="552">
        <f t="shared" si="30"/>
        <v>1</v>
      </c>
      <c r="Z293" s="552">
        <f t="shared" si="30"/>
        <v>1</v>
      </c>
      <c r="AA293" s="552">
        <f t="shared" si="30"/>
        <v>0</v>
      </c>
      <c r="AB293" s="552">
        <f t="shared" si="30"/>
        <v>1</v>
      </c>
      <c r="AC293" s="552">
        <f t="shared" si="30"/>
        <v>1</v>
      </c>
      <c r="AD293" s="552">
        <f t="shared" si="30"/>
        <v>1</v>
      </c>
      <c r="AE293" s="552">
        <f t="shared" si="30"/>
        <v>1</v>
      </c>
      <c r="AF293" s="552">
        <f t="shared" si="30"/>
        <v>1</v>
      </c>
      <c r="AG293" s="552">
        <f t="shared" si="30"/>
        <v>1</v>
      </c>
      <c r="AH293" s="552">
        <f t="shared" si="30"/>
        <v>1</v>
      </c>
      <c r="AI293" s="552">
        <f t="shared" si="30"/>
        <v>1</v>
      </c>
      <c r="AJ293" s="552">
        <f t="shared" si="30"/>
        <v>1</v>
      </c>
      <c r="AK293" s="552">
        <f t="shared" si="30"/>
        <v>1</v>
      </c>
      <c r="AL293" s="552">
        <f t="shared" si="30"/>
        <v>1</v>
      </c>
      <c r="AM293" s="552">
        <f t="shared" si="30"/>
        <v>1</v>
      </c>
      <c r="AN293" s="552">
        <f t="shared" si="30"/>
        <v>1</v>
      </c>
      <c r="AO293" s="552">
        <f t="shared" si="30"/>
        <v>0</v>
      </c>
      <c r="AP293" s="552">
        <f t="shared" si="30"/>
        <v>1</v>
      </c>
      <c r="AQ293" s="552">
        <f t="shared" si="30"/>
        <v>1</v>
      </c>
      <c r="AR293" s="552">
        <f t="shared" si="30"/>
        <v>1</v>
      </c>
      <c r="AS293" s="552">
        <f t="shared" si="30"/>
        <v>0</v>
      </c>
      <c r="AT293" s="552">
        <f t="shared" si="30"/>
        <v>1</v>
      </c>
      <c r="AU293" s="552">
        <f t="shared" si="30"/>
        <v>1</v>
      </c>
      <c r="AV293" s="552">
        <f t="shared" si="30"/>
        <v>2</v>
      </c>
      <c r="AW293" s="552">
        <f t="shared" si="30"/>
        <v>0</v>
      </c>
      <c r="AX293" s="552">
        <f t="shared" si="30"/>
        <v>1</v>
      </c>
      <c r="AY293" s="552">
        <f t="shared" si="30"/>
        <v>1</v>
      </c>
      <c r="AZ293" s="552">
        <f t="shared" si="30"/>
        <v>0</v>
      </c>
      <c r="BA293" s="552">
        <f t="shared" si="30"/>
        <v>1</v>
      </c>
      <c r="BB293" s="552">
        <f t="shared" si="30"/>
        <v>1</v>
      </c>
      <c r="BC293" s="552">
        <f t="shared" si="30"/>
        <v>0</v>
      </c>
      <c r="BD293" s="552">
        <f t="shared" si="30"/>
        <v>1</v>
      </c>
      <c r="BE293" s="552">
        <f t="shared" si="30"/>
        <v>1</v>
      </c>
      <c r="BF293" s="552">
        <f t="shared" si="30"/>
        <v>0</v>
      </c>
      <c r="BG293" s="552">
        <f t="shared" si="30"/>
        <v>0</v>
      </c>
      <c r="BH293" s="552">
        <f t="shared" si="30"/>
        <v>1</v>
      </c>
      <c r="BI293" s="552">
        <f t="shared" si="30"/>
        <v>1</v>
      </c>
      <c r="BJ293" s="552">
        <f t="shared" si="30"/>
        <v>1</v>
      </c>
      <c r="BK293" s="552">
        <f t="shared" si="30"/>
        <v>1</v>
      </c>
      <c r="BL293" s="552">
        <f t="shared" si="30"/>
        <v>1</v>
      </c>
      <c r="BM293" s="552">
        <f t="shared" si="30"/>
        <v>1</v>
      </c>
      <c r="BN293" s="552">
        <f t="shared" ref="BN293:BR293" si="31">BN249</f>
        <v>1</v>
      </c>
      <c r="BO293" s="552">
        <f t="shared" si="31"/>
        <v>1</v>
      </c>
      <c r="BP293" s="552">
        <f t="shared" si="31"/>
        <v>1</v>
      </c>
      <c r="BQ293" s="552">
        <f t="shared" si="31"/>
        <v>1</v>
      </c>
      <c r="BR293" s="552">
        <f t="shared" si="31"/>
        <v>1</v>
      </c>
      <c r="BS293" s="552">
        <f t="shared" ref="BS293:CA293" si="32">BS249</f>
        <v>1</v>
      </c>
      <c r="BT293" s="552">
        <f t="shared" si="32"/>
        <v>1</v>
      </c>
      <c r="BU293" s="552">
        <f t="shared" si="32"/>
        <v>1</v>
      </c>
      <c r="BV293" s="552">
        <f t="shared" si="32"/>
        <v>0</v>
      </c>
      <c r="BW293" s="552">
        <f t="shared" si="32"/>
        <v>1</v>
      </c>
      <c r="BX293" s="552">
        <f t="shared" si="32"/>
        <v>1</v>
      </c>
      <c r="BY293" s="552">
        <f t="shared" si="32"/>
        <v>1</v>
      </c>
      <c r="BZ293" s="552">
        <f t="shared" si="32"/>
        <v>1</v>
      </c>
      <c r="CA293" s="552">
        <f t="shared" si="32"/>
        <v>1</v>
      </c>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row>
    <row r="294" spans="1:104" x14ac:dyDescent="0.3">
      <c r="A294" s="552">
        <f>A207</f>
        <v>951</v>
      </c>
      <c r="B294" s="552" t="str">
        <f t="shared" ref="B294:BM294" si="33">B207</f>
        <v>TD-Is there a finding for lack of technical skills, knowledge and experience (SKE) at this unit?</v>
      </c>
      <c r="C294" s="552">
        <f t="shared" si="33"/>
        <v>0</v>
      </c>
      <c r="D294" s="552">
        <f t="shared" si="33"/>
        <v>2</v>
      </c>
      <c r="E294" s="552">
        <f t="shared" si="33"/>
        <v>2</v>
      </c>
      <c r="F294" s="552">
        <f t="shared" si="33"/>
        <v>0</v>
      </c>
      <c r="G294" s="552">
        <f t="shared" si="33"/>
        <v>2</v>
      </c>
      <c r="H294" s="552">
        <f t="shared" si="33"/>
        <v>2</v>
      </c>
      <c r="I294" s="552">
        <f t="shared" si="33"/>
        <v>2</v>
      </c>
      <c r="J294" s="552">
        <f t="shared" si="33"/>
        <v>2</v>
      </c>
      <c r="K294" s="552">
        <f t="shared" si="33"/>
        <v>2</v>
      </c>
      <c r="L294" s="552">
        <f t="shared" si="33"/>
        <v>2</v>
      </c>
      <c r="M294" s="552">
        <f t="shared" si="33"/>
        <v>0</v>
      </c>
      <c r="N294" s="552">
        <f t="shared" si="33"/>
        <v>2</v>
      </c>
      <c r="O294" s="552">
        <f t="shared" si="33"/>
        <v>0</v>
      </c>
      <c r="P294" s="552">
        <f t="shared" si="33"/>
        <v>2</v>
      </c>
      <c r="Q294" s="552">
        <f t="shared" si="33"/>
        <v>2</v>
      </c>
      <c r="R294" s="552">
        <f t="shared" si="33"/>
        <v>2</v>
      </c>
      <c r="S294" s="552">
        <f t="shared" si="33"/>
        <v>2</v>
      </c>
      <c r="T294" s="552">
        <f t="shared" si="33"/>
        <v>2</v>
      </c>
      <c r="U294" s="552">
        <f t="shared" si="33"/>
        <v>2</v>
      </c>
      <c r="V294" s="552">
        <f t="shared" si="33"/>
        <v>2</v>
      </c>
      <c r="W294" s="552">
        <f t="shared" si="33"/>
        <v>2</v>
      </c>
      <c r="X294" s="552">
        <f t="shared" si="33"/>
        <v>2</v>
      </c>
      <c r="Y294" s="552">
        <f t="shared" si="33"/>
        <v>2</v>
      </c>
      <c r="Z294" s="552">
        <f t="shared" si="33"/>
        <v>2</v>
      </c>
      <c r="AA294" s="552">
        <f t="shared" si="33"/>
        <v>0</v>
      </c>
      <c r="AB294" s="552">
        <f t="shared" si="33"/>
        <v>2</v>
      </c>
      <c r="AC294" s="552">
        <f t="shared" si="33"/>
        <v>2</v>
      </c>
      <c r="AD294" s="552">
        <f t="shared" si="33"/>
        <v>2</v>
      </c>
      <c r="AE294" s="552">
        <f t="shared" si="33"/>
        <v>2</v>
      </c>
      <c r="AF294" s="552">
        <f t="shared" si="33"/>
        <v>2</v>
      </c>
      <c r="AG294" s="552">
        <f t="shared" si="33"/>
        <v>1</v>
      </c>
      <c r="AH294" s="552">
        <f t="shared" si="33"/>
        <v>1</v>
      </c>
      <c r="AI294" s="552">
        <f t="shared" si="33"/>
        <v>2</v>
      </c>
      <c r="AJ294" s="552">
        <f t="shared" si="33"/>
        <v>2</v>
      </c>
      <c r="AK294" s="552">
        <f t="shared" si="33"/>
        <v>2</v>
      </c>
      <c r="AL294" s="552">
        <f t="shared" si="33"/>
        <v>2</v>
      </c>
      <c r="AM294" s="552">
        <f t="shared" si="33"/>
        <v>2</v>
      </c>
      <c r="AN294" s="552">
        <f t="shared" si="33"/>
        <v>2</v>
      </c>
      <c r="AO294" s="552">
        <f t="shared" si="33"/>
        <v>0</v>
      </c>
      <c r="AP294" s="552">
        <f t="shared" si="33"/>
        <v>2</v>
      </c>
      <c r="AQ294" s="552">
        <f t="shared" si="33"/>
        <v>2</v>
      </c>
      <c r="AR294" s="552">
        <f t="shared" si="33"/>
        <v>2</v>
      </c>
      <c r="AS294" s="552">
        <f t="shared" si="33"/>
        <v>0</v>
      </c>
      <c r="AT294" s="552">
        <f t="shared" si="33"/>
        <v>2</v>
      </c>
      <c r="AU294" s="552">
        <f t="shared" si="33"/>
        <v>2</v>
      </c>
      <c r="AV294" s="552">
        <f t="shared" si="33"/>
        <v>2</v>
      </c>
      <c r="AW294" s="552">
        <f t="shared" si="33"/>
        <v>0</v>
      </c>
      <c r="AX294" s="552">
        <f t="shared" si="33"/>
        <v>2</v>
      </c>
      <c r="AY294" s="552">
        <f t="shared" si="33"/>
        <v>2</v>
      </c>
      <c r="AZ294" s="552">
        <f t="shared" si="33"/>
        <v>0</v>
      </c>
      <c r="BA294" s="552">
        <f t="shared" si="33"/>
        <v>1</v>
      </c>
      <c r="BB294" s="552">
        <f t="shared" si="33"/>
        <v>2</v>
      </c>
      <c r="BC294" s="552">
        <f t="shared" si="33"/>
        <v>0</v>
      </c>
      <c r="BD294" s="552">
        <f t="shared" si="33"/>
        <v>2</v>
      </c>
      <c r="BE294" s="552">
        <f t="shared" si="33"/>
        <v>2</v>
      </c>
      <c r="BF294" s="552">
        <f t="shared" si="33"/>
        <v>0</v>
      </c>
      <c r="BG294" s="552">
        <f t="shared" si="33"/>
        <v>0</v>
      </c>
      <c r="BH294" s="552">
        <f t="shared" si="33"/>
        <v>2</v>
      </c>
      <c r="BI294" s="552">
        <f t="shared" si="33"/>
        <v>2</v>
      </c>
      <c r="BJ294" s="552">
        <f t="shared" si="33"/>
        <v>2</v>
      </c>
      <c r="BK294" s="552">
        <f t="shared" si="33"/>
        <v>2</v>
      </c>
      <c r="BL294" s="552">
        <f t="shared" si="33"/>
        <v>2</v>
      </c>
      <c r="BM294" s="552">
        <f t="shared" si="33"/>
        <v>2</v>
      </c>
      <c r="BN294" s="552">
        <f t="shared" ref="BN294:BR294" si="34">BN207</f>
        <v>2</v>
      </c>
      <c r="BO294" s="552">
        <f t="shared" si="34"/>
        <v>2</v>
      </c>
      <c r="BP294" s="552">
        <f t="shared" si="34"/>
        <v>2</v>
      </c>
      <c r="BQ294" s="552">
        <f t="shared" si="34"/>
        <v>2</v>
      </c>
      <c r="BR294" s="552">
        <f t="shared" si="34"/>
        <v>2</v>
      </c>
      <c r="BS294" s="552">
        <f t="shared" ref="BS294:CA294" si="35">BS207</f>
        <v>2</v>
      </c>
      <c r="BT294" s="552">
        <f t="shared" si="35"/>
        <v>2</v>
      </c>
      <c r="BU294" s="552">
        <f t="shared" si="35"/>
        <v>2</v>
      </c>
      <c r="BV294" s="552">
        <f t="shared" si="35"/>
        <v>0</v>
      </c>
      <c r="BW294" s="552">
        <f t="shared" si="35"/>
        <v>2</v>
      </c>
      <c r="BX294" s="552">
        <f t="shared" si="35"/>
        <v>2</v>
      </c>
      <c r="BY294" s="552">
        <f t="shared" si="35"/>
        <v>1</v>
      </c>
      <c r="BZ294" s="552">
        <f t="shared" si="35"/>
        <v>2</v>
      </c>
      <c r="CA294" s="552">
        <f t="shared" si="35"/>
        <v>2</v>
      </c>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row>
    <row r="295" spans="1:104" x14ac:dyDescent="0.3">
      <c r="A295" s="552">
        <f>A209</f>
        <v>953</v>
      </c>
      <c r="B295" s="552" t="str">
        <f t="shared" ref="B295:BM295" si="36">B209</f>
        <v>TD-Is there is a going concern finding noted in the audit report?</v>
      </c>
      <c r="C295" s="552">
        <f t="shared" si="36"/>
        <v>0</v>
      </c>
      <c r="D295" s="552">
        <f t="shared" si="36"/>
        <v>2</v>
      </c>
      <c r="E295" s="552">
        <f t="shared" si="36"/>
        <v>2</v>
      </c>
      <c r="F295" s="552">
        <f t="shared" si="36"/>
        <v>0</v>
      </c>
      <c r="G295" s="552">
        <f t="shared" si="36"/>
        <v>2</v>
      </c>
      <c r="H295" s="552">
        <f t="shared" si="36"/>
        <v>2</v>
      </c>
      <c r="I295" s="552">
        <f t="shared" si="36"/>
        <v>2</v>
      </c>
      <c r="J295" s="552">
        <f t="shared" si="36"/>
        <v>2</v>
      </c>
      <c r="K295" s="552">
        <f t="shared" si="36"/>
        <v>2</v>
      </c>
      <c r="L295" s="552">
        <f t="shared" si="36"/>
        <v>2</v>
      </c>
      <c r="M295" s="552">
        <f t="shared" si="36"/>
        <v>0</v>
      </c>
      <c r="N295" s="552">
        <f t="shared" si="36"/>
        <v>2</v>
      </c>
      <c r="O295" s="552">
        <f t="shared" si="36"/>
        <v>0</v>
      </c>
      <c r="P295" s="552">
        <f t="shared" si="36"/>
        <v>2</v>
      </c>
      <c r="Q295" s="552">
        <f t="shared" si="36"/>
        <v>2</v>
      </c>
      <c r="R295" s="552">
        <f t="shared" si="36"/>
        <v>2</v>
      </c>
      <c r="S295" s="552">
        <f t="shared" si="36"/>
        <v>2</v>
      </c>
      <c r="T295" s="552">
        <f t="shared" si="36"/>
        <v>2</v>
      </c>
      <c r="U295" s="552">
        <f t="shared" si="36"/>
        <v>2</v>
      </c>
      <c r="V295" s="552">
        <f t="shared" si="36"/>
        <v>2</v>
      </c>
      <c r="W295" s="552">
        <f t="shared" si="36"/>
        <v>2</v>
      </c>
      <c r="X295" s="552">
        <f t="shared" si="36"/>
        <v>2</v>
      </c>
      <c r="Y295" s="552">
        <f t="shared" si="36"/>
        <v>2</v>
      </c>
      <c r="Z295" s="552">
        <f t="shared" si="36"/>
        <v>2</v>
      </c>
      <c r="AA295" s="552">
        <f t="shared" si="36"/>
        <v>0</v>
      </c>
      <c r="AB295" s="552">
        <f t="shared" si="36"/>
        <v>2</v>
      </c>
      <c r="AC295" s="552">
        <f t="shared" si="36"/>
        <v>2</v>
      </c>
      <c r="AD295" s="552">
        <f t="shared" si="36"/>
        <v>2</v>
      </c>
      <c r="AE295" s="552">
        <f t="shared" si="36"/>
        <v>2</v>
      </c>
      <c r="AF295" s="552">
        <f t="shared" si="36"/>
        <v>2</v>
      </c>
      <c r="AG295" s="552">
        <f t="shared" si="36"/>
        <v>2</v>
      </c>
      <c r="AH295" s="552">
        <f t="shared" si="36"/>
        <v>2</v>
      </c>
      <c r="AI295" s="552">
        <f t="shared" si="36"/>
        <v>2</v>
      </c>
      <c r="AJ295" s="552">
        <f t="shared" si="36"/>
        <v>2</v>
      </c>
      <c r="AK295" s="552">
        <f t="shared" si="36"/>
        <v>2</v>
      </c>
      <c r="AL295" s="552">
        <f t="shared" si="36"/>
        <v>2</v>
      </c>
      <c r="AM295" s="552">
        <f t="shared" si="36"/>
        <v>2</v>
      </c>
      <c r="AN295" s="552">
        <f t="shared" si="36"/>
        <v>2</v>
      </c>
      <c r="AO295" s="552">
        <f t="shared" si="36"/>
        <v>0</v>
      </c>
      <c r="AP295" s="552">
        <f t="shared" si="36"/>
        <v>2</v>
      </c>
      <c r="AQ295" s="552">
        <f t="shared" si="36"/>
        <v>2</v>
      </c>
      <c r="AR295" s="552">
        <f t="shared" si="36"/>
        <v>2</v>
      </c>
      <c r="AS295" s="552">
        <f t="shared" si="36"/>
        <v>0</v>
      </c>
      <c r="AT295" s="552">
        <f t="shared" si="36"/>
        <v>2</v>
      </c>
      <c r="AU295" s="552">
        <f t="shared" si="36"/>
        <v>2</v>
      </c>
      <c r="AV295" s="552">
        <f t="shared" si="36"/>
        <v>2</v>
      </c>
      <c r="AW295" s="552">
        <f t="shared" si="36"/>
        <v>0</v>
      </c>
      <c r="AX295" s="552">
        <f t="shared" si="36"/>
        <v>2</v>
      </c>
      <c r="AY295" s="552">
        <f t="shared" si="36"/>
        <v>2</v>
      </c>
      <c r="AZ295" s="552">
        <f t="shared" si="36"/>
        <v>0</v>
      </c>
      <c r="BA295" s="552">
        <f t="shared" si="36"/>
        <v>2</v>
      </c>
      <c r="BB295" s="552">
        <f t="shared" si="36"/>
        <v>2</v>
      </c>
      <c r="BC295" s="552">
        <f t="shared" si="36"/>
        <v>0</v>
      </c>
      <c r="BD295" s="552">
        <f t="shared" si="36"/>
        <v>2</v>
      </c>
      <c r="BE295" s="552">
        <f t="shared" si="36"/>
        <v>2</v>
      </c>
      <c r="BF295" s="552">
        <f t="shared" si="36"/>
        <v>0</v>
      </c>
      <c r="BG295" s="552">
        <f t="shared" si="36"/>
        <v>0</v>
      </c>
      <c r="BH295" s="552">
        <f t="shared" si="36"/>
        <v>2</v>
      </c>
      <c r="BI295" s="552">
        <f t="shared" si="36"/>
        <v>2</v>
      </c>
      <c r="BJ295" s="552">
        <f t="shared" si="36"/>
        <v>2</v>
      </c>
      <c r="BK295" s="552">
        <f t="shared" si="36"/>
        <v>2</v>
      </c>
      <c r="BL295" s="552">
        <f t="shared" si="36"/>
        <v>2</v>
      </c>
      <c r="BM295" s="552">
        <f t="shared" si="36"/>
        <v>2</v>
      </c>
      <c r="BN295" s="552">
        <f t="shared" ref="BN295:BR295" si="37">BN209</f>
        <v>2</v>
      </c>
      <c r="BO295" s="552">
        <f t="shared" si="37"/>
        <v>2</v>
      </c>
      <c r="BP295" s="552">
        <f t="shared" si="37"/>
        <v>2</v>
      </c>
      <c r="BQ295" s="552">
        <f t="shared" si="37"/>
        <v>2</v>
      </c>
      <c r="BR295" s="552">
        <f t="shared" si="37"/>
        <v>2</v>
      </c>
      <c r="BS295" s="552">
        <f t="shared" ref="BS295:CA295" si="38">BS209</f>
        <v>2</v>
      </c>
      <c r="BT295" s="552">
        <f t="shared" si="38"/>
        <v>2</v>
      </c>
      <c r="BU295" s="552">
        <f t="shared" si="38"/>
        <v>2</v>
      </c>
      <c r="BV295" s="552">
        <f t="shared" si="38"/>
        <v>0</v>
      </c>
      <c r="BW295" s="552">
        <f t="shared" si="38"/>
        <v>2</v>
      </c>
      <c r="BX295" s="552">
        <f t="shared" si="38"/>
        <v>2</v>
      </c>
      <c r="BY295" s="552">
        <f t="shared" si="38"/>
        <v>2</v>
      </c>
      <c r="BZ295" s="552">
        <f t="shared" si="38"/>
        <v>2</v>
      </c>
      <c r="CA295" s="552">
        <f t="shared" si="38"/>
        <v>2</v>
      </c>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row>
    <row r="296" spans="1:104" x14ac:dyDescent="0.3">
      <c r="A296" s="552">
        <f>A210</f>
        <v>955</v>
      </c>
      <c r="B296" s="552" t="str">
        <f t="shared" ref="B296:BM296" si="39">B210</f>
        <v>TD-Number of significant deficiency findings (other than in Questions 10-13 )</v>
      </c>
      <c r="C296" s="552">
        <f t="shared" si="39"/>
        <v>0</v>
      </c>
      <c r="D296" s="552">
        <f t="shared" si="39"/>
        <v>0</v>
      </c>
      <c r="E296" s="552">
        <f t="shared" si="39"/>
        <v>0</v>
      </c>
      <c r="F296" s="552">
        <f t="shared" si="39"/>
        <v>0</v>
      </c>
      <c r="G296" s="552">
        <f t="shared" si="39"/>
        <v>0</v>
      </c>
      <c r="H296" s="552">
        <f t="shared" si="39"/>
        <v>0</v>
      </c>
      <c r="I296" s="552">
        <f t="shared" si="39"/>
        <v>0</v>
      </c>
      <c r="J296" s="552">
        <f t="shared" si="39"/>
        <v>1</v>
      </c>
      <c r="K296" s="552">
        <f t="shared" si="39"/>
        <v>0</v>
      </c>
      <c r="L296" s="552">
        <f t="shared" si="39"/>
        <v>1</v>
      </c>
      <c r="M296" s="552">
        <f t="shared" si="39"/>
        <v>0</v>
      </c>
      <c r="N296" s="552">
        <f t="shared" si="39"/>
        <v>1</v>
      </c>
      <c r="O296" s="552">
        <f t="shared" si="39"/>
        <v>0</v>
      </c>
      <c r="P296" s="552">
        <f t="shared" si="39"/>
        <v>0</v>
      </c>
      <c r="Q296" s="552">
        <f t="shared" si="39"/>
        <v>0</v>
      </c>
      <c r="R296" s="552">
        <f t="shared" si="39"/>
        <v>0</v>
      </c>
      <c r="S296" s="552">
        <f t="shared" si="39"/>
        <v>0</v>
      </c>
      <c r="T296" s="552">
        <f t="shared" si="39"/>
        <v>0</v>
      </c>
      <c r="U296" s="552">
        <f t="shared" si="39"/>
        <v>0</v>
      </c>
      <c r="V296" s="552">
        <f t="shared" si="39"/>
        <v>0</v>
      </c>
      <c r="W296" s="552">
        <f t="shared" si="39"/>
        <v>0</v>
      </c>
      <c r="X296" s="552">
        <f t="shared" si="39"/>
        <v>0</v>
      </c>
      <c r="Y296" s="552">
        <f t="shared" si="39"/>
        <v>0</v>
      </c>
      <c r="Z296" s="552">
        <f t="shared" si="39"/>
        <v>4</v>
      </c>
      <c r="AA296" s="552">
        <f t="shared" si="39"/>
        <v>0</v>
      </c>
      <c r="AB296" s="552">
        <f t="shared" si="39"/>
        <v>0</v>
      </c>
      <c r="AC296" s="552">
        <f t="shared" si="39"/>
        <v>0</v>
      </c>
      <c r="AD296" s="552">
        <f t="shared" si="39"/>
        <v>1</v>
      </c>
      <c r="AE296" s="552">
        <f t="shared" si="39"/>
        <v>0</v>
      </c>
      <c r="AF296" s="552">
        <f t="shared" si="39"/>
        <v>0</v>
      </c>
      <c r="AG296" s="552">
        <f t="shared" si="39"/>
        <v>1</v>
      </c>
      <c r="AH296" s="552">
        <f t="shared" si="39"/>
        <v>0</v>
      </c>
      <c r="AI296" s="552">
        <f t="shared" si="39"/>
        <v>0</v>
      </c>
      <c r="AJ296" s="552">
        <f t="shared" si="39"/>
        <v>2</v>
      </c>
      <c r="AK296" s="552">
        <f t="shared" si="39"/>
        <v>0</v>
      </c>
      <c r="AL296" s="552">
        <f t="shared" si="39"/>
        <v>0</v>
      </c>
      <c r="AM296" s="552">
        <f t="shared" si="39"/>
        <v>0</v>
      </c>
      <c r="AN296" s="552">
        <f t="shared" si="39"/>
        <v>0</v>
      </c>
      <c r="AO296" s="552">
        <f t="shared" si="39"/>
        <v>0</v>
      </c>
      <c r="AP296" s="552">
        <f t="shared" si="39"/>
        <v>0</v>
      </c>
      <c r="AQ296" s="552">
        <f t="shared" si="39"/>
        <v>0</v>
      </c>
      <c r="AR296" s="552">
        <f t="shared" si="39"/>
        <v>2</v>
      </c>
      <c r="AS296" s="552">
        <f t="shared" si="39"/>
        <v>0</v>
      </c>
      <c r="AT296" s="552">
        <f t="shared" si="39"/>
        <v>1</v>
      </c>
      <c r="AU296" s="552">
        <f t="shared" si="39"/>
        <v>0</v>
      </c>
      <c r="AV296" s="552">
        <f t="shared" si="39"/>
        <v>0</v>
      </c>
      <c r="AW296" s="552">
        <f t="shared" si="39"/>
        <v>0</v>
      </c>
      <c r="AX296" s="552">
        <f t="shared" si="39"/>
        <v>0</v>
      </c>
      <c r="AY296" s="552">
        <f t="shared" si="39"/>
        <v>0</v>
      </c>
      <c r="AZ296" s="552">
        <f t="shared" si="39"/>
        <v>0</v>
      </c>
      <c r="BA296" s="552">
        <f t="shared" si="39"/>
        <v>1</v>
      </c>
      <c r="BB296" s="552">
        <f t="shared" si="39"/>
        <v>0</v>
      </c>
      <c r="BC296" s="552">
        <f t="shared" si="39"/>
        <v>0</v>
      </c>
      <c r="BD296" s="552">
        <f t="shared" si="39"/>
        <v>1</v>
      </c>
      <c r="BE296" s="552">
        <f t="shared" si="39"/>
        <v>0</v>
      </c>
      <c r="BF296" s="552">
        <f t="shared" si="39"/>
        <v>0</v>
      </c>
      <c r="BG296" s="552">
        <f t="shared" si="39"/>
        <v>0</v>
      </c>
      <c r="BH296" s="552">
        <f t="shared" si="39"/>
        <v>0</v>
      </c>
      <c r="BI296" s="552">
        <f t="shared" si="39"/>
        <v>0</v>
      </c>
      <c r="BJ296" s="552">
        <f t="shared" si="39"/>
        <v>1</v>
      </c>
      <c r="BK296" s="552">
        <f t="shared" si="39"/>
        <v>0</v>
      </c>
      <c r="BL296" s="552">
        <f t="shared" si="39"/>
        <v>0</v>
      </c>
      <c r="BM296" s="552">
        <f t="shared" si="39"/>
        <v>0</v>
      </c>
      <c r="BN296" s="552">
        <f t="shared" ref="BN296:BR296" si="40">BN210</f>
        <v>0</v>
      </c>
      <c r="BO296" s="552">
        <f t="shared" si="40"/>
        <v>0</v>
      </c>
      <c r="BP296" s="552">
        <f t="shared" si="40"/>
        <v>0</v>
      </c>
      <c r="BQ296" s="552">
        <f t="shared" si="40"/>
        <v>0</v>
      </c>
      <c r="BR296" s="552">
        <f t="shared" si="40"/>
        <v>0</v>
      </c>
      <c r="BS296" s="552">
        <f t="shared" ref="BS296:CA296" si="41">BS210</f>
        <v>0</v>
      </c>
      <c r="BT296" s="552">
        <f t="shared" si="41"/>
        <v>0</v>
      </c>
      <c r="BU296" s="552">
        <f t="shared" si="41"/>
        <v>0</v>
      </c>
      <c r="BV296" s="552">
        <f t="shared" si="41"/>
        <v>0</v>
      </c>
      <c r="BW296" s="552">
        <f t="shared" si="41"/>
        <v>0</v>
      </c>
      <c r="BX296" s="552">
        <f t="shared" si="41"/>
        <v>0</v>
      </c>
      <c r="BY296" s="552">
        <f t="shared" si="41"/>
        <v>0</v>
      </c>
      <c r="BZ296" s="552">
        <f t="shared" si="41"/>
        <v>0</v>
      </c>
      <c r="CA296" s="552">
        <f t="shared" si="41"/>
        <v>1</v>
      </c>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row>
    <row r="297" spans="1:104" x14ac:dyDescent="0.3">
      <c r="A297" s="552">
        <f>A211</f>
        <v>957</v>
      </c>
      <c r="B297" s="552" t="str">
        <f t="shared" ref="B297:BM297" si="42">B211</f>
        <v>TD-Number of material weaknesses findings (other than in Questions 10-13)</v>
      </c>
      <c r="C297" s="552">
        <f t="shared" si="42"/>
        <v>0</v>
      </c>
      <c r="D297" s="552">
        <f t="shared" si="42"/>
        <v>0</v>
      </c>
      <c r="E297" s="552">
        <f t="shared" si="42"/>
        <v>0</v>
      </c>
      <c r="F297" s="552">
        <f t="shared" si="42"/>
        <v>0</v>
      </c>
      <c r="G297" s="552">
        <f t="shared" si="42"/>
        <v>0</v>
      </c>
      <c r="H297" s="552">
        <f t="shared" si="42"/>
        <v>0</v>
      </c>
      <c r="I297" s="552">
        <f t="shared" si="42"/>
        <v>0</v>
      </c>
      <c r="J297" s="552">
        <f t="shared" si="42"/>
        <v>0</v>
      </c>
      <c r="K297" s="552">
        <f t="shared" si="42"/>
        <v>0</v>
      </c>
      <c r="L297" s="552">
        <f t="shared" si="42"/>
        <v>0</v>
      </c>
      <c r="M297" s="552">
        <f t="shared" si="42"/>
        <v>0</v>
      </c>
      <c r="N297" s="552">
        <f t="shared" si="42"/>
        <v>0</v>
      </c>
      <c r="O297" s="552">
        <f t="shared" si="42"/>
        <v>0</v>
      </c>
      <c r="P297" s="552">
        <f t="shared" si="42"/>
        <v>1</v>
      </c>
      <c r="Q297" s="552">
        <f t="shared" si="42"/>
        <v>0</v>
      </c>
      <c r="R297" s="552">
        <f t="shared" si="42"/>
        <v>0</v>
      </c>
      <c r="S297" s="552">
        <f t="shared" si="42"/>
        <v>0</v>
      </c>
      <c r="T297" s="552">
        <f t="shared" si="42"/>
        <v>0</v>
      </c>
      <c r="U297" s="552">
        <f t="shared" si="42"/>
        <v>0</v>
      </c>
      <c r="V297" s="552">
        <f t="shared" si="42"/>
        <v>0</v>
      </c>
      <c r="W297" s="552">
        <f t="shared" si="42"/>
        <v>0</v>
      </c>
      <c r="X297" s="552">
        <f t="shared" si="42"/>
        <v>0</v>
      </c>
      <c r="Y297" s="552">
        <f t="shared" si="42"/>
        <v>0</v>
      </c>
      <c r="Z297" s="552">
        <f t="shared" si="42"/>
        <v>0</v>
      </c>
      <c r="AA297" s="552">
        <f t="shared" si="42"/>
        <v>0</v>
      </c>
      <c r="AB297" s="552">
        <f t="shared" si="42"/>
        <v>0</v>
      </c>
      <c r="AC297" s="552">
        <f t="shared" si="42"/>
        <v>0</v>
      </c>
      <c r="AD297" s="552">
        <f t="shared" si="42"/>
        <v>3</v>
      </c>
      <c r="AE297" s="552">
        <f t="shared" si="42"/>
        <v>2</v>
      </c>
      <c r="AF297" s="552">
        <f t="shared" si="42"/>
        <v>0</v>
      </c>
      <c r="AG297" s="552">
        <f t="shared" si="42"/>
        <v>0</v>
      </c>
      <c r="AH297" s="552">
        <f t="shared" si="42"/>
        <v>0</v>
      </c>
      <c r="AI297" s="552">
        <f t="shared" si="42"/>
        <v>0</v>
      </c>
      <c r="AJ297" s="552">
        <f t="shared" si="42"/>
        <v>1</v>
      </c>
      <c r="AK297" s="552">
        <f t="shared" si="42"/>
        <v>0</v>
      </c>
      <c r="AL297" s="552">
        <f t="shared" si="42"/>
        <v>0</v>
      </c>
      <c r="AM297" s="552">
        <f t="shared" si="42"/>
        <v>0</v>
      </c>
      <c r="AN297" s="552">
        <f t="shared" si="42"/>
        <v>0</v>
      </c>
      <c r="AO297" s="552">
        <f t="shared" si="42"/>
        <v>0</v>
      </c>
      <c r="AP297" s="552">
        <f t="shared" si="42"/>
        <v>0</v>
      </c>
      <c r="AQ297" s="552">
        <f t="shared" si="42"/>
        <v>0</v>
      </c>
      <c r="AR297" s="552">
        <f t="shared" si="42"/>
        <v>0</v>
      </c>
      <c r="AS297" s="552">
        <f t="shared" si="42"/>
        <v>0</v>
      </c>
      <c r="AT297" s="552">
        <f t="shared" si="42"/>
        <v>0</v>
      </c>
      <c r="AU297" s="552">
        <f t="shared" si="42"/>
        <v>0</v>
      </c>
      <c r="AV297" s="552">
        <f t="shared" si="42"/>
        <v>4</v>
      </c>
      <c r="AW297" s="552">
        <f t="shared" si="42"/>
        <v>0</v>
      </c>
      <c r="AX297" s="552">
        <f t="shared" si="42"/>
        <v>0</v>
      </c>
      <c r="AY297" s="552">
        <f t="shared" si="42"/>
        <v>0</v>
      </c>
      <c r="AZ297" s="552">
        <f t="shared" si="42"/>
        <v>0</v>
      </c>
      <c r="BA297" s="552">
        <f t="shared" si="42"/>
        <v>0</v>
      </c>
      <c r="BB297" s="552">
        <f t="shared" si="42"/>
        <v>0</v>
      </c>
      <c r="BC297" s="552">
        <f t="shared" si="42"/>
        <v>0</v>
      </c>
      <c r="BD297" s="552">
        <f t="shared" si="42"/>
        <v>1</v>
      </c>
      <c r="BE297" s="552">
        <f t="shared" si="42"/>
        <v>0</v>
      </c>
      <c r="BF297" s="552">
        <f t="shared" si="42"/>
        <v>0</v>
      </c>
      <c r="BG297" s="552">
        <f t="shared" si="42"/>
        <v>0</v>
      </c>
      <c r="BH297" s="552">
        <f t="shared" si="42"/>
        <v>0</v>
      </c>
      <c r="BI297" s="552">
        <f t="shared" si="42"/>
        <v>4</v>
      </c>
      <c r="BJ297" s="552">
        <f t="shared" si="42"/>
        <v>0</v>
      </c>
      <c r="BK297" s="552">
        <f t="shared" si="42"/>
        <v>0</v>
      </c>
      <c r="BL297" s="552">
        <f t="shared" si="42"/>
        <v>0</v>
      </c>
      <c r="BM297" s="552">
        <f t="shared" si="42"/>
        <v>0</v>
      </c>
      <c r="BN297" s="552">
        <f t="shared" ref="BN297:BR297" si="43">BN211</f>
        <v>0</v>
      </c>
      <c r="BO297" s="552">
        <f t="shared" si="43"/>
        <v>0</v>
      </c>
      <c r="BP297" s="552">
        <f t="shared" si="43"/>
        <v>0</v>
      </c>
      <c r="BQ297" s="552">
        <f t="shared" si="43"/>
        <v>0</v>
      </c>
      <c r="BR297" s="552">
        <f t="shared" si="43"/>
        <v>0</v>
      </c>
      <c r="BS297" s="552">
        <f t="shared" ref="BS297:CA297" si="44">BS211</f>
        <v>0</v>
      </c>
      <c r="BT297" s="552">
        <f t="shared" si="44"/>
        <v>0</v>
      </c>
      <c r="BU297" s="552">
        <f t="shared" si="44"/>
        <v>1</v>
      </c>
      <c r="BV297" s="552">
        <f t="shared" si="44"/>
        <v>0</v>
      </c>
      <c r="BW297" s="552">
        <f t="shared" si="44"/>
        <v>0</v>
      </c>
      <c r="BX297" s="552">
        <f t="shared" si="44"/>
        <v>0</v>
      </c>
      <c r="BY297" s="552">
        <f t="shared" si="44"/>
        <v>0</v>
      </c>
      <c r="BZ297" s="552">
        <f t="shared" si="44"/>
        <v>0</v>
      </c>
      <c r="CA297" s="552">
        <f t="shared" si="44"/>
        <v>0</v>
      </c>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row>
    <row r="298" spans="1:104" x14ac:dyDescent="0.3">
      <c r="A298" s="552">
        <f>A218</f>
        <v>973</v>
      </c>
      <c r="B298" s="552" t="str">
        <f t="shared" ref="B298:BM298" si="45">B218</f>
        <v>Were there any issues or other matters presented to the Governing Board regarding internal controls (not already listed as a material weakness or significant deficiency?</v>
      </c>
      <c r="C298" s="552">
        <f t="shared" si="45"/>
        <v>0</v>
      </c>
      <c r="D298" s="552">
        <f t="shared" si="45"/>
        <v>0</v>
      </c>
      <c r="E298" s="552">
        <f t="shared" si="45"/>
        <v>0</v>
      </c>
      <c r="F298" s="552">
        <f t="shared" si="45"/>
        <v>0</v>
      </c>
      <c r="G298" s="552">
        <f t="shared" si="45"/>
        <v>0</v>
      </c>
      <c r="H298" s="552">
        <f t="shared" si="45"/>
        <v>0</v>
      </c>
      <c r="I298" s="552">
        <f t="shared" si="45"/>
        <v>0</v>
      </c>
      <c r="J298" s="552">
        <f t="shared" si="45"/>
        <v>0</v>
      </c>
      <c r="K298" s="552">
        <f t="shared" si="45"/>
        <v>0</v>
      </c>
      <c r="L298" s="552">
        <f t="shared" si="45"/>
        <v>0</v>
      </c>
      <c r="M298" s="552">
        <f t="shared" si="45"/>
        <v>0</v>
      </c>
      <c r="N298" s="552">
        <f t="shared" si="45"/>
        <v>0</v>
      </c>
      <c r="O298" s="552">
        <f t="shared" si="45"/>
        <v>0</v>
      </c>
      <c r="P298" s="552">
        <f t="shared" si="45"/>
        <v>0</v>
      </c>
      <c r="Q298" s="552">
        <f t="shared" si="45"/>
        <v>0</v>
      </c>
      <c r="R298" s="552">
        <f t="shared" si="45"/>
        <v>0</v>
      </c>
      <c r="S298" s="552">
        <f t="shared" si="45"/>
        <v>0</v>
      </c>
      <c r="T298" s="552">
        <f t="shared" si="45"/>
        <v>0</v>
      </c>
      <c r="U298" s="552">
        <f t="shared" si="45"/>
        <v>0</v>
      </c>
      <c r="V298" s="552">
        <f t="shared" si="45"/>
        <v>0</v>
      </c>
      <c r="W298" s="552">
        <f t="shared" si="45"/>
        <v>0</v>
      </c>
      <c r="X298" s="552">
        <f t="shared" si="45"/>
        <v>0</v>
      </c>
      <c r="Y298" s="552">
        <f t="shared" si="45"/>
        <v>0</v>
      </c>
      <c r="Z298" s="552">
        <f t="shared" si="45"/>
        <v>0</v>
      </c>
      <c r="AA298" s="552">
        <f t="shared" si="45"/>
        <v>0</v>
      </c>
      <c r="AB298" s="552">
        <f t="shared" si="45"/>
        <v>0</v>
      </c>
      <c r="AC298" s="552">
        <f t="shared" si="45"/>
        <v>0</v>
      </c>
      <c r="AD298" s="552">
        <f t="shared" si="45"/>
        <v>0</v>
      </c>
      <c r="AE298" s="552">
        <f t="shared" si="45"/>
        <v>0</v>
      </c>
      <c r="AF298" s="552">
        <f t="shared" si="45"/>
        <v>0</v>
      </c>
      <c r="AG298" s="552">
        <f t="shared" si="45"/>
        <v>0</v>
      </c>
      <c r="AH298" s="552">
        <f t="shared" si="45"/>
        <v>0</v>
      </c>
      <c r="AI298" s="552">
        <f t="shared" si="45"/>
        <v>0</v>
      </c>
      <c r="AJ298" s="552">
        <f t="shared" si="45"/>
        <v>0</v>
      </c>
      <c r="AK298" s="552">
        <f t="shared" si="45"/>
        <v>0</v>
      </c>
      <c r="AL298" s="552">
        <f t="shared" si="45"/>
        <v>0</v>
      </c>
      <c r="AM298" s="552">
        <f t="shared" si="45"/>
        <v>0</v>
      </c>
      <c r="AN298" s="552">
        <f t="shared" si="45"/>
        <v>0</v>
      </c>
      <c r="AO298" s="552">
        <f t="shared" si="45"/>
        <v>0</v>
      </c>
      <c r="AP298" s="552">
        <f t="shared" si="45"/>
        <v>0</v>
      </c>
      <c r="AQ298" s="552">
        <f t="shared" si="45"/>
        <v>0</v>
      </c>
      <c r="AR298" s="552">
        <f t="shared" si="45"/>
        <v>0</v>
      </c>
      <c r="AS298" s="552">
        <f t="shared" si="45"/>
        <v>0</v>
      </c>
      <c r="AT298" s="552">
        <f t="shared" si="45"/>
        <v>0</v>
      </c>
      <c r="AU298" s="552">
        <f t="shared" si="45"/>
        <v>0</v>
      </c>
      <c r="AV298" s="552">
        <f t="shared" si="45"/>
        <v>0</v>
      </c>
      <c r="AW298" s="552">
        <f t="shared" si="45"/>
        <v>0</v>
      </c>
      <c r="AX298" s="552">
        <f t="shared" si="45"/>
        <v>0</v>
      </c>
      <c r="AY298" s="552">
        <f t="shared" si="45"/>
        <v>0</v>
      </c>
      <c r="AZ298" s="552">
        <f t="shared" si="45"/>
        <v>0</v>
      </c>
      <c r="BA298" s="552">
        <f t="shared" si="45"/>
        <v>0</v>
      </c>
      <c r="BB298" s="552">
        <f t="shared" si="45"/>
        <v>0</v>
      </c>
      <c r="BC298" s="552">
        <f t="shared" si="45"/>
        <v>0</v>
      </c>
      <c r="BD298" s="552">
        <f t="shared" si="45"/>
        <v>0</v>
      </c>
      <c r="BE298" s="552">
        <f t="shared" si="45"/>
        <v>0</v>
      </c>
      <c r="BF298" s="552">
        <f t="shared" si="45"/>
        <v>0</v>
      </c>
      <c r="BG298" s="552">
        <f t="shared" si="45"/>
        <v>0</v>
      </c>
      <c r="BH298" s="552">
        <f t="shared" si="45"/>
        <v>0</v>
      </c>
      <c r="BI298" s="552">
        <f t="shared" si="45"/>
        <v>0</v>
      </c>
      <c r="BJ298" s="552">
        <f t="shared" si="45"/>
        <v>0</v>
      </c>
      <c r="BK298" s="552">
        <f t="shared" si="45"/>
        <v>0</v>
      </c>
      <c r="BL298" s="552">
        <f t="shared" si="45"/>
        <v>0</v>
      </c>
      <c r="BM298" s="552">
        <f t="shared" si="45"/>
        <v>0</v>
      </c>
      <c r="BN298" s="552">
        <f t="shared" ref="BN298:BR298" si="46">BN218</f>
        <v>0</v>
      </c>
      <c r="BO298" s="552">
        <f t="shared" si="46"/>
        <v>0</v>
      </c>
      <c r="BP298" s="552">
        <f t="shared" si="46"/>
        <v>0</v>
      </c>
      <c r="BQ298" s="552">
        <f t="shared" si="46"/>
        <v>0</v>
      </c>
      <c r="BR298" s="552">
        <f t="shared" si="46"/>
        <v>0</v>
      </c>
      <c r="BS298" s="552">
        <f t="shared" ref="BS298:CA298" si="47">BS218</f>
        <v>0</v>
      </c>
      <c r="BT298" s="552">
        <f t="shared" si="47"/>
        <v>0</v>
      </c>
      <c r="BU298" s="552">
        <f t="shared" si="47"/>
        <v>0</v>
      </c>
      <c r="BV298" s="552">
        <f t="shared" si="47"/>
        <v>0</v>
      </c>
      <c r="BW298" s="552">
        <f t="shared" si="47"/>
        <v>0</v>
      </c>
      <c r="BX298" s="552">
        <f t="shared" si="47"/>
        <v>0</v>
      </c>
      <c r="BY298" s="552">
        <f t="shared" si="47"/>
        <v>1</v>
      </c>
      <c r="BZ298" s="552">
        <f t="shared" si="47"/>
        <v>0</v>
      </c>
      <c r="CA298" s="552">
        <f t="shared" si="47"/>
        <v>0</v>
      </c>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row>
    <row r="299" spans="1:104" x14ac:dyDescent="0.3">
      <c r="A299" s="552">
        <f>A212</f>
        <v>959</v>
      </c>
      <c r="B299" s="552" t="str">
        <f t="shared" ref="B299:BM299" si="48">B212</f>
        <v>TD-Did unit have their debt service payments restructured in this fiscal year? (does not include refinancings designed to take advantage of lower interest rates)</v>
      </c>
      <c r="C299" s="552">
        <f t="shared" si="48"/>
        <v>0</v>
      </c>
      <c r="D299" s="552">
        <f t="shared" si="48"/>
        <v>2</v>
      </c>
      <c r="E299" s="552">
        <f t="shared" si="48"/>
        <v>2</v>
      </c>
      <c r="F299" s="552">
        <f t="shared" si="48"/>
        <v>0</v>
      </c>
      <c r="G299" s="552">
        <f t="shared" si="48"/>
        <v>2</v>
      </c>
      <c r="H299" s="552">
        <f t="shared" si="48"/>
        <v>2</v>
      </c>
      <c r="I299" s="552">
        <f t="shared" si="48"/>
        <v>3</v>
      </c>
      <c r="J299" s="552">
        <f t="shared" si="48"/>
        <v>2</v>
      </c>
      <c r="K299" s="552">
        <f t="shared" si="48"/>
        <v>2</v>
      </c>
      <c r="L299" s="552">
        <f t="shared" si="48"/>
        <v>2</v>
      </c>
      <c r="M299" s="552">
        <f t="shared" si="48"/>
        <v>0</v>
      </c>
      <c r="N299" s="552">
        <f t="shared" si="48"/>
        <v>2</v>
      </c>
      <c r="O299" s="552">
        <f t="shared" si="48"/>
        <v>0</v>
      </c>
      <c r="P299" s="552">
        <f t="shared" si="48"/>
        <v>2</v>
      </c>
      <c r="Q299" s="552">
        <f t="shared" si="48"/>
        <v>2</v>
      </c>
      <c r="R299" s="552">
        <f t="shared" si="48"/>
        <v>2</v>
      </c>
      <c r="S299" s="552">
        <f t="shared" si="48"/>
        <v>2</v>
      </c>
      <c r="T299" s="552">
        <f t="shared" si="48"/>
        <v>3</v>
      </c>
      <c r="U299" s="552">
        <f t="shared" si="48"/>
        <v>2</v>
      </c>
      <c r="V299" s="552">
        <f t="shared" si="48"/>
        <v>3</v>
      </c>
      <c r="W299" s="552">
        <f t="shared" si="48"/>
        <v>2</v>
      </c>
      <c r="X299" s="552">
        <f t="shared" si="48"/>
        <v>2</v>
      </c>
      <c r="Y299" s="552">
        <f t="shared" si="48"/>
        <v>2</v>
      </c>
      <c r="Z299" s="552">
        <f t="shared" si="48"/>
        <v>2</v>
      </c>
      <c r="AA299" s="552">
        <f t="shared" si="48"/>
        <v>0</v>
      </c>
      <c r="AB299" s="552">
        <f t="shared" si="48"/>
        <v>2</v>
      </c>
      <c r="AC299" s="552">
        <f t="shared" si="48"/>
        <v>3</v>
      </c>
      <c r="AD299" s="552">
        <f t="shared" si="48"/>
        <v>3</v>
      </c>
      <c r="AE299" s="552">
        <f t="shared" si="48"/>
        <v>2</v>
      </c>
      <c r="AF299" s="552">
        <f t="shared" si="48"/>
        <v>3</v>
      </c>
      <c r="AG299" s="552">
        <f t="shared" si="48"/>
        <v>2</v>
      </c>
      <c r="AH299" s="552">
        <f t="shared" si="48"/>
        <v>3</v>
      </c>
      <c r="AI299" s="552">
        <f t="shared" si="48"/>
        <v>3</v>
      </c>
      <c r="AJ299" s="552">
        <f t="shared" si="48"/>
        <v>2</v>
      </c>
      <c r="AK299" s="552">
        <f t="shared" si="48"/>
        <v>3</v>
      </c>
      <c r="AL299" s="552">
        <f t="shared" si="48"/>
        <v>3</v>
      </c>
      <c r="AM299" s="552">
        <f t="shared" si="48"/>
        <v>3</v>
      </c>
      <c r="AN299" s="552">
        <f t="shared" si="48"/>
        <v>2</v>
      </c>
      <c r="AO299" s="552">
        <f t="shared" si="48"/>
        <v>0</v>
      </c>
      <c r="AP299" s="552">
        <f t="shared" si="48"/>
        <v>2</v>
      </c>
      <c r="AQ299" s="552">
        <f t="shared" si="48"/>
        <v>2</v>
      </c>
      <c r="AR299" s="552">
        <f t="shared" si="48"/>
        <v>2</v>
      </c>
      <c r="AS299" s="552">
        <f t="shared" si="48"/>
        <v>0</v>
      </c>
      <c r="AT299" s="552">
        <f t="shared" si="48"/>
        <v>2</v>
      </c>
      <c r="AU299" s="552">
        <f t="shared" si="48"/>
        <v>2</v>
      </c>
      <c r="AV299" s="552">
        <f t="shared" si="48"/>
        <v>2</v>
      </c>
      <c r="AW299" s="552">
        <f t="shared" si="48"/>
        <v>0</v>
      </c>
      <c r="AX299" s="552">
        <f t="shared" si="48"/>
        <v>3</v>
      </c>
      <c r="AY299" s="552">
        <f t="shared" si="48"/>
        <v>2</v>
      </c>
      <c r="AZ299" s="552">
        <f t="shared" si="48"/>
        <v>0</v>
      </c>
      <c r="BA299" s="552">
        <f t="shared" si="48"/>
        <v>3</v>
      </c>
      <c r="BB299" s="552">
        <f t="shared" si="48"/>
        <v>2</v>
      </c>
      <c r="BC299" s="552">
        <f t="shared" si="48"/>
        <v>0</v>
      </c>
      <c r="BD299" s="552">
        <f t="shared" si="48"/>
        <v>3</v>
      </c>
      <c r="BE299" s="552">
        <f t="shared" si="48"/>
        <v>2</v>
      </c>
      <c r="BF299" s="552">
        <f t="shared" si="48"/>
        <v>0</v>
      </c>
      <c r="BG299" s="552">
        <f t="shared" si="48"/>
        <v>0</v>
      </c>
      <c r="BH299" s="552">
        <f t="shared" si="48"/>
        <v>2</v>
      </c>
      <c r="BI299" s="552">
        <f t="shared" si="48"/>
        <v>2</v>
      </c>
      <c r="BJ299" s="552">
        <f t="shared" si="48"/>
        <v>2</v>
      </c>
      <c r="BK299" s="552">
        <f t="shared" si="48"/>
        <v>2</v>
      </c>
      <c r="BL299" s="552">
        <f t="shared" si="48"/>
        <v>2</v>
      </c>
      <c r="BM299" s="552">
        <f t="shared" si="48"/>
        <v>2</v>
      </c>
      <c r="BN299" s="552">
        <f t="shared" ref="BN299:BR299" si="49">BN212</f>
        <v>3</v>
      </c>
      <c r="BO299" s="552">
        <f t="shared" si="49"/>
        <v>2</v>
      </c>
      <c r="BP299" s="552">
        <f t="shared" si="49"/>
        <v>2</v>
      </c>
      <c r="BQ299" s="552">
        <f t="shared" si="49"/>
        <v>2</v>
      </c>
      <c r="BR299" s="552">
        <f t="shared" si="49"/>
        <v>3</v>
      </c>
      <c r="BS299" s="552">
        <f t="shared" ref="BS299:CA299" si="50">BS212</f>
        <v>2</v>
      </c>
      <c r="BT299" s="552">
        <f t="shared" si="50"/>
        <v>3</v>
      </c>
      <c r="BU299" s="552">
        <f t="shared" si="50"/>
        <v>2</v>
      </c>
      <c r="BV299" s="552">
        <f t="shared" si="50"/>
        <v>0</v>
      </c>
      <c r="BW299" s="552">
        <f t="shared" si="50"/>
        <v>2</v>
      </c>
      <c r="BX299" s="552">
        <f t="shared" si="50"/>
        <v>2</v>
      </c>
      <c r="BY299" s="552">
        <f t="shared" si="50"/>
        <v>3</v>
      </c>
      <c r="BZ299" s="552">
        <f t="shared" si="50"/>
        <v>2</v>
      </c>
      <c r="CA299" s="552">
        <f t="shared" si="50"/>
        <v>2</v>
      </c>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row>
    <row r="300" spans="1:104" x14ac:dyDescent="0.3">
      <c r="A300" s="552">
        <f>A219</f>
        <v>974</v>
      </c>
      <c r="B300" s="552" t="str">
        <f t="shared" ref="B300:BM300" si="51">B219</f>
        <v>Did the Unit have any of the following occur:
1.  Were any debt service payments deferred or restructured in this fiscal year? (does not include refinancings designed to take advantage of lower interest rates)
2.  Bond covenants were not met
3.  Debt serv</v>
      </c>
      <c r="C300" s="552">
        <f t="shared" si="51"/>
        <v>0</v>
      </c>
      <c r="D300" s="552">
        <f t="shared" si="51"/>
        <v>2</v>
      </c>
      <c r="E300" s="552">
        <f t="shared" si="51"/>
        <v>2</v>
      </c>
      <c r="F300" s="552">
        <f t="shared" si="51"/>
        <v>0</v>
      </c>
      <c r="G300" s="552">
        <f t="shared" si="51"/>
        <v>2</v>
      </c>
      <c r="H300" s="552">
        <f t="shared" si="51"/>
        <v>3</v>
      </c>
      <c r="I300" s="552">
        <f t="shared" si="51"/>
        <v>3</v>
      </c>
      <c r="J300" s="552">
        <f t="shared" si="51"/>
        <v>2</v>
      </c>
      <c r="K300" s="552">
        <f t="shared" si="51"/>
        <v>2</v>
      </c>
      <c r="L300" s="552">
        <f t="shared" si="51"/>
        <v>2</v>
      </c>
      <c r="M300" s="552">
        <f t="shared" si="51"/>
        <v>0</v>
      </c>
      <c r="N300" s="552">
        <f t="shared" si="51"/>
        <v>2</v>
      </c>
      <c r="O300" s="552">
        <f t="shared" si="51"/>
        <v>0</v>
      </c>
      <c r="P300" s="552">
        <f t="shared" si="51"/>
        <v>2</v>
      </c>
      <c r="Q300" s="552">
        <f t="shared" si="51"/>
        <v>2</v>
      </c>
      <c r="R300" s="552">
        <f t="shared" si="51"/>
        <v>2</v>
      </c>
      <c r="S300" s="552">
        <f t="shared" si="51"/>
        <v>2</v>
      </c>
      <c r="T300" s="552">
        <f t="shared" si="51"/>
        <v>3</v>
      </c>
      <c r="U300" s="552">
        <f t="shared" si="51"/>
        <v>2</v>
      </c>
      <c r="V300" s="552">
        <f t="shared" si="51"/>
        <v>3</v>
      </c>
      <c r="W300" s="552">
        <f t="shared" si="51"/>
        <v>3</v>
      </c>
      <c r="X300" s="552">
        <f t="shared" si="51"/>
        <v>2</v>
      </c>
      <c r="Y300" s="552">
        <f t="shared" si="51"/>
        <v>2</v>
      </c>
      <c r="Z300" s="552">
        <f t="shared" si="51"/>
        <v>2</v>
      </c>
      <c r="AA300" s="552">
        <f t="shared" si="51"/>
        <v>0</v>
      </c>
      <c r="AB300" s="552">
        <f t="shared" si="51"/>
        <v>3</v>
      </c>
      <c r="AC300" s="552">
        <f t="shared" si="51"/>
        <v>2</v>
      </c>
      <c r="AD300" s="552">
        <f t="shared" si="51"/>
        <v>3</v>
      </c>
      <c r="AE300" s="552">
        <f t="shared" si="51"/>
        <v>2</v>
      </c>
      <c r="AF300" s="552">
        <f t="shared" si="51"/>
        <v>3</v>
      </c>
      <c r="AG300" s="552">
        <f t="shared" si="51"/>
        <v>3</v>
      </c>
      <c r="AH300" s="552">
        <f t="shared" si="51"/>
        <v>3</v>
      </c>
      <c r="AI300" s="552">
        <f t="shared" si="51"/>
        <v>3</v>
      </c>
      <c r="AJ300" s="552">
        <f t="shared" si="51"/>
        <v>2</v>
      </c>
      <c r="AK300" s="552">
        <f t="shared" si="51"/>
        <v>3</v>
      </c>
      <c r="AL300" s="552">
        <f t="shared" si="51"/>
        <v>3</v>
      </c>
      <c r="AM300" s="552">
        <f t="shared" si="51"/>
        <v>3</v>
      </c>
      <c r="AN300" s="552">
        <f t="shared" si="51"/>
        <v>2</v>
      </c>
      <c r="AO300" s="552">
        <f t="shared" si="51"/>
        <v>0</v>
      </c>
      <c r="AP300" s="552">
        <f t="shared" si="51"/>
        <v>2</v>
      </c>
      <c r="AQ300" s="552">
        <f t="shared" si="51"/>
        <v>2</v>
      </c>
      <c r="AR300" s="552">
        <f t="shared" si="51"/>
        <v>2</v>
      </c>
      <c r="AS300" s="552">
        <f t="shared" si="51"/>
        <v>0</v>
      </c>
      <c r="AT300" s="552">
        <f t="shared" si="51"/>
        <v>2</v>
      </c>
      <c r="AU300" s="552">
        <f t="shared" si="51"/>
        <v>2</v>
      </c>
      <c r="AV300" s="552">
        <f t="shared" si="51"/>
        <v>2</v>
      </c>
      <c r="AW300" s="552">
        <f t="shared" si="51"/>
        <v>0</v>
      </c>
      <c r="AX300" s="552">
        <f t="shared" si="51"/>
        <v>3</v>
      </c>
      <c r="AY300" s="552">
        <f t="shared" si="51"/>
        <v>2</v>
      </c>
      <c r="AZ300" s="552">
        <f t="shared" si="51"/>
        <v>0</v>
      </c>
      <c r="BA300" s="552">
        <f t="shared" si="51"/>
        <v>3</v>
      </c>
      <c r="BB300" s="552">
        <f t="shared" si="51"/>
        <v>2</v>
      </c>
      <c r="BC300" s="552">
        <f t="shared" si="51"/>
        <v>0</v>
      </c>
      <c r="BD300" s="552">
        <f t="shared" si="51"/>
        <v>3</v>
      </c>
      <c r="BE300" s="552">
        <f t="shared" si="51"/>
        <v>2</v>
      </c>
      <c r="BF300" s="552">
        <f t="shared" si="51"/>
        <v>0</v>
      </c>
      <c r="BG300" s="552">
        <f t="shared" si="51"/>
        <v>0</v>
      </c>
      <c r="BH300" s="552">
        <f t="shared" si="51"/>
        <v>2</v>
      </c>
      <c r="BI300" s="552">
        <f t="shared" si="51"/>
        <v>2</v>
      </c>
      <c r="BJ300" s="552">
        <f t="shared" si="51"/>
        <v>2</v>
      </c>
      <c r="BK300" s="552">
        <f t="shared" si="51"/>
        <v>2</v>
      </c>
      <c r="BL300" s="552">
        <f t="shared" si="51"/>
        <v>2</v>
      </c>
      <c r="BM300" s="552">
        <f t="shared" si="51"/>
        <v>2</v>
      </c>
      <c r="BN300" s="552">
        <f t="shared" ref="BN300:BR300" si="52">BN219</f>
        <v>2</v>
      </c>
      <c r="BO300" s="552">
        <f t="shared" si="52"/>
        <v>2</v>
      </c>
      <c r="BP300" s="552">
        <f t="shared" si="52"/>
        <v>2</v>
      </c>
      <c r="BQ300" s="552">
        <f t="shared" si="52"/>
        <v>3</v>
      </c>
      <c r="BR300" s="552">
        <f t="shared" si="52"/>
        <v>3</v>
      </c>
      <c r="BS300" s="552">
        <f t="shared" ref="BS300:CA300" si="53">BS219</f>
        <v>2</v>
      </c>
      <c r="BT300" s="552">
        <f t="shared" si="53"/>
        <v>3</v>
      </c>
      <c r="BU300" s="552">
        <f t="shared" si="53"/>
        <v>2</v>
      </c>
      <c r="BV300" s="552">
        <f t="shared" si="53"/>
        <v>0</v>
      </c>
      <c r="BW300" s="552">
        <f t="shared" si="53"/>
        <v>3</v>
      </c>
      <c r="BX300" s="552">
        <f t="shared" si="53"/>
        <v>2</v>
      </c>
      <c r="BY300" s="552">
        <f t="shared" si="53"/>
        <v>3</v>
      </c>
      <c r="BZ300" s="552">
        <f t="shared" si="53"/>
        <v>2</v>
      </c>
      <c r="CA300" s="552">
        <f t="shared" si="53"/>
        <v>2</v>
      </c>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row>
    <row r="301" spans="1:104" x14ac:dyDescent="0.3">
      <c r="A301" s="552">
        <f>A220</f>
        <v>975</v>
      </c>
      <c r="B301" s="552" t="str">
        <f t="shared" ref="B301:BM301" si="54">B220</f>
        <v>Does the Performance Indicator Print worksheet in this workbook have a red shaded cell?</v>
      </c>
      <c r="C301" s="552">
        <f t="shared" si="54"/>
        <v>0</v>
      </c>
      <c r="D301" s="552">
        <f t="shared" si="54"/>
        <v>2</v>
      </c>
      <c r="E301" s="552">
        <f t="shared" si="54"/>
        <v>2</v>
      </c>
      <c r="F301" s="552">
        <f t="shared" si="54"/>
        <v>0</v>
      </c>
      <c r="G301" s="552">
        <f t="shared" si="54"/>
        <v>1</v>
      </c>
      <c r="H301" s="552">
        <f t="shared" si="54"/>
        <v>1</v>
      </c>
      <c r="I301" s="552">
        <f t="shared" si="54"/>
        <v>1</v>
      </c>
      <c r="J301" s="552">
        <f t="shared" si="54"/>
        <v>1</v>
      </c>
      <c r="K301" s="552">
        <f t="shared" si="54"/>
        <v>2</v>
      </c>
      <c r="L301" s="552">
        <f t="shared" si="54"/>
        <v>1</v>
      </c>
      <c r="M301" s="552">
        <f t="shared" si="54"/>
        <v>0</v>
      </c>
      <c r="N301" s="552">
        <f t="shared" si="54"/>
        <v>1</v>
      </c>
      <c r="O301" s="552">
        <f t="shared" si="54"/>
        <v>0</v>
      </c>
      <c r="P301" s="552">
        <f t="shared" si="54"/>
        <v>1</v>
      </c>
      <c r="Q301" s="552">
        <f t="shared" si="54"/>
        <v>1</v>
      </c>
      <c r="R301" s="552">
        <f t="shared" si="54"/>
        <v>1</v>
      </c>
      <c r="S301" s="552">
        <f t="shared" si="54"/>
        <v>1</v>
      </c>
      <c r="T301" s="552">
        <f t="shared" si="54"/>
        <v>1</v>
      </c>
      <c r="U301" s="552">
        <f t="shared" si="54"/>
        <v>2</v>
      </c>
      <c r="V301" s="552">
        <f t="shared" si="54"/>
        <v>1</v>
      </c>
      <c r="W301" s="552">
        <f t="shared" si="54"/>
        <v>2</v>
      </c>
      <c r="X301" s="552">
        <f t="shared" si="54"/>
        <v>2</v>
      </c>
      <c r="Y301" s="552">
        <f t="shared" si="54"/>
        <v>2</v>
      </c>
      <c r="Z301" s="552">
        <f t="shared" si="54"/>
        <v>1</v>
      </c>
      <c r="AA301" s="552">
        <f t="shared" si="54"/>
        <v>0</v>
      </c>
      <c r="AB301" s="552">
        <f t="shared" si="54"/>
        <v>2</v>
      </c>
      <c r="AC301" s="552">
        <f t="shared" si="54"/>
        <v>1</v>
      </c>
      <c r="AD301" s="552">
        <f t="shared" si="54"/>
        <v>1</v>
      </c>
      <c r="AE301" s="552">
        <f t="shared" si="54"/>
        <v>1</v>
      </c>
      <c r="AF301" s="552">
        <f t="shared" si="54"/>
        <v>1</v>
      </c>
      <c r="AG301" s="552">
        <f t="shared" si="54"/>
        <v>1</v>
      </c>
      <c r="AH301" s="552">
        <f t="shared" si="54"/>
        <v>2</v>
      </c>
      <c r="AI301" s="552">
        <f t="shared" si="54"/>
        <v>1</v>
      </c>
      <c r="AJ301" s="552">
        <f t="shared" si="54"/>
        <v>1</v>
      </c>
      <c r="AK301" s="552">
        <f t="shared" si="54"/>
        <v>1</v>
      </c>
      <c r="AL301" s="552">
        <f t="shared" si="54"/>
        <v>1</v>
      </c>
      <c r="AM301" s="552">
        <f t="shared" si="54"/>
        <v>1</v>
      </c>
      <c r="AN301" s="552">
        <f t="shared" si="54"/>
        <v>2</v>
      </c>
      <c r="AO301" s="552">
        <f t="shared" si="54"/>
        <v>0</v>
      </c>
      <c r="AP301" s="552">
        <f t="shared" si="54"/>
        <v>2</v>
      </c>
      <c r="AQ301" s="552">
        <f t="shared" si="54"/>
        <v>1</v>
      </c>
      <c r="AR301" s="552">
        <f t="shared" si="54"/>
        <v>1</v>
      </c>
      <c r="AS301" s="552">
        <f t="shared" si="54"/>
        <v>0</v>
      </c>
      <c r="AT301" s="552">
        <f t="shared" si="54"/>
        <v>1</v>
      </c>
      <c r="AU301" s="552">
        <f t="shared" si="54"/>
        <v>1</v>
      </c>
      <c r="AV301" s="552">
        <f t="shared" si="54"/>
        <v>1</v>
      </c>
      <c r="AW301" s="552">
        <f t="shared" si="54"/>
        <v>0</v>
      </c>
      <c r="AX301" s="552">
        <f t="shared" si="54"/>
        <v>2</v>
      </c>
      <c r="AY301" s="552">
        <f t="shared" si="54"/>
        <v>1</v>
      </c>
      <c r="AZ301" s="552">
        <f t="shared" si="54"/>
        <v>0</v>
      </c>
      <c r="BA301" s="552">
        <f t="shared" si="54"/>
        <v>1</v>
      </c>
      <c r="BB301" s="552">
        <f t="shared" si="54"/>
        <v>1</v>
      </c>
      <c r="BC301" s="552">
        <f t="shared" si="54"/>
        <v>0</v>
      </c>
      <c r="BD301" s="552">
        <f t="shared" si="54"/>
        <v>1</v>
      </c>
      <c r="BE301" s="552">
        <f t="shared" si="54"/>
        <v>1</v>
      </c>
      <c r="BF301" s="552">
        <f t="shared" si="54"/>
        <v>0</v>
      </c>
      <c r="BG301" s="552">
        <f t="shared" si="54"/>
        <v>0</v>
      </c>
      <c r="BH301" s="552">
        <f t="shared" si="54"/>
        <v>1</v>
      </c>
      <c r="BI301" s="552">
        <f t="shared" si="54"/>
        <v>1</v>
      </c>
      <c r="BJ301" s="552">
        <f t="shared" si="54"/>
        <v>1</v>
      </c>
      <c r="BK301" s="552">
        <f t="shared" si="54"/>
        <v>1</v>
      </c>
      <c r="BL301" s="552">
        <f t="shared" si="54"/>
        <v>1</v>
      </c>
      <c r="BM301" s="552">
        <f t="shared" si="54"/>
        <v>2</v>
      </c>
      <c r="BN301" s="552">
        <f t="shared" ref="BN301:BR301" si="55">BN220</f>
        <v>1</v>
      </c>
      <c r="BO301" s="552">
        <f t="shared" si="55"/>
        <v>1</v>
      </c>
      <c r="BP301" s="552">
        <f t="shared" si="55"/>
        <v>1</v>
      </c>
      <c r="BQ301" s="552">
        <f t="shared" si="55"/>
        <v>2</v>
      </c>
      <c r="BR301" s="552">
        <f t="shared" si="55"/>
        <v>2</v>
      </c>
      <c r="BS301" s="552">
        <f t="shared" ref="BS301:CA301" si="56">BS220</f>
        <v>2</v>
      </c>
      <c r="BT301" s="552">
        <f t="shared" si="56"/>
        <v>1</v>
      </c>
      <c r="BU301" s="552">
        <f t="shared" si="56"/>
        <v>1</v>
      </c>
      <c r="BV301" s="552">
        <f t="shared" si="56"/>
        <v>0</v>
      </c>
      <c r="BW301" s="552">
        <f t="shared" si="56"/>
        <v>2</v>
      </c>
      <c r="BX301" s="552">
        <f t="shared" si="56"/>
        <v>1</v>
      </c>
      <c r="BY301" s="552">
        <f t="shared" si="56"/>
        <v>1</v>
      </c>
      <c r="BZ301" s="552">
        <f t="shared" si="56"/>
        <v>1</v>
      </c>
      <c r="CA301" s="552">
        <f t="shared" si="56"/>
        <v>1</v>
      </c>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row>
    <row r="302" spans="1:104" x14ac:dyDescent="0.3">
      <c r="A302" s="552">
        <f>A250</f>
        <v>1068</v>
      </c>
      <c r="B302" s="552" t="str">
        <f t="shared" ref="B302:BM302" si="57">B250</f>
        <v>Does the unit have a self-insurance fund?</v>
      </c>
      <c r="C302" s="552">
        <f t="shared" si="57"/>
        <v>0</v>
      </c>
      <c r="D302" s="552">
        <f t="shared" si="57"/>
        <v>2</v>
      </c>
      <c r="E302" s="552">
        <f t="shared" si="57"/>
        <v>2</v>
      </c>
      <c r="F302" s="552">
        <f t="shared" si="57"/>
        <v>0</v>
      </c>
      <c r="G302" s="552">
        <f t="shared" si="57"/>
        <v>1</v>
      </c>
      <c r="H302" s="552">
        <f t="shared" si="57"/>
        <v>2</v>
      </c>
      <c r="I302" s="552">
        <f t="shared" si="57"/>
        <v>2</v>
      </c>
      <c r="J302" s="552">
        <f t="shared" si="57"/>
        <v>2</v>
      </c>
      <c r="K302" s="552">
        <f t="shared" si="57"/>
        <v>2</v>
      </c>
      <c r="L302" s="552">
        <f t="shared" si="57"/>
        <v>2</v>
      </c>
      <c r="M302" s="552">
        <f t="shared" si="57"/>
        <v>0</v>
      </c>
      <c r="N302" s="552">
        <f t="shared" si="57"/>
        <v>2</v>
      </c>
      <c r="O302" s="552">
        <f t="shared" si="57"/>
        <v>0</v>
      </c>
      <c r="P302" s="552">
        <f t="shared" si="57"/>
        <v>1</v>
      </c>
      <c r="Q302" s="552">
        <f t="shared" si="57"/>
        <v>2</v>
      </c>
      <c r="R302" s="552">
        <f t="shared" si="57"/>
        <v>2</v>
      </c>
      <c r="S302" s="552">
        <f t="shared" si="57"/>
        <v>1</v>
      </c>
      <c r="T302" s="552">
        <f t="shared" si="57"/>
        <v>2</v>
      </c>
      <c r="U302" s="552">
        <f t="shared" si="57"/>
        <v>1</v>
      </c>
      <c r="V302" s="552">
        <f t="shared" si="57"/>
        <v>2</v>
      </c>
      <c r="W302" s="552">
        <f t="shared" si="57"/>
        <v>2</v>
      </c>
      <c r="X302" s="552">
        <f t="shared" si="57"/>
        <v>2</v>
      </c>
      <c r="Y302" s="552">
        <f t="shared" si="57"/>
        <v>2</v>
      </c>
      <c r="Z302" s="552">
        <f t="shared" si="57"/>
        <v>2</v>
      </c>
      <c r="AA302" s="552">
        <f t="shared" si="57"/>
        <v>0</v>
      </c>
      <c r="AB302" s="552">
        <f t="shared" si="57"/>
        <v>2</v>
      </c>
      <c r="AC302" s="552">
        <f t="shared" si="57"/>
        <v>2</v>
      </c>
      <c r="AD302" s="552">
        <f t="shared" si="57"/>
        <v>2</v>
      </c>
      <c r="AE302" s="552">
        <f t="shared" si="57"/>
        <v>2</v>
      </c>
      <c r="AF302" s="552">
        <f t="shared" si="57"/>
        <v>2</v>
      </c>
      <c r="AG302" s="552">
        <f t="shared" si="57"/>
        <v>2</v>
      </c>
      <c r="AH302" s="552">
        <f t="shared" si="57"/>
        <v>2</v>
      </c>
      <c r="AI302" s="552">
        <f t="shared" si="57"/>
        <v>2</v>
      </c>
      <c r="AJ302" s="552">
        <f t="shared" si="57"/>
        <v>2</v>
      </c>
      <c r="AK302" s="552">
        <f t="shared" si="57"/>
        <v>2</v>
      </c>
      <c r="AL302" s="552">
        <f t="shared" si="57"/>
        <v>2</v>
      </c>
      <c r="AM302" s="552">
        <f t="shared" si="57"/>
        <v>2</v>
      </c>
      <c r="AN302" s="552">
        <f t="shared" si="57"/>
        <v>2</v>
      </c>
      <c r="AO302" s="552">
        <f t="shared" si="57"/>
        <v>0</v>
      </c>
      <c r="AP302" s="552">
        <f t="shared" si="57"/>
        <v>2</v>
      </c>
      <c r="AQ302" s="552">
        <f t="shared" si="57"/>
        <v>1</v>
      </c>
      <c r="AR302" s="552">
        <f t="shared" si="57"/>
        <v>2</v>
      </c>
      <c r="AS302" s="552">
        <f t="shared" si="57"/>
        <v>0</v>
      </c>
      <c r="AT302" s="552">
        <f t="shared" si="57"/>
        <v>2</v>
      </c>
      <c r="AU302" s="552">
        <f t="shared" si="57"/>
        <v>2</v>
      </c>
      <c r="AV302" s="552">
        <f t="shared" si="57"/>
        <v>0</v>
      </c>
      <c r="AW302" s="552">
        <f t="shared" si="57"/>
        <v>0</v>
      </c>
      <c r="AX302" s="552">
        <f t="shared" si="57"/>
        <v>2</v>
      </c>
      <c r="AY302" s="552">
        <f t="shared" si="57"/>
        <v>2</v>
      </c>
      <c r="AZ302" s="552">
        <f t="shared" si="57"/>
        <v>0</v>
      </c>
      <c r="BA302" s="552">
        <f t="shared" si="57"/>
        <v>2</v>
      </c>
      <c r="BB302" s="552">
        <f t="shared" si="57"/>
        <v>2</v>
      </c>
      <c r="BC302" s="552">
        <f t="shared" si="57"/>
        <v>0</v>
      </c>
      <c r="BD302" s="552">
        <f t="shared" si="57"/>
        <v>2</v>
      </c>
      <c r="BE302" s="552">
        <f t="shared" si="57"/>
        <v>1</v>
      </c>
      <c r="BF302" s="552">
        <f t="shared" si="57"/>
        <v>0</v>
      </c>
      <c r="BG302" s="552">
        <f t="shared" si="57"/>
        <v>0</v>
      </c>
      <c r="BH302" s="552">
        <f t="shared" si="57"/>
        <v>2</v>
      </c>
      <c r="BI302" s="552">
        <f t="shared" si="57"/>
        <v>2</v>
      </c>
      <c r="BJ302" s="552">
        <f t="shared" si="57"/>
        <v>2</v>
      </c>
      <c r="BK302" s="552">
        <f t="shared" si="57"/>
        <v>2</v>
      </c>
      <c r="BL302" s="552">
        <f t="shared" si="57"/>
        <v>2</v>
      </c>
      <c r="BM302" s="552">
        <f t="shared" si="57"/>
        <v>2</v>
      </c>
      <c r="BN302" s="552">
        <f t="shared" ref="BN302:BR302" si="58">BN250</f>
        <v>2</v>
      </c>
      <c r="BO302" s="552">
        <f t="shared" si="58"/>
        <v>2</v>
      </c>
      <c r="BP302" s="552">
        <f t="shared" si="58"/>
        <v>2</v>
      </c>
      <c r="BQ302" s="552">
        <f t="shared" si="58"/>
        <v>2</v>
      </c>
      <c r="BR302" s="552">
        <f t="shared" si="58"/>
        <v>2</v>
      </c>
      <c r="BS302" s="552">
        <f t="shared" ref="BS302:CA302" si="59">BS250</f>
        <v>2</v>
      </c>
      <c r="BT302" s="552">
        <f t="shared" si="59"/>
        <v>2</v>
      </c>
      <c r="BU302" s="552">
        <f t="shared" si="59"/>
        <v>2</v>
      </c>
      <c r="BV302" s="552">
        <f t="shared" si="59"/>
        <v>0</v>
      </c>
      <c r="BW302" s="552">
        <f t="shared" si="59"/>
        <v>2</v>
      </c>
      <c r="BX302" s="552">
        <f t="shared" si="59"/>
        <v>2</v>
      </c>
      <c r="BY302" s="552">
        <f t="shared" si="59"/>
        <v>2</v>
      </c>
      <c r="BZ302" s="552">
        <f t="shared" si="59"/>
        <v>2</v>
      </c>
      <c r="CA302" s="552">
        <f t="shared" si="59"/>
        <v>2</v>
      </c>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row>
    <row r="303" spans="1:104" x14ac:dyDescent="0.3">
      <c r="A303" s="552">
        <f>A251</f>
        <v>1069</v>
      </c>
      <c r="B303" s="552" t="str">
        <f t="shared" ref="B303:BM303" si="60">B251</f>
        <v>If the unit is self-insured for employee health care, does the unit use a qualified consultant to establish rates and appropriate reserve levels?</v>
      </c>
      <c r="C303" s="552">
        <f t="shared" si="60"/>
        <v>0</v>
      </c>
      <c r="D303" s="552">
        <f t="shared" si="60"/>
        <v>3</v>
      </c>
      <c r="E303" s="552">
        <f t="shared" si="60"/>
        <v>3</v>
      </c>
      <c r="F303" s="552">
        <f t="shared" si="60"/>
        <v>0</v>
      </c>
      <c r="G303" s="552">
        <f t="shared" si="60"/>
        <v>2</v>
      </c>
      <c r="H303" s="552">
        <f t="shared" si="60"/>
        <v>3</v>
      </c>
      <c r="I303" s="552">
        <f t="shared" si="60"/>
        <v>2</v>
      </c>
      <c r="J303" s="552">
        <f t="shared" si="60"/>
        <v>3</v>
      </c>
      <c r="K303" s="552">
        <f t="shared" si="60"/>
        <v>3</v>
      </c>
      <c r="L303" s="552">
        <f t="shared" si="60"/>
        <v>3</v>
      </c>
      <c r="M303" s="552">
        <f t="shared" si="60"/>
        <v>0</v>
      </c>
      <c r="N303" s="552">
        <f t="shared" si="60"/>
        <v>2</v>
      </c>
      <c r="O303" s="552">
        <f t="shared" si="60"/>
        <v>0</v>
      </c>
      <c r="P303" s="552">
        <f t="shared" si="60"/>
        <v>3</v>
      </c>
      <c r="Q303" s="552">
        <f t="shared" si="60"/>
        <v>2</v>
      </c>
      <c r="R303" s="552">
        <f t="shared" si="60"/>
        <v>3</v>
      </c>
      <c r="S303" s="552">
        <f t="shared" si="60"/>
        <v>1</v>
      </c>
      <c r="T303" s="552">
        <f t="shared" si="60"/>
        <v>3</v>
      </c>
      <c r="U303" s="552">
        <f t="shared" si="60"/>
        <v>1</v>
      </c>
      <c r="V303" s="552">
        <f t="shared" si="60"/>
        <v>2</v>
      </c>
      <c r="W303" s="552">
        <f t="shared" si="60"/>
        <v>3</v>
      </c>
      <c r="X303" s="552">
        <f t="shared" si="60"/>
        <v>2</v>
      </c>
      <c r="Y303" s="552">
        <f t="shared" si="60"/>
        <v>3</v>
      </c>
      <c r="Z303" s="552">
        <f t="shared" si="60"/>
        <v>3</v>
      </c>
      <c r="AA303" s="552">
        <f t="shared" si="60"/>
        <v>0</v>
      </c>
      <c r="AB303" s="552">
        <f t="shared" si="60"/>
        <v>3</v>
      </c>
      <c r="AC303" s="552">
        <f t="shared" si="60"/>
        <v>3</v>
      </c>
      <c r="AD303" s="552">
        <f t="shared" si="60"/>
        <v>3</v>
      </c>
      <c r="AE303" s="552">
        <f t="shared" si="60"/>
        <v>3</v>
      </c>
      <c r="AF303" s="552">
        <f t="shared" si="60"/>
        <v>3</v>
      </c>
      <c r="AG303" s="552">
        <f t="shared" si="60"/>
        <v>3</v>
      </c>
      <c r="AH303" s="552">
        <f t="shared" si="60"/>
        <v>3</v>
      </c>
      <c r="AI303" s="552">
        <f t="shared" si="60"/>
        <v>3</v>
      </c>
      <c r="AJ303" s="552">
        <f t="shared" si="60"/>
        <v>3</v>
      </c>
      <c r="AK303" s="552">
        <f t="shared" si="60"/>
        <v>3</v>
      </c>
      <c r="AL303" s="552">
        <f t="shared" si="60"/>
        <v>3</v>
      </c>
      <c r="AM303" s="552">
        <f t="shared" si="60"/>
        <v>3</v>
      </c>
      <c r="AN303" s="552">
        <f t="shared" si="60"/>
        <v>3</v>
      </c>
      <c r="AO303" s="552">
        <f t="shared" si="60"/>
        <v>0</v>
      </c>
      <c r="AP303" s="552">
        <f t="shared" si="60"/>
        <v>3</v>
      </c>
      <c r="AQ303" s="552">
        <f t="shared" si="60"/>
        <v>1</v>
      </c>
      <c r="AR303" s="552">
        <f t="shared" si="60"/>
        <v>2</v>
      </c>
      <c r="AS303" s="552">
        <f t="shared" si="60"/>
        <v>0</v>
      </c>
      <c r="AT303" s="552">
        <f t="shared" si="60"/>
        <v>3</v>
      </c>
      <c r="AU303" s="552">
        <f t="shared" si="60"/>
        <v>2</v>
      </c>
      <c r="AV303" s="552">
        <f t="shared" si="60"/>
        <v>0</v>
      </c>
      <c r="AW303" s="552">
        <f t="shared" si="60"/>
        <v>0</v>
      </c>
      <c r="AX303" s="552">
        <f t="shared" si="60"/>
        <v>3</v>
      </c>
      <c r="AY303" s="552">
        <f t="shared" si="60"/>
        <v>3</v>
      </c>
      <c r="AZ303" s="552">
        <f t="shared" si="60"/>
        <v>0</v>
      </c>
      <c r="BA303" s="552">
        <f t="shared" si="60"/>
        <v>3</v>
      </c>
      <c r="BB303" s="552">
        <f t="shared" si="60"/>
        <v>3</v>
      </c>
      <c r="BC303" s="552">
        <f t="shared" si="60"/>
        <v>0</v>
      </c>
      <c r="BD303" s="552">
        <f t="shared" si="60"/>
        <v>3</v>
      </c>
      <c r="BE303" s="552">
        <f t="shared" si="60"/>
        <v>1</v>
      </c>
      <c r="BF303" s="552">
        <f t="shared" si="60"/>
        <v>0</v>
      </c>
      <c r="BG303" s="552">
        <f t="shared" si="60"/>
        <v>0</v>
      </c>
      <c r="BH303" s="552">
        <f t="shared" si="60"/>
        <v>3</v>
      </c>
      <c r="BI303" s="552">
        <f t="shared" si="60"/>
        <v>3</v>
      </c>
      <c r="BJ303" s="552">
        <f t="shared" si="60"/>
        <v>3</v>
      </c>
      <c r="BK303" s="552">
        <f t="shared" si="60"/>
        <v>3</v>
      </c>
      <c r="BL303" s="552">
        <f t="shared" si="60"/>
        <v>2</v>
      </c>
      <c r="BM303" s="552">
        <f t="shared" si="60"/>
        <v>2</v>
      </c>
      <c r="BN303" s="552">
        <f t="shared" ref="BN303:BR303" si="61">BN251</f>
        <v>2</v>
      </c>
      <c r="BO303" s="552">
        <f t="shared" si="61"/>
        <v>3</v>
      </c>
      <c r="BP303" s="552">
        <f t="shared" si="61"/>
        <v>3</v>
      </c>
      <c r="BQ303" s="552">
        <f t="shared" si="61"/>
        <v>3</v>
      </c>
      <c r="BR303" s="552">
        <f t="shared" si="61"/>
        <v>3</v>
      </c>
      <c r="BS303" s="552">
        <f t="shared" ref="BS303:CA303" si="62">BS251</f>
        <v>3</v>
      </c>
      <c r="BT303" s="552">
        <f t="shared" si="62"/>
        <v>2</v>
      </c>
      <c r="BU303" s="552">
        <f t="shared" si="62"/>
        <v>3</v>
      </c>
      <c r="BV303" s="552">
        <f t="shared" si="62"/>
        <v>0</v>
      </c>
      <c r="BW303" s="552">
        <f t="shared" si="62"/>
        <v>3</v>
      </c>
      <c r="BX303" s="552">
        <f t="shared" si="62"/>
        <v>2</v>
      </c>
      <c r="BY303" s="552">
        <f t="shared" si="62"/>
        <v>3</v>
      </c>
      <c r="BZ303" s="552">
        <f t="shared" si="62"/>
        <v>3</v>
      </c>
      <c r="CA303" s="552">
        <f t="shared" si="62"/>
        <v>3</v>
      </c>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row>
    <row r="304" spans="1:104" x14ac:dyDescent="0.3">
      <c r="A304" s="552">
        <f>A252</f>
        <v>1070</v>
      </c>
      <c r="B304" s="552" t="str">
        <f t="shared" ref="B304:BM304" si="63">B252</f>
        <v>Does the Unit have a non-state administrered pension plan?</v>
      </c>
      <c r="C304" s="552">
        <f t="shared" si="63"/>
        <v>0</v>
      </c>
      <c r="D304" s="552">
        <f t="shared" si="63"/>
        <v>2</v>
      </c>
      <c r="E304" s="552">
        <f t="shared" si="63"/>
        <v>2</v>
      </c>
      <c r="F304" s="552">
        <f t="shared" si="63"/>
        <v>0</v>
      </c>
      <c r="G304" s="552">
        <f t="shared" si="63"/>
        <v>2</v>
      </c>
      <c r="H304" s="552">
        <f t="shared" si="63"/>
        <v>2</v>
      </c>
      <c r="I304" s="552">
        <f t="shared" si="63"/>
        <v>2</v>
      </c>
      <c r="J304" s="552">
        <f t="shared" si="63"/>
        <v>2</v>
      </c>
      <c r="K304" s="552">
        <f t="shared" si="63"/>
        <v>2</v>
      </c>
      <c r="L304" s="552">
        <f t="shared" si="63"/>
        <v>2</v>
      </c>
      <c r="M304" s="552">
        <f t="shared" si="63"/>
        <v>0</v>
      </c>
      <c r="N304" s="552">
        <f t="shared" si="63"/>
        <v>2</v>
      </c>
      <c r="O304" s="552">
        <f t="shared" si="63"/>
        <v>0</v>
      </c>
      <c r="P304" s="552">
        <f t="shared" si="63"/>
        <v>2</v>
      </c>
      <c r="Q304" s="552">
        <f t="shared" si="63"/>
        <v>1</v>
      </c>
      <c r="R304" s="552">
        <f t="shared" si="63"/>
        <v>2</v>
      </c>
      <c r="S304" s="552">
        <f t="shared" si="63"/>
        <v>2</v>
      </c>
      <c r="T304" s="552">
        <f t="shared" si="63"/>
        <v>2</v>
      </c>
      <c r="U304" s="552">
        <f t="shared" si="63"/>
        <v>2</v>
      </c>
      <c r="V304" s="552">
        <f t="shared" si="63"/>
        <v>2</v>
      </c>
      <c r="W304" s="552">
        <f t="shared" si="63"/>
        <v>2</v>
      </c>
      <c r="X304" s="552">
        <f t="shared" si="63"/>
        <v>2</v>
      </c>
      <c r="Y304" s="552">
        <f t="shared" si="63"/>
        <v>2</v>
      </c>
      <c r="Z304" s="552">
        <f t="shared" si="63"/>
        <v>2</v>
      </c>
      <c r="AA304" s="552">
        <f t="shared" si="63"/>
        <v>0</v>
      </c>
      <c r="AB304" s="552">
        <f t="shared" si="63"/>
        <v>2</v>
      </c>
      <c r="AC304" s="552">
        <f t="shared" si="63"/>
        <v>2</v>
      </c>
      <c r="AD304" s="552">
        <f t="shared" si="63"/>
        <v>2</v>
      </c>
      <c r="AE304" s="552">
        <f t="shared" si="63"/>
        <v>2</v>
      </c>
      <c r="AF304" s="552">
        <f t="shared" si="63"/>
        <v>2</v>
      </c>
      <c r="AG304" s="552">
        <f t="shared" si="63"/>
        <v>2</v>
      </c>
      <c r="AH304" s="552">
        <f t="shared" si="63"/>
        <v>2</v>
      </c>
      <c r="AI304" s="552">
        <f t="shared" si="63"/>
        <v>2</v>
      </c>
      <c r="AJ304" s="552">
        <f t="shared" si="63"/>
        <v>2</v>
      </c>
      <c r="AK304" s="552">
        <f t="shared" si="63"/>
        <v>2</v>
      </c>
      <c r="AL304" s="552">
        <f t="shared" si="63"/>
        <v>2</v>
      </c>
      <c r="AM304" s="552">
        <f t="shared" si="63"/>
        <v>2</v>
      </c>
      <c r="AN304" s="552">
        <f t="shared" si="63"/>
        <v>2</v>
      </c>
      <c r="AO304" s="552">
        <f t="shared" si="63"/>
        <v>0</v>
      </c>
      <c r="AP304" s="552">
        <f t="shared" si="63"/>
        <v>2</v>
      </c>
      <c r="AQ304" s="552">
        <f t="shared" si="63"/>
        <v>2</v>
      </c>
      <c r="AR304" s="552">
        <f t="shared" si="63"/>
        <v>2</v>
      </c>
      <c r="AS304" s="552">
        <f t="shared" si="63"/>
        <v>0</v>
      </c>
      <c r="AT304" s="552">
        <f t="shared" si="63"/>
        <v>2</v>
      </c>
      <c r="AU304" s="552">
        <f t="shared" si="63"/>
        <v>2</v>
      </c>
      <c r="AV304" s="552">
        <f t="shared" si="63"/>
        <v>0</v>
      </c>
      <c r="AW304" s="552">
        <f t="shared" si="63"/>
        <v>0</v>
      </c>
      <c r="AX304" s="552">
        <f t="shared" si="63"/>
        <v>2</v>
      </c>
      <c r="AY304" s="552">
        <f t="shared" si="63"/>
        <v>2</v>
      </c>
      <c r="AZ304" s="552">
        <f t="shared" si="63"/>
        <v>0</v>
      </c>
      <c r="BA304" s="552">
        <f t="shared" si="63"/>
        <v>2</v>
      </c>
      <c r="BB304" s="552">
        <f t="shared" si="63"/>
        <v>2</v>
      </c>
      <c r="BC304" s="552">
        <f t="shared" si="63"/>
        <v>0</v>
      </c>
      <c r="BD304" s="552">
        <f t="shared" si="63"/>
        <v>2</v>
      </c>
      <c r="BE304" s="552">
        <f t="shared" si="63"/>
        <v>2</v>
      </c>
      <c r="BF304" s="552">
        <f t="shared" si="63"/>
        <v>0</v>
      </c>
      <c r="BG304" s="552">
        <f t="shared" si="63"/>
        <v>0</v>
      </c>
      <c r="BH304" s="552">
        <f t="shared" si="63"/>
        <v>2</v>
      </c>
      <c r="BI304" s="552">
        <f t="shared" si="63"/>
        <v>2</v>
      </c>
      <c r="BJ304" s="552">
        <f t="shared" si="63"/>
        <v>2</v>
      </c>
      <c r="BK304" s="552">
        <f t="shared" si="63"/>
        <v>2</v>
      </c>
      <c r="BL304" s="552">
        <f t="shared" si="63"/>
        <v>2</v>
      </c>
      <c r="BM304" s="552">
        <f t="shared" si="63"/>
        <v>2</v>
      </c>
      <c r="BN304" s="552">
        <f t="shared" ref="BN304:BR304" si="64">BN252</f>
        <v>2</v>
      </c>
      <c r="BO304" s="552">
        <f t="shared" si="64"/>
        <v>2</v>
      </c>
      <c r="BP304" s="552">
        <f t="shared" si="64"/>
        <v>2</v>
      </c>
      <c r="BQ304" s="552">
        <f t="shared" si="64"/>
        <v>2</v>
      </c>
      <c r="BR304" s="552">
        <f t="shared" si="64"/>
        <v>2</v>
      </c>
      <c r="BS304" s="552">
        <f t="shared" ref="BS304:CA304" si="65">BS252</f>
        <v>2</v>
      </c>
      <c r="BT304" s="552">
        <f t="shared" si="65"/>
        <v>2</v>
      </c>
      <c r="BU304" s="552">
        <f t="shared" si="65"/>
        <v>2</v>
      </c>
      <c r="BV304" s="552">
        <f t="shared" si="65"/>
        <v>0</v>
      </c>
      <c r="BW304" s="552">
        <f t="shared" si="65"/>
        <v>2</v>
      </c>
      <c r="BX304" s="552">
        <f t="shared" si="65"/>
        <v>2</v>
      </c>
      <c r="BY304" s="552">
        <f t="shared" si="65"/>
        <v>2</v>
      </c>
      <c r="BZ304" s="552">
        <f t="shared" si="65"/>
        <v>2</v>
      </c>
      <c r="CA304" s="552">
        <f t="shared" si="65"/>
        <v>2</v>
      </c>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row>
    <row r="305" spans="1:104" x14ac:dyDescent="0.3">
      <c r="A305" s="552">
        <f>A253</f>
        <v>1071</v>
      </c>
      <c r="B305" s="552" t="str">
        <f t="shared" ref="B305:BM305" si="66">B253</f>
        <v>Please list the amount of ARPA funds expended in total this fiscal year for non-capital purposes.  Enter "zero" if no ARPA funds expended for this fiscal year for non-capital purposes.</v>
      </c>
      <c r="C305" s="552">
        <f t="shared" si="66"/>
        <v>0</v>
      </c>
      <c r="D305" s="552">
        <f t="shared" si="66"/>
        <v>37307</v>
      </c>
      <c r="E305" s="552">
        <f t="shared" si="66"/>
        <v>3984827</v>
      </c>
      <c r="F305" s="552">
        <f t="shared" si="66"/>
        <v>0</v>
      </c>
      <c r="G305" s="552">
        <f t="shared" si="66"/>
        <v>0</v>
      </c>
      <c r="H305" s="552">
        <f t="shared" si="66"/>
        <v>1431311</v>
      </c>
      <c r="I305" s="552">
        <f t="shared" si="66"/>
        <v>57119</v>
      </c>
      <c r="J305" s="552">
        <f t="shared" si="66"/>
        <v>488564</v>
      </c>
      <c r="K305" s="552">
        <f t="shared" si="66"/>
        <v>505915</v>
      </c>
      <c r="L305" s="552">
        <f t="shared" si="66"/>
        <v>0</v>
      </c>
      <c r="M305" s="552">
        <f t="shared" si="66"/>
        <v>0</v>
      </c>
      <c r="N305" s="552">
        <f t="shared" si="66"/>
        <v>0</v>
      </c>
      <c r="O305" s="552">
        <f t="shared" si="66"/>
        <v>0</v>
      </c>
      <c r="P305" s="552">
        <f t="shared" si="66"/>
        <v>3929539</v>
      </c>
      <c r="Q305" s="552">
        <f t="shared" si="66"/>
        <v>2363588</v>
      </c>
      <c r="R305" s="552">
        <f t="shared" si="66"/>
        <v>0</v>
      </c>
      <c r="S305" s="552">
        <f t="shared" si="66"/>
        <v>1749968</v>
      </c>
      <c r="T305" s="552">
        <f t="shared" si="66"/>
        <v>0</v>
      </c>
      <c r="U305" s="552">
        <f t="shared" si="66"/>
        <v>3828497</v>
      </c>
      <c r="V305" s="552">
        <f t="shared" si="66"/>
        <v>0</v>
      </c>
      <c r="W305" s="552">
        <f t="shared" si="66"/>
        <v>1138069</v>
      </c>
      <c r="X305" s="552">
        <f t="shared" si="66"/>
        <v>4915742</v>
      </c>
      <c r="Y305" s="552">
        <f t="shared" si="66"/>
        <v>321931</v>
      </c>
      <c r="Z305" s="552">
        <f t="shared" si="66"/>
        <v>0</v>
      </c>
      <c r="AA305" s="552">
        <f t="shared" si="66"/>
        <v>0</v>
      </c>
      <c r="AB305" s="552">
        <f t="shared" si="66"/>
        <v>448661</v>
      </c>
      <c r="AC305" s="552">
        <f t="shared" si="66"/>
        <v>13385</v>
      </c>
      <c r="AD305" s="552">
        <f t="shared" si="66"/>
        <v>223088</v>
      </c>
      <c r="AE305" s="552">
        <f t="shared" si="66"/>
        <v>569375</v>
      </c>
      <c r="AF305" s="552">
        <f t="shared" si="66"/>
        <v>24380</v>
      </c>
      <c r="AG305" s="552">
        <f t="shared" si="66"/>
        <v>16891</v>
      </c>
      <c r="AH305" s="552">
        <f t="shared" si="66"/>
        <v>1883</v>
      </c>
      <c r="AI305" s="552">
        <f t="shared" si="66"/>
        <v>0</v>
      </c>
      <c r="AJ305" s="552">
        <f t="shared" si="66"/>
        <v>2408741</v>
      </c>
      <c r="AK305" s="552">
        <f t="shared" si="66"/>
        <v>0</v>
      </c>
      <c r="AL305" s="552">
        <f t="shared" si="66"/>
        <v>17528</v>
      </c>
      <c r="AM305" s="552">
        <f t="shared" si="66"/>
        <v>3980481</v>
      </c>
      <c r="AN305" s="552">
        <f t="shared" si="66"/>
        <v>401918</v>
      </c>
      <c r="AO305" s="552">
        <f t="shared" si="66"/>
        <v>0</v>
      </c>
      <c r="AP305" s="552">
        <f t="shared" si="66"/>
        <v>1105603</v>
      </c>
      <c r="AQ305" s="552">
        <f t="shared" si="66"/>
        <v>6033899</v>
      </c>
      <c r="AR305" s="552">
        <f t="shared" si="66"/>
        <v>215686</v>
      </c>
      <c r="AS305" s="552">
        <f t="shared" si="66"/>
        <v>0</v>
      </c>
      <c r="AT305" s="552">
        <f t="shared" si="66"/>
        <v>1165477</v>
      </c>
      <c r="AU305" s="552">
        <f t="shared" si="66"/>
        <v>2784706</v>
      </c>
      <c r="AV305" s="552">
        <f t="shared" si="66"/>
        <v>0</v>
      </c>
      <c r="AW305" s="552">
        <f t="shared" si="66"/>
        <v>0</v>
      </c>
      <c r="AX305" s="552">
        <f t="shared" si="66"/>
        <v>658995</v>
      </c>
      <c r="AY305" s="552">
        <f t="shared" si="66"/>
        <v>1571178</v>
      </c>
      <c r="AZ305" s="552">
        <f t="shared" si="66"/>
        <v>0</v>
      </c>
      <c r="BA305" s="552">
        <f t="shared" si="66"/>
        <v>0</v>
      </c>
      <c r="BB305" s="552">
        <f t="shared" si="66"/>
        <v>465014</v>
      </c>
      <c r="BC305" s="552">
        <f t="shared" si="66"/>
        <v>0</v>
      </c>
      <c r="BD305" s="552">
        <f t="shared" si="66"/>
        <v>15000</v>
      </c>
      <c r="BE305" s="552">
        <f t="shared" si="66"/>
        <v>3334058</v>
      </c>
      <c r="BF305" s="552">
        <f t="shared" si="66"/>
        <v>0</v>
      </c>
      <c r="BG305" s="552">
        <f t="shared" si="66"/>
        <v>0</v>
      </c>
      <c r="BH305" s="552">
        <f t="shared" si="66"/>
        <v>337182</v>
      </c>
      <c r="BI305" s="552">
        <f t="shared" si="66"/>
        <v>0</v>
      </c>
      <c r="BJ305" s="552">
        <f t="shared" si="66"/>
        <v>159358</v>
      </c>
      <c r="BK305" s="552">
        <f t="shared" si="66"/>
        <v>548638</v>
      </c>
      <c r="BL305" s="552">
        <f t="shared" si="66"/>
        <v>0</v>
      </c>
      <c r="BM305" s="552">
        <f t="shared" si="66"/>
        <v>0</v>
      </c>
      <c r="BN305" s="552">
        <f t="shared" ref="BN305:BR305" si="67">BN253</f>
        <v>555055</v>
      </c>
      <c r="BO305" s="552">
        <f t="shared" si="67"/>
        <v>404135</v>
      </c>
      <c r="BP305" s="552">
        <f t="shared" si="67"/>
        <v>144689</v>
      </c>
      <c r="BQ305" s="552">
        <f t="shared" si="67"/>
        <v>852293</v>
      </c>
      <c r="BR305" s="552">
        <f t="shared" si="67"/>
        <v>0</v>
      </c>
      <c r="BS305" s="552">
        <f t="shared" ref="BS305:CA305" si="68">BS253</f>
        <v>5280498</v>
      </c>
      <c r="BT305" s="552">
        <f t="shared" si="68"/>
        <v>0</v>
      </c>
      <c r="BU305" s="552">
        <f t="shared" si="68"/>
        <v>142243</v>
      </c>
      <c r="BV305" s="552">
        <f t="shared" si="68"/>
        <v>0</v>
      </c>
      <c r="BW305" s="552">
        <f t="shared" si="68"/>
        <v>107242</v>
      </c>
      <c r="BX305" s="552">
        <f t="shared" si="68"/>
        <v>0</v>
      </c>
      <c r="BY305" s="552">
        <f t="shared" si="68"/>
        <v>111</v>
      </c>
      <c r="BZ305" s="552">
        <f t="shared" si="68"/>
        <v>2016944</v>
      </c>
      <c r="CA305" s="552">
        <f t="shared" si="68"/>
        <v>33065</v>
      </c>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row>
    <row r="306" spans="1:104" s="180" customFormat="1" x14ac:dyDescent="0.3">
      <c r="A306" s="155">
        <f>A230</f>
        <v>995</v>
      </c>
      <c r="B306" s="155" t="str">
        <f t="shared" ref="B306:BM306" si="69">B230</f>
        <v>Units with Electric Operations have $.07, $.08, $.09</v>
      </c>
      <c r="C306" s="155">
        <f t="shared" si="69"/>
        <v>0</v>
      </c>
      <c r="D306" s="155">
        <f t="shared" si="69"/>
        <v>0</v>
      </c>
      <c r="E306" s="155">
        <f t="shared" si="69"/>
        <v>0</v>
      </c>
      <c r="F306" s="155">
        <f t="shared" si="69"/>
        <v>0</v>
      </c>
      <c r="G306" s="155">
        <f t="shared" si="69"/>
        <v>0</v>
      </c>
      <c r="H306" s="155">
        <f t="shared" si="69"/>
        <v>0</v>
      </c>
      <c r="I306" s="155">
        <f t="shared" si="69"/>
        <v>0</v>
      </c>
      <c r="J306" s="155">
        <f t="shared" si="69"/>
        <v>0</v>
      </c>
      <c r="K306" s="155">
        <f t="shared" si="69"/>
        <v>0</v>
      </c>
      <c r="L306" s="155">
        <f t="shared" si="69"/>
        <v>0</v>
      </c>
      <c r="M306" s="155">
        <f t="shared" si="69"/>
        <v>0</v>
      </c>
      <c r="N306" s="155">
        <f t="shared" si="69"/>
        <v>0</v>
      </c>
      <c r="O306" s="155">
        <f t="shared" si="69"/>
        <v>0</v>
      </c>
      <c r="P306" s="155">
        <f t="shared" si="69"/>
        <v>0</v>
      </c>
      <c r="Q306" s="155">
        <f t="shared" si="69"/>
        <v>0</v>
      </c>
      <c r="R306" s="155">
        <f t="shared" si="69"/>
        <v>0</v>
      </c>
      <c r="S306" s="155">
        <f t="shared" si="69"/>
        <v>0.09</v>
      </c>
      <c r="T306" s="155">
        <f t="shared" si="69"/>
        <v>0</v>
      </c>
      <c r="U306" s="155">
        <f t="shared" si="69"/>
        <v>0.08</v>
      </c>
      <c r="V306" s="155">
        <f t="shared" si="69"/>
        <v>0</v>
      </c>
      <c r="W306" s="155">
        <f t="shared" si="69"/>
        <v>0</v>
      </c>
      <c r="X306" s="155">
        <f t="shared" si="69"/>
        <v>0</v>
      </c>
      <c r="Y306" s="155">
        <f t="shared" si="69"/>
        <v>0</v>
      </c>
      <c r="Z306" s="155">
        <f t="shared" si="69"/>
        <v>0.08</v>
      </c>
      <c r="AA306" s="155">
        <f t="shared" si="69"/>
        <v>0</v>
      </c>
      <c r="AB306" s="155">
        <f t="shared" si="69"/>
        <v>0</v>
      </c>
      <c r="AC306" s="155">
        <f t="shared" si="69"/>
        <v>0</v>
      </c>
      <c r="AD306" s="155">
        <f t="shared" si="69"/>
        <v>0</v>
      </c>
      <c r="AE306" s="155">
        <f t="shared" si="69"/>
        <v>7.0000000000000007E-2</v>
      </c>
      <c r="AF306" s="155">
        <f t="shared" si="69"/>
        <v>0</v>
      </c>
      <c r="AG306" s="155">
        <f t="shared" si="69"/>
        <v>0</v>
      </c>
      <c r="AH306" s="155">
        <f t="shared" si="69"/>
        <v>0</v>
      </c>
      <c r="AI306" s="155">
        <f t="shared" si="69"/>
        <v>0</v>
      </c>
      <c r="AJ306" s="155">
        <f t="shared" si="69"/>
        <v>0.08</v>
      </c>
      <c r="AK306" s="155">
        <f t="shared" si="69"/>
        <v>0</v>
      </c>
      <c r="AL306" s="155">
        <f t="shared" si="69"/>
        <v>0</v>
      </c>
      <c r="AM306" s="155">
        <f t="shared" si="69"/>
        <v>0</v>
      </c>
      <c r="AN306" s="155">
        <f t="shared" si="69"/>
        <v>0</v>
      </c>
      <c r="AO306" s="155">
        <f t="shared" si="69"/>
        <v>0</v>
      </c>
      <c r="AP306" s="155">
        <f t="shared" si="69"/>
        <v>0</v>
      </c>
      <c r="AQ306" s="155">
        <f t="shared" si="69"/>
        <v>7.0000000000000007E-2</v>
      </c>
      <c r="AR306" s="155">
        <f t="shared" si="69"/>
        <v>0</v>
      </c>
      <c r="AS306" s="155">
        <f t="shared" si="69"/>
        <v>0</v>
      </c>
      <c r="AT306" s="155">
        <f t="shared" si="69"/>
        <v>0</v>
      </c>
      <c r="AU306" s="155">
        <f t="shared" si="69"/>
        <v>7.0000000000000007E-2</v>
      </c>
      <c r="AV306" s="155">
        <f t="shared" si="69"/>
        <v>0</v>
      </c>
      <c r="AW306" s="155">
        <f t="shared" si="69"/>
        <v>0</v>
      </c>
      <c r="AX306" s="155">
        <f t="shared" si="69"/>
        <v>0</v>
      </c>
      <c r="AY306" s="155">
        <f t="shared" si="69"/>
        <v>0</v>
      </c>
      <c r="AZ306" s="155">
        <f t="shared" si="69"/>
        <v>0.08</v>
      </c>
      <c r="BA306" s="155">
        <f t="shared" si="69"/>
        <v>0</v>
      </c>
      <c r="BB306" s="155">
        <f t="shared" si="69"/>
        <v>0</v>
      </c>
      <c r="BC306" s="155">
        <f t="shared" si="69"/>
        <v>0.09</v>
      </c>
      <c r="BD306" s="155">
        <f t="shared" si="69"/>
        <v>0</v>
      </c>
      <c r="BE306" s="155">
        <f t="shared" si="69"/>
        <v>0.08</v>
      </c>
      <c r="BF306" s="155">
        <f t="shared" si="69"/>
        <v>0.09</v>
      </c>
      <c r="BG306" s="155">
        <f t="shared" si="69"/>
        <v>0</v>
      </c>
      <c r="BH306" s="155">
        <f t="shared" si="69"/>
        <v>0</v>
      </c>
      <c r="BI306" s="155">
        <f t="shared" si="69"/>
        <v>0</v>
      </c>
      <c r="BJ306" s="155">
        <f t="shared" si="69"/>
        <v>0</v>
      </c>
      <c r="BK306" s="155">
        <f t="shared" si="69"/>
        <v>7.0000000000000007E-2</v>
      </c>
      <c r="BL306" s="155">
        <f t="shared" si="69"/>
        <v>0</v>
      </c>
      <c r="BM306" s="155">
        <f t="shared" si="69"/>
        <v>0</v>
      </c>
      <c r="BN306" s="155">
        <f t="shared" ref="BN306:BR306" si="70">BN230</f>
        <v>0</v>
      </c>
      <c r="BO306" s="155">
        <f t="shared" si="70"/>
        <v>0</v>
      </c>
      <c r="BP306" s="155">
        <f t="shared" si="70"/>
        <v>0</v>
      </c>
      <c r="BQ306" s="155">
        <f t="shared" si="70"/>
        <v>0</v>
      </c>
      <c r="BR306" s="155">
        <f t="shared" si="70"/>
        <v>0</v>
      </c>
      <c r="BS306" s="155">
        <f t="shared" ref="BS306:CA306" si="71">BS230</f>
        <v>0</v>
      </c>
      <c r="BT306" s="155">
        <f t="shared" si="71"/>
        <v>0</v>
      </c>
      <c r="BU306" s="155">
        <f t="shared" si="71"/>
        <v>0</v>
      </c>
      <c r="BV306" s="155">
        <f t="shared" si="71"/>
        <v>0</v>
      </c>
      <c r="BW306" s="155">
        <f t="shared" si="71"/>
        <v>0</v>
      </c>
      <c r="BX306" s="155">
        <f t="shared" si="71"/>
        <v>0</v>
      </c>
      <c r="BY306" s="155">
        <f t="shared" si="71"/>
        <v>0</v>
      </c>
      <c r="BZ306" s="155">
        <f t="shared" si="71"/>
        <v>0</v>
      </c>
      <c r="CA306" s="155">
        <f t="shared" si="71"/>
        <v>0</v>
      </c>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row>
    <row r="307" spans="1:104" s="180" customFormat="1" x14ac:dyDescent="0.3">
      <c r="A307" s="155">
        <f>A231</f>
        <v>996</v>
      </c>
      <c r="B307" s="155" t="str">
        <f t="shared" ref="B307:BM308" si="72">B231</f>
        <v>Units with Water Sewer Operations have $.01</v>
      </c>
      <c r="C307" s="155">
        <f t="shared" si="72"/>
        <v>0</v>
      </c>
      <c r="D307" s="155">
        <f t="shared" si="72"/>
        <v>0</v>
      </c>
      <c r="E307" s="155">
        <f t="shared" si="72"/>
        <v>0</v>
      </c>
      <c r="F307" s="155">
        <f t="shared" si="72"/>
        <v>0.01</v>
      </c>
      <c r="G307" s="155">
        <f t="shared" si="72"/>
        <v>0.01</v>
      </c>
      <c r="H307" s="155">
        <f t="shared" si="72"/>
        <v>0.01</v>
      </c>
      <c r="I307" s="155">
        <f t="shared" si="72"/>
        <v>0.01</v>
      </c>
      <c r="J307" s="155">
        <f t="shared" si="72"/>
        <v>0.01</v>
      </c>
      <c r="K307" s="155">
        <f t="shared" si="72"/>
        <v>0.01</v>
      </c>
      <c r="L307" s="155">
        <f t="shared" si="72"/>
        <v>0.01</v>
      </c>
      <c r="M307" s="155">
        <f t="shared" si="72"/>
        <v>0</v>
      </c>
      <c r="N307" s="155">
        <f t="shared" si="72"/>
        <v>0.01</v>
      </c>
      <c r="O307" s="155">
        <f t="shared" si="72"/>
        <v>0.01</v>
      </c>
      <c r="P307" s="155">
        <f t="shared" si="72"/>
        <v>0</v>
      </c>
      <c r="Q307" s="155">
        <f t="shared" si="72"/>
        <v>0.01</v>
      </c>
      <c r="R307" s="155">
        <f t="shared" si="72"/>
        <v>0.01</v>
      </c>
      <c r="S307" s="155">
        <f t="shared" si="72"/>
        <v>0.01</v>
      </c>
      <c r="T307" s="155">
        <f t="shared" si="72"/>
        <v>0.01</v>
      </c>
      <c r="U307" s="155">
        <f t="shared" si="72"/>
        <v>0.01</v>
      </c>
      <c r="V307" s="155">
        <f t="shared" si="72"/>
        <v>0</v>
      </c>
      <c r="W307" s="155">
        <f t="shared" si="72"/>
        <v>0</v>
      </c>
      <c r="X307" s="155">
        <f t="shared" si="72"/>
        <v>0</v>
      </c>
      <c r="Y307" s="155">
        <f t="shared" si="72"/>
        <v>0.01</v>
      </c>
      <c r="Z307" s="155">
        <f t="shared" si="72"/>
        <v>0.01</v>
      </c>
      <c r="AA307" s="155">
        <f t="shared" si="72"/>
        <v>0.01</v>
      </c>
      <c r="AB307" s="155">
        <f t="shared" si="72"/>
        <v>0</v>
      </c>
      <c r="AC307" s="155">
        <f t="shared" si="72"/>
        <v>0.01</v>
      </c>
      <c r="AD307" s="155">
        <f t="shared" si="72"/>
        <v>0.01</v>
      </c>
      <c r="AE307" s="155">
        <f t="shared" si="72"/>
        <v>0.01</v>
      </c>
      <c r="AF307" s="155">
        <f t="shared" si="72"/>
        <v>0.01</v>
      </c>
      <c r="AG307" s="155">
        <f t="shared" si="72"/>
        <v>0</v>
      </c>
      <c r="AH307" s="155">
        <f t="shared" si="72"/>
        <v>0</v>
      </c>
      <c r="AI307" s="155">
        <f t="shared" si="72"/>
        <v>0</v>
      </c>
      <c r="AJ307" s="155">
        <f t="shared" si="72"/>
        <v>0.01</v>
      </c>
      <c r="AK307" s="155">
        <f t="shared" si="72"/>
        <v>0.01</v>
      </c>
      <c r="AL307" s="155">
        <f t="shared" si="72"/>
        <v>0</v>
      </c>
      <c r="AM307" s="155">
        <f t="shared" si="72"/>
        <v>0</v>
      </c>
      <c r="AN307" s="155">
        <f t="shared" si="72"/>
        <v>0.01</v>
      </c>
      <c r="AO307" s="155">
        <f t="shared" si="72"/>
        <v>0.01</v>
      </c>
      <c r="AP307" s="155">
        <f t="shared" si="72"/>
        <v>0</v>
      </c>
      <c r="AQ307" s="565">
        <v>0</v>
      </c>
      <c r="AR307" s="155">
        <f t="shared" si="72"/>
        <v>0.01</v>
      </c>
      <c r="AS307" s="155">
        <f t="shared" si="72"/>
        <v>0.01</v>
      </c>
      <c r="AT307" s="155">
        <f t="shared" si="72"/>
        <v>0.01</v>
      </c>
      <c r="AU307" s="155">
        <f t="shared" si="72"/>
        <v>0.01</v>
      </c>
      <c r="AV307" s="155">
        <f t="shared" si="72"/>
        <v>0.01</v>
      </c>
      <c r="AW307" s="155">
        <f t="shared" si="72"/>
        <v>0.01</v>
      </c>
      <c r="AX307" s="155">
        <f t="shared" si="72"/>
        <v>0.01</v>
      </c>
      <c r="AY307" s="155">
        <f t="shared" si="72"/>
        <v>0.01</v>
      </c>
      <c r="AZ307" s="155">
        <f t="shared" si="72"/>
        <v>0.01</v>
      </c>
      <c r="BA307" s="155">
        <f t="shared" si="72"/>
        <v>0.01</v>
      </c>
      <c r="BB307" s="155">
        <f t="shared" si="72"/>
        <v>0.01</v>
      </c>
      <c r="BC307" s="155">
        <f t="shared" si="72"/>
        <v>0.01</v>
      </c>
      <c r="BD307" s="155">
        <f t="shared" si="72"/>
        <v>0</v>
      </c>
      <c r="BE307" s="155">
        <f t="shared" si="72"/>
        <v>0.01</v>
      </c>
      <c r="BF307" s="155">
        <f t="shared" si="72"/>
        <v>0.01</v>
      </c>
      <c r="BG307" s="155">
        <f t="shared" si="72"/>
        <v>0</v>
      </c>
      <c r="BH307" s="155">
        <f t="shared" si="72"/>
        <v>0.01</v>
      </c>
      <c r="BI307" s="155">
        <f t="shared" si="72"/>
        <v>0.01</v>
      </c>
      <c r="BJ307" s="155">
        <f t="shared" si="72"/>
        <v>0.01</v>
      </c>
      <c r="BK307" s="155">
        <f t="shared" si="72"/>
        <v>0.01</v>
      </c>
      <c r="BL307" s="155">
        <f t="shared" si="72"/>
        <v>0.01</v>
      </c>
      <c r="BM307" s="155">
        <f t="shared" si="72"/>
        <v>0</v>
      </c>
      <c r="BN307" s="155">
        <f t="shared" ref="BN307:BR309" si="73">BN231</f>
        <v>0.01</v>
      </c>
      <c r="BO307" s="155">
        <f t="shared" si="73"/>
        <v>0.01</v>
      </c>
      <c r="BP307" s="155">
        <f t="shared" si="73"/>
        <v>0.01</v>
      </c>
      <c r="BQ307" s="155">
        <f t="shared" si="73"/>
        <v>0.01</v>
      </c>
      <c r="BR307" s="155">
        <f t="shared" si="73"/>
        <v>0</v>
      </c>
      <c r="BS307" s="155">
        <f t="shared" ref="BS307:CA307" si="74">BS231</f>
        <v>0</v>
      </c>
      <c r="BT307" s="155">
        <f t="shared" si="74"/>
        <v>0.01</v>
      </c>
      <c r="BU307" s="155">
        <f t="shared" si="74"/>
        <v>0.01</v>
      </c>
      <c r="BV307" s="155">
        <f t="shared" si="74"/>
        <v>0.01</v>
      </c>
      <c r="BW307" s="155">
        <f t="shared" si="74"/>
        <v>0.01</v>
      </c>
      <c r="BX307" s="155">
        <f t="shared" si="74"/>
        <v>0</v>
      </c>
      <c r="BY307" s="155">
        <f t="shared" si="74"/>
        <v>0</v>
      </c>
      <c r="BZ307" s="155">
        <f t="shared" si="74"/>
        <v>0.01</v>
      </c>
      <c r="CA307" s="155">
        <f t="shared" si="74"/>
        <v>0</v>
      </c>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row>
    <row r="308" spans="1:104" x14ac:dyDescent="0.3">
      <c r="A308" s="155">
        <f t="shared" ref="A308:P309" si="75">A232</f>
        <v>998</v>
      </c>
      <c r="B308" s="155" t="str">
        <f t="shared" si="75"/>
        <v>CCH Unit Type</v>
      </c>
      <c r="C308" s="155">
        <f t="shared" si="75"/>
        <v>0</v>
      </c>
      <c r="D308" s="155">
        <f t="shared" si="75"/>
        <v>50</v>
      </c>
      <c r="E308" s="155">
        <f t="shared" si="75"/>
        <v>50</v>
      </c>
      <c r="F308" s="155">
        <f t="shared" si="75"/>
        <v>50</v>
      </c>
      <c r="G308" s="155">
        <f t="shared" si="75"/>
        <v>50</v>
      </c>
      <c r="H308" s="155">
        <f t="shared" si="75"/>
        <v>50</v>
      </c>
      <c r="I308" s="155">
        <f t="shared" si="75"/>
        <v>50</v>
      </c>
      <c r="J308" s="155">
        <f t="shared" si="75"/>
        <v>50</v>
      </c>
      <c r="K308" s="155">
        <f t="shared" si="75"/>
        <v>50</v>
      </c>
      <c r="L308" s="155">
        <f t="shared" si="75"/>
        <v>50</v>
      </c>
      <c r="M308" s="155">
        <f t="shared" si="75"/>
        <v>50</v>
      </c>
      <c r="N308" s="155">
        <f t="shared" si="75"/>
        <v>50</v>
      </c>
      <c r="O308" s="155">
        <f t="shared" si="75"/>
        <v>50</v>
      </c>
      <c r="P308" s="155">
        <f t="shared" si="75"/>
        <v>50</v>
      </c>
      <c r="Q308" s="155">
        <f t="shared" si="72"/>
        <v>50</v>
      </c>
      <c r="R308" s="155">
        <f t="shared" si="72"/>
        <v>50</v>
      </c>
      <c r="S308" s="155">
        <f t="shared" si="72"/>
        <v>50</v>
      </c>
      <c r="T308" s="155">
        <f t="shared" si="72"/>
        <v>50</v>
      </c>
      <c r="U308" s="155">
        <f t="shared" si="72"/>
        <v>50</v>
      </c>
      <c r="V308" s="155">
        <f t="shared" si="72"/>
        <v>50</v>
      </c>
      <c r="W308" s="155">
        <f t="shared" si="72"/>
        <v>50</v>
      </c>
      <c r="X308" s="155">
        <f t="shared" si="72"/>
        <v>50</v>
      </c>
      <c r="Y308" s="155">
        <f t="shared" si="72"/>
        <v>50</v>
      </c>
      <c r="Z308" s="155">
        <f t="shared" si="72"/>
        <v>50</v>
      </c>
      <c r="AA308" s="155">
        <f t="shared" si="72"/>
        <v>50</v>
      </c>
      <c r="AB308" s="155">
        <f t="shared" si="72"/>
        <v>50</v>
      </c>
      <c r="AC308" s="155">
        <f t="shared" si="72"/>
        <v>50</v>
      </c>
      <c r="AD308" s="155">
        <f t="shared" si="72"/>
        <v>50</v>
      </c>
      <c r="AE308" s="155">
        <f t="shared" si="72"/>
        <v>50</v>
      </c>
      <c r="AF308" s="155">
        <f t="shared" si="72"/>
        <v>50</v>
      </c>
      <c r="AG308" s="155">
        <f t="shared" si="72"/>
        <v>50</v>
      </c>
      <c r="AH308" s="155">
        <f t="shared" si="72"/>
        <v>50</v>
      </c>
      <c r="AI308" s="155">
        <f t="shared" si="72"/>
        <v>50</v>
      </c>
      <c r="AJ308" s="155">
        <f t="shared" si="72"/>
        <v>50</v>
      </c>
      <c r="AK308" s="155">
        <f t="shared" si="72"/>
        <v>50</v>
      </c>
      <c r="AL308" s="155">
        <f t="shared" si="72"/>
        <v>50</v>
      </c>
      <c r="AM308" s="155">
        <f t="shared" si="72"/>
        <v>50</v>
      </c>
      <c r="AN308" s="155">
        <f t="shared" si="72"/>
        <v>50</v>
      </c>
      <c r="AO308" s="155">
        <f t="shared" si="72"/>
        <v>50</v>
      </c>
      <c r="AP308" s="155">
        <f t="shared" si="72"/>
        <v>50</v>
      </c>
      <c r="AQ308" s="155">
        <f t="shared" si="72"/>
        <v>50</v>
      </c>
      <c r="AR308" s="155">
        <f t="shared" si="72"/>
        <v>50</v>
      </c>
      <c r="AS308" s="155">
        <f t="shared" si="72"/>
        <v>50</v>
      </c>
      <c r="AT308" s="155">
        <f t="shared" si="72"/>
        <v>50</v>
      </c>
      <c r="AU308" s="155">
        <f t="shared" si="72"/>
        <v>50</v>
      </c>
      <c r="AV308" s="155">
        <f t="shared" si="72"/>
        <v>50</v>
      </c>
      <c r="AW308" s="155">
        <f t="shared" si="72"/>
        <v>50</v>
      </c>
      <c r="AX308" s="155">
        <f t="shared" si="72"/>
        <v>50</v>
      </c>
      <c r="AY308" s="155">
        <f t="shared" si="72"/>
        <v>50</v>
      </c>
      <c r="AZ308" s="155">
        <f t="shared" si="72"/>
        <v>50</v>
      </c>
      <c r="BA308" s="155">
        <f t="shared" si="72"/>
        <v>50</v>
      </c>
      <c r="BB308" s="155">
        <f t="shared" si="72"/>
        <v>50</v>
      </c>
      <c r="BC308" s="155">
        <f t="shared" si="72"/>
        <v>50</v>
      </c>
      <c r="BD308" s="155">
        <f t="shared" si="72"/>
        <v>50</v>
      </c>
      <c r="BE308" s="155">
        <f t="shared" si="72"/>
        <v>50</v>
      </c>
      <c r="BF308" s="155">
        <f t="shared" si="72"/>
        <v>50</v>
      </c>
      <c r="BG308" s="155">
        <f t="shared" si="72"/>
        <v>50</v>
      </c>
      <c r="BH308" s="155">
        <f t="shared" si="72"/>
        <v>50</v>
      </c>
      <c r="BI308" s="155">
        <f t="shared" si="72"/>
        <v>50</v>
      </c>
      <c r="BJ308" s="155">
        <f t="shared" si="72"/>
        <v>50</v>
      </c>
      <c r="BK308" s="155">
        <f t="shared" si="72"/>
        <v>50</v>
      </c>
      <c r="BL308" s="155">
        <f t="shared" si="72"/>
        <v>50</v>
      </c>
      <c r="BM308" s="155">
        <f t="shared" si="72"/>
        <v>50</v>
      </c>
      <c r="BN308" s="155">
        <f t="shared" si="73"/>
        <v>50</v>
      </c>
      <c r="BO308" s="155">
        <f t="shared" si="73"/>
        <v>50</v>
      </c>
      <c r="BP308" s="155">
        <f t="shared" si="73"/>
        <v>50</v>
      </c>
      <c r="BQ308" s="155">
        <f t="shared" si="73"/>
        <v>50</v>
      </c>
      <c r="BR308" s="155">
        <f t="shared" si="73"/>
        <v>50</v>
      </c>
      <c r="BS308" s="155">
        <f t="shared" ref="BS308:CA308" si="76">BS232</f>
        <v>50</v>
      </c>
      <c r="BT308" s="155">
        <f t="shared" si="76"/>
        <v>50</v>
      </c>
      <c r="BU308" s="155">
        <f t="shared" si="76"/>
        <v>50</v>
      </c>
      <c r="BV308" s="155">
        <f t="shared" si="76"/>
        <v>50</v>
      </c>
      <c r="BW308" s="155">
        <f t="shared" si="76"/>
        <v>50</v>
      </c>
      <c r="BX308" s="155">
        <f t="shared" si="76"/>
        <v>50</v>
      </c>
      <c r="BY308" s="155">
        <f t="shared" si="76"/>
        <v>50</v>
      </c>
      <c r="BZ308" s="155">
        <f t="shared" si="76"/>
        <v>50</v>
      </c>
      <c r="CA308" s="155">
        <f t="shared" si="76"/>
        <v>50</v>
      </c>
      <c r="CB308" s="556"/>
      <c r="CC308" s="556"/>
      <c r="CD308" s="556"/>
      <c r="CE308" s="556"/>
      <c r="CF308" s="556"/>
      <c r="CG308" s="556"/>
      <c r="CH308" s="556"/>
      <c r="CI308" s="556"/>
      <c r="CJ308" s="556"/>
      <c r="CK308" s="556"/>
      <c r="CL308" s="556"/>
      <c r="CM308" s="556"/>
      <c r="CN308" s="556"/>
      <c r="CO308" s="556"/>
      <c r="CP308" s="556"/>
      <c r="CQ308" s="556"/>
      <c r="CR308" s="556"/>
      <c r="CS308" s="556"/>
      <c r="CT308" s="556"/>
      <c r="CU308" s="556"/>
      <c r="CV308" s="556"/>
      <c r="CW308" s="556"/>
      <c r="CX308" s="556"/>
      <c r="CY308" s="556"/>
      <c r="CZ308" s="556"/>
    </row>
    <row r="309" spans="1:104" x14ac:dyDescent="0.3">
      <c r="A309" s="155">
        <f t="shared" si="75"/>
        <v>999</v>
      </c>
      <c r="B309" s="155" t="str">
        <f t="shared" ref="B309:BM309" si="77">B233</f>
        <v>CCH Unit Code</v>
      </c>
      <c r="C309" s="155">
        <f t="shared" si="77"/>
        <v>0</v>
      </c>
      <c r="D309" s="155">
        <f t="shared" si="77"/>
        <v>50476</v>
      </c>
      <c r="E309" s="155">
        <f t="shared" si="77"/>
        <v>50191</v>
      </c>
      <c r="F309" s="155">
        <f t="shared" si="77"/>
        <v>50192</v>
      </c>
      <c r="G309" s="155">
        <f t="shared" si="77"/>
        <v>50193</v>
      </c>
      <c r="H309" s="155">
        <f t="shared" si="77"/>
        <v>50194</v>
      </c>
      <c r="I309" s="155">
        <f t="shared" si="77"/>
        <v>50195</v>
      </c>
      <c r="J309" s="155">
        <f t="shared" si="77"/>
        <v>50196</v>
      </c>
      <c r="K309" s="155">
        <f t="shared" si="77"/>
        <v>50197</v>
      </c>
      <c r="L309" s="155">
        <f t="shared" si="77"/>
        <v>50498</v>
      </c>
      <c r="M309" s="155">
        <f t="shared" si="77"/>
        <v>50198</v>
      </c>
      <c r="N309" s="155">
        <f t="shared" si="77"/>
        <v>50199</v>
      </c>
      <c r="O309" s="155">
        <f t="shared" si="77"/>
        <v>50200</v>
      </c>
      <c r="P309" s="155">
        <f t="shared" si="77"/>
        <v>50201</v>
      </c>
      <c r="Q309" s="155">
        <f t="shared" si="77"/>
        <v>50202</v>
      </c>
      <c r="R309" s="155">
        <f t="shared" si="77"/>
        <v>50493</v>
      </c>
      <c r="S309" s="155">
        <f t="shared" si="77"/>
        <v>50203</v>
      </c>
      <c r="T309" s="155">
        <f t="shared" si="77"/>
        <v>50518</v>
      </c>
      <c r="U309" s="155">
        <f t="shared" si="77"/>
        <v>50204</v>
      </c>
      <c r="V309" s="155">
        <f t="shared" si="77"/>
        <v>50205</v>
      </c>
      <c r="W309" s="155">
        <f t="shared" si="77"/>
        <v>50206</v>
      </c>
      <c r="X309" s="155">
        <f t="shared" si="77"/>
        <v>50207</v>
      </c>
      <c r="Y309" s="155">
        <f t="shared" si="77"/>
        <v>50208</v>
      </c>
      <c r="Z309" s="155">
        <f t="shared" si="77"/>
        <v>50209</v>
      </c>
      <c r="AA309" s="155">
        <f t="shared" si="77"/>
        <v>50210</v>
      </c>
      <c r="AB309" s="155">
        <f t="shared" si="77"/>
        <v>50519</v>
      </c>
      <c r="AC309" s="155">
        <f t="shared" si="77"/>
        <v>50528</v>
      </c>
      <c r="AD309" s="155">
        <f t="shared" si="77"/>
        <v>50211</v>
      </c>
      <c r="AE309" s="155">
        <f t="shared" si="77"/>
        <v>50212</v>
      </c>
      <c r="AF309" s="155">
        <f t="shared" si="77"/>
        <v>50213</v>
      </c>
      <c r="AG309" s="155">
        <f t="shared" si="77"/>
        <v>50214</v>
      </c>
      <c r="AH309" s="155">
        <f t="shared" si="77"/>
        <v>50215</v>
      </c>
      <c r="AI309" s="155">
        <f t="shared" si="77"/>
        <v>50216</v>
      </c>
      <c r="AJ309" s="155">
        <f t="shared" si="77"/>
        <v>50217</v>
      </c>
      <c r="AK309" s="155">
        <f t="shared" si="77"/>
        <v>50218</v>
      </c>
      <c r="AL309" s="155">
        <f t="shared" si="77"/>
        <v>50477</v>
      </c>
      <c r="AM309" s="155">
        <f t="shared" si="77"/>
        <v>50520</v>
      </c>
      <c r="AN309" s="155">
        <f t="shared" si="77"/>
        <v>50219</v>
      </c>
      <c r="AO309" s="155">
        <f t="shared" si="77"/>
        <v>50220</v>
      </c>
      <c r="AP309" s="155">
        <f t="shared" si="77"/>
        <v>50536</v>
      </c>
      <c r="AQ309" s="155">
        <f t="shared" si="77"/>
        <v>50221</v>
      </c>
      <c r="AR309" s="155">
        <f t="shared" si="77"/>
        <v>50222</v>
      </c>
      <c r="AS309" s="155">
        <f t="shared" si="77"/>
        <v>50223</v>
      </c>
      <c r="AT309" s="155">
        <f t="shared" si="77"/>
        <v>50224</v>
      </c>
      <c r="AU309" s="155">
        <f t="shared" si="77"/>
        <v>50225</v>
      </c>
      <c r="AV309" s="155">
        <f t="shared" si="77"/>
        <v>50226</v>
      </c>
      <c r="AW309" s="155">
        <f t="shared" si="77"/>
        <v>50227</v>
      </c>
      <c r="AX309" s="155">
        <f t="shared" si="77"/>
        <v>50455</v>
      </c>
      <c r="AY309" s="155">
        <f t="shared" si="77"/>
        <v>50229</v>
      </c>
      <c r="AZ309" s="155">
        <f t="shared" si="77"/>
        <v>50230</v>
      </c>
      <c r="BA309" s="155">
        <f t="shared" si="77"/>
        <v>50231</v>
      </c>
      <c r="BB309" s="155">
        <f t="shared" si="77"/>
        <v>50232</v>
      </c>
      <c r="BC309" s="155">
        <f t="shared" si="77"/>
        <v>50233</v>
      </c>
      <c r="BD309" s="155">
        <f t="shared" si="77"/>
        <v>50234</v>
      </c>
      <c r="BE309" s="155">
        <f t="shared" si="77"/>
        <v>50235</v>
      </c>
      <c r="BF309" s="155">
        <f t="shared" si="77"/>
        <v>50236</v>
      </c>
      <c r="BG309" s="155">
        <f t="shared" si="77"/>
        <v>50237</v>
      </c>
      <c r="BH309" s="155">
        <f t="shared" si="77"/>
        <v>50238</v>
      </c>
      <c r="BI309" s="155">
        <f t="shared" si="77"/>
        <v>50444</v>
      </c>
      <c r="BJ309" s="155">
        <f t="shared" si="77"/>
        <v>50239</v>
      </c>
      <c r="BK309" s="155">
        <f t="shared" si="77"/>
        <v>50240</v>
      </c>
      <c r="BL309" s="155">
        <f t="shared" si="77"/>
        <v>50241</v>
      </c>
      <c r="BM309" s="155">
        <f t="shared" si="77"/>
        <v>50521</v>
      </c>
      <c r="BN309" s="155">
        <f t="shared" si="73"/>
        <v>50242</v>
      </c>
      <c r="BO309" s="155">
        <f t="shared" si="73"/>
        <v>50244</v>
      </c>
      <c r="BP309" s="155">
        <f t="shared" si="73"/>
        <v>50243</v>
      </c>
      <c r="BQ309" s="155">
        <f t="shared" si="73"/>
        <v>50245</v>
      </c>
      <c r="BR309" s="155">
        <f t="shared" si="73"/>
        <v>50522</v>
      </c>
      <c r="BS309" s="155">
        <f t="shared" ref="BS309:CA309" si="78">BS233</f>
        <v>50246</v>
      </c>
      <c r="BT309" s="155">
        <f t="shared" si="78"/>
        <v>50247</v>
      </c>
      <c r="BU309" s="155">
        <f t="shared" si="78"/>
        <v>50248</v>
      </c>
      <c r="BV309" s="155">
        <f t="shared" si="78"/>
        <v>50249</v>
      </c>
      <c r="BW309" s="155">
        <f t="shared" si="78"/>
        <v>50250</v>
      </c>
      <c r="BX309" s="155">
        <f t="shared" si="78"/>
        <v>50251</v>
      </c>
      <c r="BY309" s="155">
        <f t="shared" si="78"/>
        <v>50252</v>
      </c>
      <c r="BZ309" s="155">
        <f t="shared" si="78"/>
        <v>50253</v>
      </c>
      <c r="CA309" s="155">
        <f t="shared" si="78"/>
        <v>50454</v>
      </c>
      <c r="CB309" s="556"/>
      <c r="CC309" s="556"/>
      <c r="CD309" s="556"/>
      <c r="CE309" s="556"/>
      <c r="CF309" s="556"/>
      <c r="CG309" s="556"/>
      <c r="CH309" s="556"/>
      <c r="CI309" s="556"/>
      <c r="CJ309" s="556"/>
      <c r="CK309" s="556"/>
      <c r="CL309" s="556"/>
      <c r="CM309" s="556"/>
      <c r="CN309" s="556"/>
      <c r="CO309" s="556"/>
      <c r="CP309" s="556"/>
      <c r="CQ309" s="556"/>
      <c r="CR309" s="556"/>
      <c r="CS309" s="556"/>
      <c r="CT309" s="556"/>
      <c r="CU309" s="556"/>
      <c r="CV309" s="556"/>
      <c r="CW309" s="556"/>
      <c r="CX309" s="556"/>
      <c r="CY309" s="556"/>
      <c r="CZ309" s="556"/>
    </row>
    <row r="310" spans="1:104" x14ac:dyDescent="0.3">
      <c r="A310" s="554">
        <f>A144</f>
        <v>554</v>
      </c>
      <c r="B310" s="554" t="str">
        <f t="shared" ref="B310:BM311" si="79">B144</f>
        <v>Single Audit Only - total amount of federal awards and grants expended as found on SEFSA</v>
      </c>
      <c r="C310" s="554">
        <f t="shared" si="79"/>
        <v>0</v>
      </c>
      <c r="D310" s="554">
        <f t="shared" si="79"/>
        <v>0</v>
      </c>
      <c r="E310" s="554">
        <f t="shared" si="79"/>
        <v>4025021</v>
      </c>
      <c r="F310" s="554">
        <f t="shared" si="79"/>
        <v>0</v>
      </c>
      <c r="G310" s="554">
        <f t="shared" si="79"/>
        <v>3169395</v>
      </c>
      <c r="H310" s="554">
        <f t="shared" si="79"/>
        <v>1431311</v>
      </c>
      <c r="I310" s="554">
        <f t="shared" si="79"/>
        <v>0</v>
      </c>
      <c r="J310" s="554">
        <f t="shared" si="79"/>
        <v>0</v>
      </c>
      <c r="K310" s="554">
        <f t="shared" si="79"/>
        <v>919369</v>
      </c>
      <c r="L310" s="554">
        <f t="shared" si="79"/>
        <v>1110471</v>
      </c>
      <c r="M310" s="554">
        <f t="shared" si="79"/>
        <v>0</v>
      </c>
      <c r="N310" s="554">
        <f t="shared" si="79"/>
        <v>0</v>
      </c>
      <c r="O310" s="554">
        <f t="shared" si="79"/>
        <v>0</v>
      </c>
      <c r="P310" s="554">
        <f t="shared" si="79"/>
        <v>5556367</v>
      </c>
      <c r="Q310" s="554">
        <f t="shared" si="79"/>
        <v>3081598</v>
      </c>
      <c r="R310" s="554">
        <f t="shared" si="79"/>
        <v>566098</v>
      </c>
      <c r="S310" s="554">
        <f t="shared" si="79"/>
        <v>4723028</v>
      </c>
      <c r="T310" s="554">
        <f t="shared" si="79"/>
        <v>0</v>
      </c>
      <c r="U310" s="554">
        <f t="shared" si="79"/>
        <v>9901715</v>
      </c>
      <c r="V310" s="554">
        <f t="shared" si="79"/>
        <v>0</v>
      </c>
      <c r="W310" s="554">
        <f t="shared" si="79"/>
        <v>1147954</v>
      </c>
      <c r="X310" s="554">
        <f t="shared" si="79"/>
        <v>5065555</v>
      </c>
      <c r="Y310" s="554">
        <f t="shared" si="79"/>
        <v>0</v>
      </c>
      <c r="Z310" s="554">
        <f t="shared" si="79"/>
        <v>892762</v>
      </c>
      <c r="AA310" s="554">
        <f t="shared" si="79"/>
        <v>0</v>
      </c>
      <c r="AB310" s="554">
        <f t="shared" si="79"/>
        <v>0</v>
      </c>
      <c r="AC310" s="554">
        <f t="shared" si="79"/>
        <v>0</v>
      </c>
      <c r="AD310" s="554">
        <f t="shared" si="79"/>
        <v>0</v>
      </c>
      <c r="AE310" s="554">
        <f t="shared" si="79"/>
        <v>1018433</v>
      </c>
      <c r="AF310" s="554">
        <f t="shared" si="79"/>
        <v>0</v>
      </c>
      <c r="AG310" s="554">
        <f t="shared" si="79"/>
        <v>0</v>
      </c>
      <c r="AH310" s="554">
        <f t="shared" si="79"/>
        <v>0</v>
      </c>
      <c r="AI310" s="554">
        <f t="shared" si="79"/>
        <v>0</v>
      </c>
      <c r="AJ310" s="554">
        <f t="shared" si="79"/>
        <v>6245963</v>
      </c>
      <c r="AK310" s="554">
        <f t="shared" si="79"/>
        <v>0</v>
      </c>
      <c r="AL310" s="554">
        <f t="shared" si="79"/>
        <v>0</v>
      </c>
      <c r="AM310" s="554">
        <f t="shared" si="79"/>
        <v>3980481</v>
      </c>
      <c r="AN310" s="554">
        <f t="shared" si="79"/>
        <v>3818870</v>
      </c>
      <c r="AO310" s="554">
        <f t="shared" si="79"/>
        <v>0</v>
      </c>
      <c r="AP310" s="554">
        <f t="shared" si="79"/>
        <v>1625161</v>
      </c>
      <c r="AQ310" s="554">
        <f t="shared" si="79"/>
        <v>6565027</v>
      </c>
      <c r="AR310" s="554">
        <f t="shared" si="79"/>
        <v>0</v>
      </c>
      <c r="AS310" s="554">
        <f t="shared" si="79"/>
        <v>0</v>
      </c>
      <c r="AT310" s="554">
        <f t="shared" si="79"/>
        <v>947050</v>
      </c>
      <c r="AU310" s="554">
        <f t="shared" si="79"/>
        <v>2784706</v>
      </c>
      <c r="AV310" s="554">
        <f t="shared" si="79"/>
        <v>0</v>
      </c>
      <c r="AW310" s="554">
        <f t="shared" si="79"/>
        <v>0</v>
      </c>
      <c r="AX310" s="554">
        <f t="shared" si="79"/>
        <v>0</v>
      </c>
      <c r="AY310" s="554">
        <f t="shared" si="79"/>
        <v>1594451</v>
      </c>
      <c r="AZ310" s="554">
        <f t="shared" si="79"/>
        <v>0</v>
      </c>
      <c r="BA310" s="554">
        <f t="shared" si="79"/>
        <v>0</v>
      </c>
      <c r="BB310" s="554">
        <f t="shared" si="79"/>
        <v>1151273</v>
      </c>
      <c r="BC310" s="554">
        <f t="shared" si="79"/>
        <v>0</v>
      </c>
      <c r="BD310" s="554">
        <f t="shared" si="79"/>
        <v>0</v>
      </c>
      <c r="BE310" s="554">
        <f t="shared" si="79"/>
        <v>8697167</v>
      </c>
      <c r="BF310" s="554">
        <f t="shared" si="79"/>
        <v>0</v>
      </c>
      <c r="BG310" s="554">
        <f t="shared" si="79"/>
        <v>0</v>
      </c>
      <c r="BH310" s="554">
        <f t="shared" si="79"/>
        <v>497162</v>
      </c>
      <c r="BI310" s="554">
        <f t="shared" si="79"/>
        <v>0</v>
      </c>
      <c r="BJ310" s="554">
        <f t="shared" si="79"/>
        <v>0</v>
      </c>
      <c r="BK310" s="554">
        <f t="shared" si="79"/>
        <v>1102647</v>
      </c>
      <c r="BL310" s="554">
        <f t="shared" si="79"/>
        <v>993113</v>
      </c>
      <c r="BM310" s="554">
        <f t="shared" si="79"/>
        <v>0</v>
      </c>
      <c r="BN310" s="554">
        <f t="shared" ref="BN310:BR313" si="80">BN144</f>
        <v>0</v>
      </c>
      <c r="BO310" s="554">
        <f t="shared" si="80"/>
        <v>955752</v>
      </c>
      <c r="BP310" s="554">
        <f t="shared" si="80"/>
        <v>0</v>
      </c>
      <c r="BQ310" s="554">
        <f t="shared" si="80"/>
        <v>852293</v>
      </c>
      <c r="BR310" s="554">
        <f t="shared" si="80"/>
        <v>0</v>
      </c>
      <c r="BS310" s="554">
        <f t="shared" ref="BS310:CA310" si="81">BS144</f>
        <v>5848998</v>
      </c>
      <c r="BT310" s="554">
        <f t="shared" si="81"/>
        <v>0</v>
      </c>
      <c r="BU310" s="554">
        <f t="shared" si="81"/>
        <v>243803</v>
      </c>
      <c r="BV310" s="554">
        <f t="shared" si="81"/>
        <v>0</v>
      </c>
      <c r="BW310" s="554">
        <f t="shared" si="81"/>
        <v>0</v>
      </c>
      <c r="BX310" s="554">
        <f t="shared" si="81"/>
        <v>0</v>
      </c>
      <c r="BY310" s="554">
        <f t="shared" si="81"/>
        <v>0</v>
      </c>
      <c r="BZ310" s="554">
        <f t="shared" si="81"/>
        <v>2026767</v>
      </c>
      <c r="CA310" s="554">
        <f t="shared" si="81"/>
        <v>0</v>
      </c>
      <c r="CB310" s="556"/>
      <c r="CC310" s="556"/>
      <c r="CD310" s="556"/>
      <c r="CE310" s="556"/>
      <c r="CF310" s="556"/>
      <c r="CG310" s="556"/>
      <c r="CH310" s="556"/>
      <c r="CI310" s="556"/>
      <c r="CJ310" s="556"/>
      <c r="CK310" s="556"/>
      <c r="CL310" s="556"/>
      <c r="CM310" s="556"/>
      <c r="CN310" s="556"/>
      <c r="CO310" s="556"/>
      <c r="CP310" s="556"/>
      <c r="CQ310" s="556"/>
      <c r="CR310" s="556"/>
      <c r="CS310" s="556"/>
      <c r="CT310" s="556"/>
      <c r="CU310" s="556"/>
      <c r="CV310" s="556"/>
      <c r="CW310" s="556"/>
      <c r="CX310" s="556"/>
      <c r="CY310" s="556"/>
      <c r="CZ310" s="556"/>
    </row>
    <row r="311" spans="1:104" x14ac:dyDescent="0.3">
      <c r="A311" s="554">
        <f t="shared" ref="A311:P313" si="82">A145</f>
        <v>555</v>
      </c>
      <c r="B311" s="554" t="str">
        <f t="shared" si="82"/>
        <v>Single Audit Only - Total amount of federal awards and grants that were audited as major as found on SEFSA</v>
      </c>
      <c r="C311" s="554">
        <f t="shared" si="82"/>
        <v>0</v>
      </c>
      <c r="D311" s="554">
        <f t="shared" si="82"/>
        <v>0</v>
      </c>
      <c r="E311" s="554">
        <f t="shared" si="82"/>
        <v>3984827</v>
      </c>
      <c r="F311" s="554">
        <f t="shared" si="82"/>
        <v>0</v>
      </c>
      <c r="G311" s="554">
        <f t="shared" si="82"/>
        <v>1610617</v>
      </c>
      <c r="H311" s="554">
        <f t="shared" si="82"/>
        <v>1431311</v>
      </c>
      <c r="I311" s="554">
        <f t="shared" si="82"/>
        <v>0</v>
      </c>
      <c r="J311" s="554">
        <f t="shared" si="82"/>
        <v>0</v>
      </c>
      <c r="K311" s="554">
        <f t="shared" si="82"/>
        <v>505915</v>
      </c>
      <c r="L311" s="554">
        <f t="shared" si="82"/>
        <v>608548</v>
      </c>
      <c r="M311" s="554">
        <f t="shared" si="82"/>
        <v>0</v>
      </c>
      <c r="N311" s="554">
        <f t="shared" si="82"/>
        <v>0</v>
      </c>
      <c r="O311" s="554">
        <f t="shared" si="82"/>
        <v>0</v>
      </c>
      <c r="P311" s="554">
        <f t="shared" si="82"/>
        <v>5421513</v>
      </c>
      <c r="Q311" s="554">
        <f t="shared" si="79"/>
        <v>2337008</v>
      </c>
      <c r="R311" s="554">
        <f t="shared" si="79"/>
        <v>0</v>
      </c>
      <c r="S311" s="554">
        <f t="shared" si="79"/>
        <v>4611413</v>
      </c>
      <c r="T311" s="554">
        <f t="shared" si="79"/>
        <v>0</v>
      </c>
      <c r="U311" s="554">
        <f t="shared" si="79"/>
        <v>8738369</v>
      </c>
      <c r="V311" s="554">
        <f t="shared" si="79"/>
        <v>0</v>
      </c>
      <c r="W311" s="554">
        <f t="shared" si="79"/>
        <v>1138069</v>
      </c>
      <c r="X311" s="554">
        <f t="shared" si="79"/>
        <v>5058055</v>
      </c>
      <c r="Y311" s="554">
        <f t="shared" si="79"/>
        <v>0</v>
      </c>
      <c r="Z311" s="554">
        <f t="shared" si="79"/>
        <v>859421</v>
      </c>
      <c r="AA311" s="554">
        <f t="shared" si="79"/>
        <v>0</v>
      </c>
      <c r="AB311" s="554">
        <f t="shared" si="79"/>
        <v>0</v>
      </c>
      <c r="AC311" s="554">
        <f t="shared" si="79"/>
        <v>0</v>
      </c>
      <c r="AD311" s="554">
        <f t="shared" si="79"/>
        <v>0</v>
      </c>
      <c r="AE311" s="554">
        <f t="shared" si="79"/>
        <v>843670</v>
      </c>
      <c r="AF311" s="554">
        <f t="shared" si="79"/>
        <v>0</v>
      </c>
      <c r="AG311" s="554">
        <f t="shared" si="79"/>
        <v>0</v>
      </c>
      <c r="AH311" s="554">
        <f t="shared" si="79"/>
        <v>0</v>
      </c>
      <c r="AI311" s="554">
        <f t="shared" si="79"/>
        <v>0</v>
      </c>
      <c r="AJ311" s="554">
        <f t="shared" si="79"/>
        <v>5787357</v>
      </c>
      <c r="AK311" s="554">
        <f t="shared" si="79"/>
        <v>0</v>
      </c>
      <c r="AL311" s="554">
        <f t="shared" si="79"/>
        <v>0</v>
      </c>
      <c r="AM311" s="554">
        <f t="shared" si="79"/>
        <v>3980481</v>
      </c>
      <c r="AN311" s="554">
        <f t="shared" si="79"/>
        <v>1678857</v>
      </c>
      <c r="AO311" s="554">
        <f t="shared" si="79"/>
        <v>0</v>
      </c>
      <c r="AP311" s="554">
        <f t="shared" si="79"/>
        <v>1105603</v>
      </c>
      <c r="AQ311" s="554">
        <f t="shared" si="79"/>
        <v>6217315</v>
      </c>
      <c r="AR311" s="554">
        <f t="shared" si="79"/>
        <v>0</v>
      </c>
      <c r="AS311" s="554">
        <f t="shared" si="79"/>
        <v>0</v>
      </c>
      <c r="AT311" s="554">
        <f t="shared" si="79"/>
        <v>947050</v>
      </c>
      <c r="AU311" s="554">
        <f t="shared" si="79"/>
        <v>2784706</v>
      </c>
      <c r="AV311" s="554">
        <f t="shared" si="79"/>
        <v>0</v>
      </c>
      <c r="AW311" s="554">
        <f t="shared" si="79"/>
        <v>0</v>
      </c>
      <c r="AX311" s="554">
        <f t="shared" si="79"/>
        <v>0</v>
      </c>
      <c r="AY311" s="554">
        <f t="shared" si="79"/>
        <v>1594451</v>
      </c>
      <c r="AZ311" s="554">
        <f t="shared" si="79"/>
        <v>0</v>
      </c>
      <c r="BA311" s="554">
        <f t="shared" si="79"/>
        <v>0</v>
      </c>
      <c r="BB311" s="554">
        <f t="shared" si="79"/>
        <v>1151273</v>
      </c>
      <c r="BC311" s="554">
        <f t="shared" si="79"/>
        <v>0</v>
      </c>
      <c r="BD311" s="554">
        <f t="shared" si="79"/>
        <v>0</v>
      </c>
      <c r="BE311" s="554">
        <f t="shared" si="79"/>
        <v>8405005</v>
      </c>
      <c r="BF311" s="554">
        <f t="shared" si="79"/>
        <v>0</v>
      </c>
      <c r="BG311" s="554">
        <f t="shared" si="79"/>
        <v>0</v>
      </c>
      <c r="BH311" s="554">
        <f t="shared" si="79"/>
        <v>0</v>
      </c>
      <c r="BI311" s="554">
        <f t="shared" si="79"/>
        <v>0</v>
      </c>
      <c r="BJ311" s="554">
        <f t="shared" si="79"/>
        <v>0</v>
      </c>
      <c r="BK311" s="554">
        <f t="shared" si="79"/>
        <v>548638</v>
      </c>
      <c r="BL311" s="554">
        <f t="shared" si="79"/>
        <v>529090</v>
      </c>
      <c r="BM311" s="554">
        <f t="shared" si="79"/>
        <v>0</v>
      </c>
      <c r="BN311" s="554">
        <f t="shared" si="80"/>
        <v>0</v>
      </c>
      <c r="BO311" s="554">
        <f t="shared" si="80"/>
        <v>955752</v>
      </c>
      <c r="BP311" s="554">
        <f t="shared" si="80"/>
        <v>0</v>
      </c>
      <c r="BQ311" s="554">
        <f t="shared" si="80"/>
        <v>852293</v>
      </c>
      <c r="BR311" s="554">
        <f t="shared" si="80"/>
        <v>0</v>
      </c>
      <c r="BS311" s="554">
        <f t="shared" ref="BS311:CA311" si="83">BS145</f>
        <v>5280498</v>
      </c>
      <c r="BT311" s="554">
        <f t="shared" si="83"/>
        <v>0</v>
      </c>
      <c r="BU311" s="554">
        <f t="shared" si="83"/>
        <v>0</v>
      </c>
      <c r="BV311" s="554">
        <f t="shared" si="83"/>
        <v>0</v>
      </c>
      <c r="BW311" s="554">
        <f t="shared" si="83"/>
        <v>0</v>
      </c>
      <c r="BX311" s="554">
        <f t="shared" si="83"/>
        <v>0</v>
      </c>
      <c r="BY311" s="554">
        <f t="shared" si="83"/>
        <v>0</v>
      </c>
      <c r="BZ311" s="554">
        <f t="shared" si="83"/>
        <v>2016944</v>
      </c>
      <c r="CA311" s="554">
        <f t="shared" si="83"/>
        <v>0</v>
      </c>
      <c r="CB311" s="556"/>
      <c r="CC311" s="556"/>
      <c r="CD311" s="556"/>
      <c r="CE311" s="556"/>
      <c r="CF311" s="556"/>
      <c r="CG311" s="556"/>
      <c r="CH311" s="556"/>
      <c r="CI311" s="556"/>
      <c r="CJ311" s="556"/>
      <c r="CK311" s="556"/>
      <c r="CL311" s="556"/>
      <c r="CM311" s="556"/>
      <c r="CN311" s="556"/>
      <c r="CO311" s="556"/>
      <c r="CP311" s="556"/>
      <c r="CQ311" s="556"/>
      <c r="CR311" s="556"/>
      <c r="CS311" s="556"/>
      <c r="CT311" s="556"/>
      <c r="CU311" s="556"/>
      <c r="CV311" s="556"/>
      <c r="CW311" s="556"/>
      <c r="CX311" s="556"/>
      <c r="CY311" s="556"/>
      <c r="CZ311" s="556"/>
    </row>
    <row r="312" spans="1:104" x14ac:dyDescent="0.3">
      <c r="A312" s="554">
        <f t="shared" si="82"/>
        <v>556</v>
      </c>
      <c r="B312" s="554" t="str">
        <f t="shared" ref="B312:BM313" si="84">B146</f>
        <v>Single Audit Only - total amount of state awards and grants expended as found on SEFSA</v>
      </c>
      <c r="C312" s="554">
        <f t="shared" si="84"/>
        <v>0</v>
      </c>
      <c r="D312" s="554">
        <f t="shared" si="84"/>
        <v>0</v>
      </c>
      <c r="E312" s="554">
        <f t="shared" si="84"/>
        <v>2611705</v>
      </c>
      <c r="F312" s="554">
        <f t="shared" si="84"/>
        <v>0</v>
      </c>
      <c r="G312" s="554">
        <f t="shared" si="84"/>
        <v>4564183</v>
      </c>
      <c r="H312" s="554">
        <f t="shared" si="84"/>
        <v>293390</v>
      </c>
      <c r="I312" s="554">
        <f t="shared" si="84"/>
        <v>0</v>
      </c>
      <c r="J312" s="554">
        <f t="shared" si="84"/>
        <v>0</v>
      </c>
      <c r="K312" s="554">
        <f t="shared" si="84"/>
        <v>115731</v>
      </c>
      <c r="L312" s="554">
        <f t="shared" si="84"/>
        <v>1543430</v>
      </c>
      <c r="M312" s="554">
        <f t="shared" si="84"/>
        <v>0</v>
      </c>
      <c r="N312" s="554">
        <f t="shared" si="84"/>
        <v>0</v>
      </c>
      <c r="O312" s="554">
        <f t="shared" si="84"/>
        <v>0</v>
      </c>
      <c r="P312" s="554">
        <f t="shared" si="84"/>
        <v>2813992</v>
      </c>
      <c r="Q312" s="554">
        <f t="shared" si="84"/>
        <v>1613586</v>
      </c>
      <c r="R312" s="554">
        <f t="shared" si="84"/>
        <v>953143</v>
      </c>
      <c r="S312" s="554">
        <f t="shared" si="84"/>
        <v>955683</v>
      </c>
      <c r="T312" s="554">
        <f t="shared" si="84"/>
        <v>0</v>
      </c>
      <c r="U312" s="554">
        <f t="shared" si="84"/>
        <v>1364391</v>
      </c>
      <c r="V312" s="554">
        <f t="shared" si="84"/>
        <v>0</v>
      </c>
      <c r="W312" s="554">
        <f t="shared" si="84"/>
        <v>1703389</v>
      </c>
      <c r="X312" s="554">
        <f t="shared" si="84"/>
        <v>817065</v>
      </c>
      <c r="Y312" s="554">
        <f t="shared" si="84"/>
        <v>0</v>
      </c>
      <c r="Z312" s="554">
        <f t="shared" si="84"/>
        <v>93605</v>
      </c>
      <c r="AA312" s="554">
        <f t="shared" si="84"/>
        <v>0</v>
      </c>
      <c r="AB312" s="554">
        <f t="shared" si="84"/>
        <v>0</v>
      </c>
      <c r="AC312" s="554">
        <f t="shared" si="84"/>
        <v>0</v>
      </c>
      <c r="AD312" s="554">
        <f t="shared" si="84"/>
        <v>0</v>
      </c>
      <c r="AE312" s="554">
        <f t="shared" si="84"/>
        <v>520767</v>
      </c>
      <c r="AF312" s="554">
        <f t="shared" si="84"/>
        <v>0</v>
      </c>
      <c r="AG312" s="554">
        <f t="shared" si="84"/>
        <v>0</v>
      </c>
      <c r="AH312" s="554">
        <f t="shared" si="84"/>
        <v>0</v>
      </c>
      <c r="AI312" s="554">
        <f t="shared" si="84"/>
        <v>0</v>
      </c>
      <c r="AJ312" s="554">
        <f t="shared" si="84"/>
        <v>1756265</v>
      </c>
      <c r="AK312" s="554">
        <f t="shared" si="84"/>
        <v>0</v>
      </c>
      <c r="AL312" s="554">
        <f t="shared" si="84"/>
        <v>0</v>
      </c>
      <c r="AM312" s="554">
        <f t="shared" si="84"/>
        <v>2055639</v>
      </c>
      <c r="AN312" s="554">
        <f t="shared" si="84"/>
        <v>1310391</v>
      </c>
      <c r="AO312" s="554">
        <f t="shared" si="84"/>
        <v>0</v>
      </c>
      <c r="AP312" s="554">
        <f t="shared" si="84"/>
        <v>54593</v>
      </c>
      <c r="AQ312" s="554">
        <f t="shared" si="84"/>
        <v>372513</v>
      </c>
      <c r="AR312" s="554">
        <f t="shared" si="84"/>
        <v>0</v>
      </c>
      <c r="AS312" s="554">
        <f t="shared" si="84"/>
        <v>0</v>
      </c>
      <c r="AT312" s="554">
        <f t="shared" si="84"/>
        <v>1427452</v>
      </c>
      <c r="AU312" s="554">
        <f t="shared" si="84"/>
        <v>357177</v>
      </c>
      <c r="AV312" s="554">
        <f t="shared" si="84"/>
        <v>0</v>
      </c>
      <c r="AW312" s="554">
        <f t="shared" si="84"/>
        <v>0</v>
      </c>
      <c r="AX312" s="554">
        <f t="shared" si="84"/>
        <v>0</v>
      </c>
      <c r="AY312" s="554">
        <f t="shared" si="84"/>
        <v>270922</v>
      </c>
      <c r="AZ312" s="554">
        <f t="shared" si="84"/>
        <v>0</v>
      </c>
      <c r="BA312" s="554">
        <f t="shared" si="84"/>
        <v>0</v>
      </c>
      <c r="BB312" s="554">
        <f t="shared" si="84"/>
        <v>67061</v>
      </c>
      <c r="BC312" s="554">
        <f t="shared" si="84"/>
        <v>0</v>
      </c>
      <c r="BD312" s="554">
        <f t="shared" si="84"/>
        <v>0</v>
      </c>
      <c r="BE312" s="554">
        <f t="shared" si="84"/>
        <v>9657153</v>
      </c>
      <c r="BF312" s="554">
        <f t="shared" si="84"/>
        <v>0</v>
      </c>
      <c r="BG312" s="554">
        <f t="shared" si="84"/>
        <v>0</v>
      </c>
      <c r="BH312" s="554">
        <f t="shared" si="84"/>
        <v>779250</v>
      </c>
      <c r="BI312" s="554">
        <f t="shared" si="84"/>
        <v>0</v>
      </c>
      <c r="BJ312" s="554">
        <f t="shared" si="84"/>
        <v>0</v>
      </c>
      <c r="BK312" s="554">
        <f t="shared" si="84"/>
        <v>178175</v>
      </c>
      <c r="BL312" s="554">
        <f t="shared" si="84"/>
        <v>0</v>
      </c>
      <c r="BM312" s="554">
        <f t="shared" si="84"/>
        <v>0</v>
      </c>
      <c r="BN312" s="554">
        <f t="shared" si="80"/>
        <v>0</v>
      </c>
      <c r="BO312" s="554">
        <f t="shared" si="80"/>
        <v>34626</v>
      </c>
      <c r="BP312" s="554">
        <f t="shared" si="80"/>
        <v>0</v>
      </c>
      <c r="BQ312" s="554">
        <f t="shared" si="80"/>
        <v>60266</v>
      </c>
      <c r="BR312" s="554">
        <f t="shared" si="80"/>
        <v>0</v>
      </c>
      <c r="BS312" s="554">
        <f t="shared" ref="BS312:CA312" si="85">BS146</f>
        <v>1139905</v>
      </c>
      <c r="BT312" s="554">
        <f t="shared" si="85"/>
        <v>0</v>
      </c>
      <c r="BU312" s="554">
        <f t="shared" si="85"/>
        <v>820032</v>
      </c>
      <c r="BV312" s="554">
        <f t="shared" si="85"/>
        <v>0</v>
      </c>
      <c r="BW312" s="554">
        <f t="shared" si="85"/>
        <v>0</v>
      </c>
      <c r="BX312" s="554">
        <f t="shared" si="85"/>
        <v>0</v>
      </c>
      <c r="BY312" s="554">
        <f t="shared" si="85"/>
        <v>0</v>
      </c>
      <c r="BZ312" s="554">
        <f t="shared" si="85"/>
        <v>652733</v>
      </c>
      <c r="CA312" s="554">
        <f t="shared" si="85"/>
        <v>0</v>
      </c>
      <c r="CB312" s="556"/>
      <c r="CC312" s="556"/>
      <c r="CD312" s="556"/>
      <c r="CE312" s="556"/>
      <c r="CF312" s="556"/>
      <c r="CG312" s="556"/>
      <c r="CH312" s="556"/>
      <c r="CI312" s="556"/>
      <c r="CJ312" s="556"/>
      <c r="CK312" s="556"/>
      <c r="CL312" s="556"/>
      <c r="CM312" s="556"/>
      <c r="CN312" s="556"/>
      <c r="CO312" s="556"/>
      <c r="CP312" s="556"/>
      <c r="CQ312" s="556"/>
      <c r="CR312" s="556"/>
      <c r="CS312" s="556"/>
      <c r="CT312" s="556"/>
      <c r="CU312" s="556"/>
      <c r="CV312" s="556"/>
      <c r="CW312" s="556"/>
      <c r="CX312" s="556"/>
      <c r="CY312" s="556"/>
      <c r="CZ312" s="556"/>
    </row>
    <row r="313" spans="1:104" x14ac:dyDescent="0.3">
      <c r="A313" s="554">
        <f t="shared" si="82"/>
        <v>557</v>
      </c>
      <c r="B313" s="554" t="str">
        <f t="shared" si="84"/>
        <v>Single Audit Only - Total amount of state awards and grants that were audited as major as found on SEFSA</v>
      </c>
      <c r="C313" s="554">
        <f t="shared" si="84"/>
        <v>0</v>
      </c>
      <c r="D313" s="554">
        <f t="shared" si="84"/>
        <v>0</v>
      </c>
      <c r="E313" s="554">
        <f t="shared" si="84"/>
        <v>2193375</v>
      </c>
      <c r="F313" s="554">
        <f t="shared" si="84"/>
        <v>0</v>
      </c>
      <c r="G313" s="554">
        <f t="shared" si="84"/>
        <v>4257270</v>
      </c>
      <c r="H313" s="554">
        <f t="shared" si="84"/>
        <v>0</v>
      </c>
      <c r="I313" s="554">
        <f t="shared" si="84"/>
        <v>0</v>
      </c>
      <c r="J313" s="554">
        <f t="shared" si="84"/>
        <v>0</v>
      </c>
      <c r="K313" s="554">
        <f t="shared" si="84"/>
        <v>0</v>
      </c>
      <c r="L313" s="554">
        <f t="shared" si="84"/>
        <v>1543430</v>
      </c>
      <c r="M313" s="554">
        <f t="shared" si="84"/>
        <v>0</v>
      </c>
      <c r="N313" s="554">
        <f t="shared" si="84"/>
        <v>0</v>
      </c>
      <c r="O313" s="554">
        <f t="shared" si="84"/>
        <v>0</v>
      </c>
      <c r="P313" s="554">
        <f t="shared" si="84"/>
        <v>1827348</v>
      </c>
      <c r="Q313" s="554">
        <f t="shared" si="84"/>
        <v>839580</v>
      </c>
      <c r="R313" s="554">
        <f t="shared" si="84"/>
        <v>701657</v>
      </c>
      <c r="S313" s="554">
        <f t="shared" si="84"/>
        <v>447196</v>
      </c>
      <c r="T313" s="554">
        <f t="shared" si="84"/>
        <v>0</v>
      </c>
      <c r="U313" s="554">
        <f t="shared" si="84"/>
        <v>764400</v>
      </c>
      <c r="V313" s="554">
        <f t="shared" si="84"/>
        <v>0</v>
      </c>
      <c r="W313" s="554">
        <f t="shared" si="84"/>
        <v>1408247</v>
      </c>
      <c r="X313" s="554">
        <f t="shared" si="84"/>
        <v>817065</v>
      </c>
      <c r="Y313" s="554">
        <f t="shared" si="84"/>
        <v>0</v>
      </c>
      <c r="Z313" s="554">
        <f t="shared" si="84"/>
        <v>0</v>
      </c>
      <c r="AA313" s="554">
        <f t="shared" si="84"/>
        <v>0</v>
      </c>
      <c r="AB313" s="554">
        <f t="shared" si="84"/>
        <v>0</v>
      </c>
      <c r="AC313" s="554">
        <f t="shared" si="84"/>
        <v>0</v>
      </c>
      <c r="AD313" s="554">
        <f t="shared" si="84"/>
        <v>0</v>
      </c>
      <c r="AE313" s="554">
        <f t="shared" si="84"/>
        <v>473969</v>
      </c>
      <c r="AF313" s="554">
        <f t="shared" si="84"/>
        <v>0</v>
      </c>
      <c r="AG313" s="554">
        <f t="shared" si="84"/>
        <v>0</v>
      </c>
      <c r="AH313" s="554">
        <f t="shared" si="84"/>
        <v>0</v>
      </c>
      <c r="AI313" s="554">
        <f t="shared" si="84"/>
        <v>0</v>
      </c>
      <c r="AJ313" s="554">
        <f t="shared" si="84"/>
        <v>1306988</v>
      </c>
      <c r="AK313" s="554">
        <f t="shared" si="84"/>
        <v>0</v>
      </c>
      <c r="AL313" s="554">
        <f t="shared" si="84"/>
        <v>0</v>
      </c>
      <c r="AM313" s="554">
        <f t="shared" si="84"/>
        <v>1739182</v>
      </c>
      <c r="AN313" s="554">
        <f t="shared" si="84"/>
        <v>1163697</v>
      </c>
      <c r="AO313" s="554">
        <f t="shared" si="84"/>
        <v>0</v>
      </c>
      <c r="AP313" s="554">
        <f t="shared" si="84"/>
        <v>0</v>
      </c>
      <c r="AQ313" s="554">
        <f t="shared" si="84"/>
        <v>0</v>
      </c>
      <c r="AR313" s="554">
        <f t="shared" si="84"/>
        <v>0</v>
      </c>
      <c r="AS313" s="554">
        <f t="shared" si="84"/>
        <v>0</v>
      </c>
      <c r="AT313" s="554">
        <f t="shared" si="84"/>
        <v>654611</v>
      </c>
      <c r="AU313" s="554">
        <f t="shared" si="84"/>
        <v>0</v>
      </c>
      <c r="AV313" s="554">
        <f t="shared" si="84"/>
        <v>0</v>
      </c>
      <c r="AW313" s="554">
        <f t="shared" si="84"/>
        <v>0</v>
      </c>
      <c r="AX313" s="554">
        <f t="shared" si="84"/>
        <v>0</v>
      </c>
      <c r="AY313" s="554">
        <f t="shared" si="84"/>
        <v>0</v>
      </c>
      <c r="AZ313" s="554">
        <f t="shared" si="84"/>
        <v>0</v>
      </c>
      <c r="BA313" s="554">
        <f t="shared" si="84"/>
        <v>0</v>
      </c>
      <c r="BB313" s="554">
        <f t="shared" si="84"/>
        <v>0</v>
      </c>
      <c r="BC313" s="554">
        <f t="shared" si="84"/>
        <v>0</v>
      </c>
      <c r="BD313" s="554">
        <f t="shared" si="84"/>
        <v>0</v>
      </c>
      <c r="BE313" s="554">
        <f t="shared" si="84"/>
        <v>8874676</v>
      </c>
      <c r="BF313" s="554">
        <f t="shared" si="84"/>
        <v>0</v>
      </c>
      <c r="BG313" s="554">
        <f t="shared" si="84"/>
        <v>0</v>
      </c>
      <c r="BH313" s="554">
        <f t="shared" si="84"/>
        <v>397311</v>
      </c>
      <c r="BI313" s="554">
        <f t="shared" si="84"/>
        <v>0</v>
      </c>
      <c r="BJ313" s="554">
        <f t="shared" si="84"/>
        <v>0</v>
      </c>
      <c r="BK313" s="554">
        <f t="shared" si="84"/>
        <v>0</v>
      </c>
      <c r="BL313" s="554">
        <f t="shared" si="84"/>
        <v>0</v>
      </c>
      <c r="BM313" s="554">
        <f t="shared" si="84"/>
        <v>0</v>
      </c>
      <c r="BN313" s="554">
        <f t="shared" si="80"/>
        <v>0</v>
      </c>
      <c r="BO313" s="554">
        <f t="shared" si="80"/>
        <v>0</v>
      </c>
      <c r="BP313" s="554">
        <f t="shared" si="80"/>
        <v>0</v>
      </c>
      <c r="BQ313" s="554">
        <f t="shared" si="80"/>
        <v>0</v>
      </c>
      <c r="BR313" s="554">
        <f t="shared" si="80"/>
        <v>0</v>
      </c>
      <c r="BS313" s="554">
        <f t="shared" ref="BS313:CA313" si="86">BS147</f>
        <v>1062027</v>
      </c>
      <c r="BT313" s="554">
        <f t="shared" si="86"/>
        <v>0</v>
      </c>
      <c r="BU313" s="554">
        <f t="shared" si="86"/>
        <v>567823</v>
      </c>
      <c r="BV313" s="554">
        <f t="shared" si="86"/>
        <v>0</v>
      </c>
      <c r="BW313" s="554">
        <f t="shared" si="86"/>
        <v>0</v>
      </c>
      <c r="BX313" s="554">
        <f t="shared" si="86"/>
        <v>0</v>
      </c>
      <c r="BY313" s="554">
        <f t="shared" si="86"/>
        <v>0</v>
      </c>
      <c r="BZ313" s="554">
        <f t="shared" si="86"/>
        <v>502733</v>
      </c>
      <c r="CA313" s="554">
        <f t="shared" si="86"/>
        <v>0</v>
      </c>
      <c r="CB313" s="560"/>
      <c r="CC313" s="560"/>
      <c r="CD313" s="560"/>
      <c r="CE313" s="560"/>
      <c r="CF313" s="560"/>
      <c r="CG313" s="560"/>
      <c r="CH313" s="560"/>
      <c r="CI313" s="560"/>
      <c r="CJ313" s="560"/>
      <c r="CK313" s="560"/>
      <c r="CL313" s="560"/>
      <c r="CM313" s="560"/>
      <c r="CN313" s="560"/>
      <c r="CO313" s="560"/>
      <c r="CP313" s="560"/>
      <c r="CQ313" s="560"/>
      <c r="CR313" s="560"/>
      <c r="CS313" s="560"/>
      <c r="CT313" s="560"/>
      <c r="CU313" s="560"/>
      <c r="CV313" s="560"/>
      <c r="CW313" s="560"/>
      <c r="CX313" s="560"/>
      <c r="CY313" s="560"/>
      <c r="CZ313" s="560"/>
    </row>
    <row r="314" spans="1:104" x14ac:dyDescent="0.3">
      <c r="A314" s="554">
        <f>A164</f>
        <v>606</v>
      </c>
      <c r="B314" s="554" t="str">
        <f t="shared" ref="B314:BM314" si="87">B164</f>
        <v>Compliance opinion - enter "1" for clean Opinion or "2" for other than clean opinion</v>
      </c>
      <c r="C314" s="554">
        <f t="shared" si="87"/>
        <v>0</v>
      </c>
      <c r="D314" s="554">
        <f t="shared" si="87"/>
        <v>0</v>
      </c>
      <c r="E314" s="554">
        <f t="shared" si="87"/>
        <v>1</v>
      </c>
      <c r="F314" s="554">
        <f t="shared" si="87"/>
        <v>0</v>
      </c>
      <c r="G314" s="554">
        <f t="shared" si="87"/>
        <v>1</v>
      </c>
      <c r="H314" s="554">
        <f t="shared" si="87"/>
        <v>1</v>
      </c>
      <c r="I314" s="554">
        <f t="shared" si="87"/>
        <v>0</v>
      </c>
      <c r="J314" s="554">
        <f t="shared" si="87"/>
        <v>0</v>
      </c>
      <c r="K314" s="554">
        <f t="shared" si="87"/>
        <v>1</v>
      </c>
      <c r="L314" s="554">
        <f t="shared" si="87"/>
        <v>1</v>
      </c>
      <c r="M314" s="554">
        <f t="shared" si="87"/>
        <v>0</v>
      </c>
      <c r="N314" s="554">
        <f t="shared" si="87"/>
        <v>0</v>
      </c>
      <c r="O314" s="554">
        <f t="shared" si="87"/>
        <v>0</v>
      </c>
      <c r="P314" s="554">
        <f t="shared" si="87"/>
        <v>1</v>
      </c>
      <c r="Q314" s="554">
        <f t="shared" si="87"/>
        <v>1</v>
      </c>
      <c r="R314" s="554">
        <f t="shared" si="87"/>
        <v>1</v>
      </c>
      <c r="S314" s="554">
        <f t="shared" si="87"/>
        <v>1</v>
      </c>
      <c r="T314" s="554">
        <f t="shared" si="87"/>
        <v>0</v>
      </c>
      <c r="U314" s="554">
        <f t="shared" si="87"/>
        <v>1</v>
      </c>
      <c r="V314" s="554">
        <f t="shared" si="87"/>
        <v>0</v>
      </c>
      <c r="W314" s="554">
        <f t="shared" si="87"/>
        <v>1</v>
      </c>
      <c r="X314" s="554">
        <f t="shared" si="87"/>
        <v>1</v>
      </c>
      <c r="Y314" s="554">
        <f t="shared" si="87"/>
        <v>0</v>
      </c>
      <c r="Z314" s="554">
        <f t="shared" si="87"/>
        <v>1</v>
      </c>
      <c r="AA314" s="554">
        <f t="shared" si="87"/>
        <v>0</v>
      </c>
      <c r="AB314" s="554">
        <f t="shared" si="87"/>
        <v>0</v>
      </c>
      <c r="AC314" s="554">
        <f t="shared" si="87"/>
        <v>0</v>
      </c>
      <c r="AD314" s="554">
        <f t="shared" si="87"/>
        <v>0</v>
      </c>
      <c r="AE314" s="554">
        <f t="shared" si="87"/>
        <v>1</v>
      </c>
      <c r="AF314" s="554">
        <f t="shared" si="87"/>
        <v>0</v>
      </c>
      <c r="AG314" s="554">
        <f t="shared" si="87"/>
        <v>0</v>
      </c>
      <c r="AH314" s="554">
        <f t="shared" si="87"/>
        <v>0</v>
      </c>
      <c r="AI314" s="554">
        <f t="shared" si="87"/>
        <v>0</v>
      </c>
      <c r="AJ314" s="554">
        <f t="shared" si="87"/>
        <v>1</v>
      </c>
      <c r="AK314" s="554">
        <f t="shared" si="87"/>
        <v>0</v>
      </c>
      <c r="AL314" s="554">
        <f t="shared" si="87"/>
        <v>0</v>
      </c>
      <c r="AM314" s="554">
        <f t="shared" si="87"/>
        <v>1</v>
      </c>
      <c r="AN314" s="554">
        <f t="shared" si="87"/>
        <v>1</v>
      </c>
      <c r="AO314" s="554">
        <f t="shared" si="87"/>
        <v>0</v>
      </c>
      <c r="AP314" s="554">
        <f t="shared" si="87"/>
        <v>1</v>
      </c>
      <c r="AQ314" s="554">
        <f t="shared" si="87"/>
        <v>1</v>
      </c>
      <c r="AR314" s="554">
        <f t="shared" si="87"/>
        <v>0</v>
      </c>
      <c r="AS314" s="554">
        <f t="shared" si="87"/>
        <v>0</v>
      </c>
      <c r="AT314" s="554">
        <f t="shared" si="87"/>
        <v>1</v>
      </c>
      <c r="AU314" s="554">
        <f t="shared" si="87"/>
        <v>1</v>
      </c>
      <c r="AV314" s="554">
        <f t="shared" si="87"/>
        <v>0</v>
      </c>
      <c r="AW314" s="554">
        <f t="shared" si="87"/>
        <v>0</v>
      </c>
      <c r="AX314" s="554">
        <f t="shared" si="87"/>
        <v>0</v>
      </c>
      <c r="AY314" s="554">
        <f t="shared" si="87"/>
        <v>1</v>
      </c>
      <c r="AZ314" s="554">
        <f t="shared" si="87"/>
        <v>0</v>
      </c>
      <c r="BA314" s="554">
        <f t="shared" si="87"/>
        <v>0</v>
      </c>
      <c r="BB314" s="554">
        <f t="shared" si="87"/>
        <v>1</v>
      </c>
      <c r="BC314" s="554">
        <f t="shared" si="87"/>
        <v>0</v>
      </c>
      <c r="BD314" s="554">
        <f t="shared" si="87"/>
        <v>0</v>
      </c>
      <c r="BE314" s="554">
        <f t="shared" si="87"/>
        <v>1</v>
      </c>
      <c r="BF314" s="554">
        <f t="shared" si="87"/>
        <v>0</v>
      </c>
      <c r="BG314" s="554">
        <f t="shared" si="87"/>
        <v>0</v>
      </c>
      <c r="BH314" s="554">
        <f t="shared" si="87"/>
        <v>1</v>
      </c>
      <c r="BI314" s="554">
        <f t="shared" si="87"/>
        <v>0</v>
      </c>
      <c r="BJ314" s="554">
        <f t="shared" si="87"/>
        <v>0</v>
      </c>
      <c r="BK314" s="554">
        <f t="shared" si="87"/>
        <v>1</v>
      </c>
      <c r="BL314" s="554">
        <f t="shared" si="87"/>
        <v>1</v>
      </c>
      <c r="BM314" s="554">
        <f t="shared" si="87"/>
        <v>0</v>
      </c>
      <c r="BN314" s="554">
        <f t="shared" ref="BN314:BR314" si="88">BN164</f>
        <v>0</v>
      </c>
      <c r="BO314" s="554">
        <f t="shared" si="88"/>
        <v>1</v>
      </c>
      <c r="BP314" s="554">
        <f t="shared" si="88"/>
        <v>0</v>
      </c>
      <c r="BQ314" s="554">
        <f t="shared" si="88"/>
        <v>1</v>
      </c>
      <c r="BR314" s="554">
        <f t="shared" si="88"/>
        <v>0</v>
      </c>
      <c r="BS314" s="554">
        <f t="shared" ref="BS314:CA314" si="89">BS164</f>
        <v>1</v>
      </c>
      <c r="BT314" s="554">
        <f t="shared" si="89"/>
        <v>0</v>
      </c>
      <c r="BU314" s="554">
        <f t="shared" si="89"/>
        <v>1</v>
      </c>
      <c r="BV314" s="554">
        <f t="shared" si="89"/>
        <v>0</v>
      </c>
      <c r="BW314" s="554">
        <f t="shared" si="89"/>
        <v>0</v>
      </c>
      <c r="BX314" s="554">
        <f t="shared" si="89"/>
        <v>1</v>
      </c>
      <c r="BY314" s="554">
        <f t="shared" si="89"/>
        <v>0</v>
      </c>
      <c r="BZ314" s="554">
        <f t="shared" si="89"/>
        <v>1</v>
      </c>
      <c r="CA314" s="554">
        <f t="shared" si="89"/>
        <v>0</v>
      </c>
      <c r="CB314" s="560"/>
      <c r="CC314" s="560"/>
      <c r="CD314" s="560"/>
      <c r="CE314" s="560"/>
      <c r="CF314" s="560"/>
      <c r="CG314" s="560"/>
      <c r="CH314" s="560"/>
      <c r="CI314" s="560"/>
      <c r="CJ314" s="560"/>
      <c r="CK314" s="560"/>
      <c r="CL314" s="560"/>
      <c r="CM314" s="560"/>
      <c r="CN314" s="560"/>
      <c r="CO314" s="560"/>
      <c r="CP314" s="560"/>
      <c r="CQ314" s="560"/>
      <c r="CR314" s="560"/>
      <c r="CS314" s="560"/>
      <c r="CT314" s="560"/>
      <c r="CU314" s="560"/>
      <c r="CV314" s="560"/>
      <c r="CW314" s="560"/>
      <c r="CX314" s="560"/>
      <c r="CY314" s="560"/>
      <c r="CZ314" s="560"/>
    </row>
    <row r="315" spans="1:104" s="180" customFormat="1" x14ac:dyDescent="0.3">
      <c r="A315" s="555">
        <f>A58</f>
        <v>336</v>
      </c>
      <c r="B315" s="555" t="str">
        <f t="shared" ref="B315:BM315" si="90">B58</f>
        <v>Gov - Select Current Liabilities</v>
      </c>
      <c r="C315" s="555">
        <f t="shared" si="90"/>
        <v>0</v>
      </c>
      <c r="D315" s="555">
        <f t="shared" si="90"/>
        <v>130045</v>
      </c>
      <c r="E315" s="555">
        <f t="shared" si="90"/>
        <v>3140305</v>
      </c>
      <c r="F315" s="555">
        <f t="shared" si="90"/>
        <v>0</v>
      </c>
      <c r="G315" s="555">
        <f t="shared" si="90"/>
        <v>8433147</v>
      </c>
      <c r="H315" s="555">
        <f t="shared" si="90"/>
        <v>537252</v>
      </c>
      <c r="I315" s="555">
        <f t="shared" si="90"/>
        <v>15994</v>
      </c>
      <c r="J315" s="555">
        <f t="shared" si="90"/>
        <v>11128</v>
      </c>
      <c r="K315" s="555">
        <f t="shared" si="90"/>
        <v>418291</v>
      </c>
      <c r="L315" s="555">
        <f t="shared" si="90"/>
        <v>14361733</v>
      </c>
      <c r="M315" s="555">
        <f t="shared" si="90"/>
        <v>0</v>
      </c>
      <c r="N315" s="555">
        <f t="shared" si="90"/>
        <v>36687</v>
      </c>
      <c r="O315" s="555">
        <f t="shared" si="90"/>
        <v>0</v>
      </c>
      <c r="P315" s="555">
        <f t="shared" si="90"/>
        <v>10348174</v>
      </c>
      <c r="Q315" s="555">
        <f t="shared" si="90"/>
        <v>2756289</v>
      </c>
      <c r="R315" s="555">
        <f t="shared" si="90"/>
        <v>2227403</v>
      </c>
      <c r="S315" s="555">
        <f t="shared" si="90"/>
        <v>1412091</v>
      </c>
      <c r="T315" s="555">
        <f t="shared" si="90"/>
        <v>223914</v>
      </c>
      <c r="U315" s="555">
        <f t="shared" si="90"/>
        <v>3307862</v>
      </c>
      <c r="V315" s="555">
        <f t="shared" si="90"/>
        <v>753</v>
      </c>
      <c r="W315" s="555">
        <f t="shared" si="90"/>
        <v>1464754</v>
      </c>
      <c r="X315" s="555">
        <f t="shared" si="90"/>
        <v>4146783</v>
      </c>
      <c r="Y315" s="555">
        <f t="shared" si="90"/>
        <v>1493006</v>
      </c>
      <c r="Z315" s="555">
        <f t="shared" si="90"/>
        <v>786634</v>
      </c>
      <c r="AA315" s="555">
        <f t="shared" si="90"/>
        <v>0</v>
      </c>
      <c r="AB315" s="555">
        <f t="shared" si="90"/>
        <v>503470</v>
      </c>
      <c r="AC315" s="555">
        <f t="shared" si="90"/>
        <v>10777</v>
      </c>
      <c r="AD315" s="555">
        <f t="shared" si="90"/>
        <v>54269</v>
      </c>
      <c r="AE315" s="555">
        <f t="shared" si="90"/>
        <v>287632</v>
      </c>
      <c r="AF315" s="555">
        <f t="shared" si="90"/>
        <v>7490</v>
      </c>
      <c r="AG315" s="555">
        <f t="shared" si="90"/>
        <v>1544</v>
      </c>
      <c r="AH315" s="555">
        <f t="shared" si="90"/>
        <v>1114</v>
      </c>
      <c r="AI315" s="555">
        <f t="shared" si="90"/>
        <v>148413</v>
      </c>
      <c r="AJ315" s="555">
        <f t="shared" si="90"/>
        <v>3170340</v>
      </c>
      <c r="AK315" s="555">
        <f t="shared" si="90"/>
        <v>294452</v>
      </c>
      <c r="AL315" s="555">
        <f t="shared" si="90"/>
        <v>4550</v>
      </c>
      <c r="AM315" s="555">
        <f t="shared" si="90"/>
        <v>12550648</v>
      </c>
      <c r="AN315" s="555">
        <f t="shared" si="90"/>
        <v>3473587</v>
      </c>
      <c r="AO315" s="555">
        <f t="shared" si="90"/>
        <v>0</v>
      </c>
      <c r="AP315" s="555">
        <f t="shared" si="90"/>
        <v>2395380</v>
      </c>
      <c r="AQ315" s="555">
        <f t="shared" si="90"/>
        <v>6854146</v>
      </c>
      <c r="AR315" s="555">
        <f t="shared" si="90"/>
        <v>360856</v>
      </c>
      <c r="AS315" s="555">
        <f t="shared" si="90"/>
        <v>0</v>
      </c>
      <c r="AT315" s="555">
        <f t="shared" si="90"/>
        <v>522759</v>
      </c>
      <c r="AU315" s="555">
        <f t="shared" si="90"/>
        <v>3469941</v>
      </c>
      <c r="AV315" s="555">
        <f t="shared" si="90"/>
        <v>58896</v>
      </c>
      <c r="AW315" s="555">
        <f t="shared" si="90"/>
        <v>0</v>
      </c>
      <c r="AX315" s="555">
        <f t="shared" si="90"/>
        <v>3393703</v>
      </c>
      <c r="AY315" s="555">
        <f t="shared" si="90"/>
        <v>54918</v>
      </c>
      <c r="AZ315" s="555">
        <f t="shared" si="90"/>
        <v>0</v>
      </c>
      <c r="BA315" s="555">
        <f t="shared" si="90"/>
        <v>241498</v>
      </c>
      <c r="BB315" s="555">
        <f t="shared" si="90"/>
        <v>204087</v>
      </c>
      <c r="BC315" s="555">
        <f t="shared" si="90"/>
        <v>0</v>
      </c>
      <c r="BD315" s="555">
        <f t="shared" si="90"/>
        <v>1152</v>
      </c>
      <c r="BE315" s="555">
        <f t="shared" si="90"/>
        <v>6265033</v>
      </c>
      <c r="BF315" s="555">
        <f t="shared" si="90"/>
        <v>0</v>
      </c>
      <c r="BG315" s="555">
        <f t="shared" si="90"/>
        <v>0</v>
      </c>
      <c r="BH315" s="555">
        <f t="shared" si="90"/>
        <v>215276</v>
      </c>
      <c r="BI315" s="555">
        <f t="shared" si="90"/>
        <v>550590</v>
      </c>
      <c r="BJ315" s="555">
        <f t="shared" si="90"/>
        <v>62742</v>
      </c>
      <c r="BK315" s="555">
        <f t="shared" si="90"/>
        <v>231043</v>
      </c>
      <c r="BL315" s="555">
        <f t="shared" si="90"/>
        <v>194929</v>
      </c>
      <c r="BM315" s="555">
        <f t="shared" si="90"/>
        <v>0</v>
      </c>
      <c r="BN315" s="555">
        <f t="shared" ref="BN315:BR315" si="91">BN58</f>
        <v>1478917</v>
      </c>
      <c r="BO315" s="555">
        <f t="shared" si="91"/>
        <v>313445</v>
      </c>
      <c r="BP315" s="555">
        <f t="shared" si="91"/>
        <v>15696</v>
      </c>
      <c r="BQ315" s="555">
        <f t="shared" si="91"/>
        <v>128601</v>
      </c>
      <c r="BR315" s="555">
        <f t="shared" si="91"/>
        <v>125286</v>
      </c>
      <c r="BS315" s="555">
        <f t="shared" ref="BS315:CA315" si="92">BS58</f>
        <v>2726937</v>
      </c>
      <c r="BT315" s="555">
        <f t="shared" si="92"/>
        <v>113699</v>
      </c>
      <c r="BU315" s="555">
        <f t="shared" si="92"/>
        <v>1138152</v>
      </c>
      <c r="BV315" s="555">
        <f t="shared" si="92"/>
        <v>0</v>
      </c>
      <c r="BW315" s="555">
        <f t="shared" si="92"/>
        <v>3460</v>
      </c>
      <c r="BX315" s="555">
        <f t="shared" si="92"/>
        <v>0</v>
      </c>
      <c r="BY315" s="555">
        <f t="shared" si="92"/>
        <v>1772</v>
      </c>
      <c r="BZ315" s="555">
        <f t="shared" si="92"/>
        <v>2751161</v>
      </c>
      <c r="CA315" s="555">
        <f t="shared" si="92"/>
        <v>35798</v>
      </c>
      <c r="CB315" s="564"/>
      <c r="CC315" s="564"/>
      <c r="CD315" s="564"/>
      <c r="CE315" s="564"/>
      <c r="CF315" s="564"/>
      <c r="CG315" s="564"/>
      <c r="CH315" s="564"/>
      <c r="CI315" s="564"/>
      <c r="CJ315" s="564"/>
      <c r="CK315" s="564"/>
      <c r="CL315" s="564"/>
      <c r="CM315" s="564"/>
      <c r="CN315" s="564"/>
      <c r="CO315" s="564"/>
      <c r="CP315" s="564"/>
      <c r="CQ315" s="564"/>
      <c r="CR315" s="564"/>
      <c r="CS315" s="564"/>
      <c r="CT315" s="564"/>
      <c r="CU315" s="564"/>
      <c r="CV315" s="564"/>
      <c r="CW315" s="564"/>
      <c r="CX315" s="564"/>
      <c r="CY315" s="564"/>
      <c r="CZ315" s="564"/>
    </row>
    <row r="316" spans="1:104" s="180" customFormat="1" x14ac:dyDescent="0.3">
      <c r="A316" s="555">
        <f>A14</f>
        <v>44</v>
      </c>
      <c r="B316" s="555" t="str">
        <f t="shared" ref="B316:BM317" si="93">B14</f>
        <v>WS - Total Current Assets</v>
      </c>
      <c r="C316" s="555">
        <f t="shared" si="93"/>
        <v>0</v>
      </c>
      <c r="D316" s="555">
        <f t="shared" si="93"/>
        <v>0</v>
      </c>
      <c r="E316" s="555">
        <f t="shared" si="93"/>
        <v>0</v>
      </c>
      <c r="F316" s="555">
        <f t="shared" si="93"/>
        <v>0</v>
      </c>
      <c r="G316" s="555">
        <f t="shared" si="93"/>
        <v>64791746</v>
      </c>
      <c r="H316" s="555">
        <f t="shared" si="93"/>
        <v>9437115</v>
      </c>
      <c r="I316" s="555">
        <f t="shared" si="93"/>
        <v>502407</v>
      </c>
      <c r="J316" s="555">
        <f t="shared" si="93"/>
        <v>6673940</v>
      </c>
      <c r="K316" s="555">
        <f t="shared" si="93"/>
        <v>1017247</v>
      </c>
      <c r="L316" s="555">
        <f t="shared" si="93"/>
        <v>19220987</v>
      </c>
      <c r="M316" s="555">
        <f t="shared" si="93"/>
        <v>0</v>
      </c>
      <c r="N316" s="555">
        <f t="shared" si="93"/>
        <v>1936483</v>
      </c>
      <c r="O316" s="555">
        <f t="shared" si="93"/>
        <v>0</v>
      </c>
      <c r="P316" s="555">
        <f t="shared" si="93"/>
        <v>0</v>
      </c>
      <c r="Q316" s="555">
        <f t="shared" si="93"/>
        <v>11096710</v>
      </c>
      <c r="R316" s="555">
        <f t="shared" si="93"/>
        <v>8586498</v>
      </c>
      <c r="S316" s="555">
        <f t="shared" si="93"/>
        <v>6565533</v>
      </c>
      <c r="T316" s="555">
        <f t="shared" si="93"/>
        <v>69013</v>
      </c>
      <c r="U316" s="555">
        <f t="shared" si="93"/>
        <v>15821094</v>
      </c>
      <c r="V316" s="555">
        <f t="shared" si="93"/>
        <v>0</v>
      </c>
      <c r="W316" s="555">
        <f t="shared" si="93"/>
        <v>0</v>
      </c>
      <c r="X316" s="555">
        <f t="shared" si="93"/>
        <v>0</v>
      </c>
      <c r="Y316" s="555">
        <f t="shared" si="93"/>
        <v>4266544</v>
      </c>
      <c r="Z316" s="555">
        <f t="shared" si="93"/>
        <v>2365737</v>
      </c>
      <c r="AA316" s="555">
        <f t="shared" si="93"/>
        <v>0</v>
      </c>
      <c r="AB316" s="555">
        <f t="shared" si="93"/>
        <v>0</v>
      </c>
      <c r="AC316" s="555">
        <f t="shared" si="93"/>
        <v>120470</v>
      </c>
      <c r="AD316" s="555">
        <f t="shared" si="93"/>
        <v>2461592</v>
      </c>
      <c r="AE316" s="555">
        <f t="shared" si="93"/>
        <v>2724451</v>
      </c>
      <c r="AF316" s="555">
        <f t="shared" si="93"/>
        <v>40730</v>
      </c>
      <c r="AG316" s="555">
        <f t="shared" si="93"/>
        <v>0</v>
      </c>
      <c r="AH316" s="555">
        <f t="shared" si="93"/>
        <v>0</v>
      </c>
      <c r="AI316" s="555">
        <f t="shared" si="93"/>
        <v>0</v>
      </c>
      <c r="AJ316" s="555">
        <f t="shared" si="93"/>
        <v>3085652</v>
      </c>
      <c r="AK316" s="555">
        <f t="shared" si="93"/>
        <v>110058</v>
      </c>
      <c r="AL316" s="555">
        <f t="shared" si="93"/>
        <v>0</v>
      </c>
      <c r="AM316" s="555">
        <f t="shared" si="93"/>
        <v>0</v>
      </c>
      <c r="AN316" s="555">
        <f t="shared" si="93"/>
        <v>13914821</v>
      </c>
      <c r="AO316" s="555">
        <f t="shared" si="93"/>
        <v>0</v>
      </c>
      <c r="AP316" s="555">
        <f t="shared" si="93"/>
        <v>0</v>
      </c>
      <c r="AQ316" s="555">
        <f t="shared" si="93"/>
        <v>9053943</v>
      </c>
      <c r="AR316" s="555">
        <f t="shared" si="93"/>
        <v>773259</v>
      </c>
      <c r="AS316" s="555">
        <f t="shared" si="93"/>
        <v>0</v>
      </c>
      <c r="AT316" s="555">
        <f t="shared" si="93"/>
        <v>1407419</v>
      </c>
      <c r="AU316" s="555">
        <f t="shared" si="93"/>
        <v>8128788</v>
      </c>
      <c r="AV316" s="555">
        <f t="shared" si="93"/>
        <v>1573069</v>
      </c>
      <c r="AW316" s="555">
        <f t="shared" si="93"/>
        <v>0</v>
      </c>
      <c r="AX316" s="555">
        <f t="shared" si="93"/>
        <v>5258317</v>
      </c>
      <c r="AY316" s="555">
        <f t="shared" si="93"/>
        <v>1711327</v>
      </c>
      <c r="AZ316" s="555">
        <f t="shared" si="93"/>
        <v>0</v>
      </c>
      <c r="BA316" s="555">
        <f t="shared" si="93"/>
        <v>1401</v>
      </c>
      <c r="BB316" s="555">
        <f t="shared" si="93"/>
        <v>1089540</v>
      </c>
      <c r="BC316" s="555">
        <f t="shared" si="93"/>
        <v>0</v>
      </c>
      <c r="BD316" s="555">
        <f t="shared" si="93"/>
        <v>0</v>
      </c>
      <c r="BE316" s="555">
        <f t="shared" si="93"/>
        <v>10296849</v>
      </c>
      <c r="BF316" s="555">
        <f t="shared" si="93"/>
        <v>0</v>
      </c>
      <c r="BG316" s="555">
        <f t="shared" si="93"/>
        <v>0</v>
      </c>
      <c r="BH316" s="555">
        <f t="shared" si="93"/>
        <v>1191774</v>
      </c>
      <c r="BI316" s="555">
        <f t="shared" si="93"/>
        <v>2916444</v>
      </c>
      <c r="BJ316" s="555">
        <f t="shared" si="93"/>
        <v>65078</v>
      </c>
      <c r="BK316" s="555">
        <f t="shared" si="93"/>
        <v>5500102</v>
      </c>
      <c r="BL316" s="555">
        <f t="shared" si="93"/>
        <v>4401812</v>
      </c>
      <c r="BM316" s="555">
        <f t="shared" si="93"/>
        <v>0</v>
      </c>
      <c r="BN316" s="555">
        <f t="shared" ref="BN316:BR319" si="94">BN14</f>
        <v>3042687</v>
      </c>
      <c r="BO316" s="555">
        <f t="shared" si="94"/>
        <v>4804091</v>
      </c>
      <c r="BP316" s="555">
        <f t="shared" si="94"/>
        <v>1328074</v>
      </c>
      <c r="BQ316" s="555">
        <f t="shared" si="94"/>
        <v>3191915</v>
      </c>
      <c r="BR316" s="555">
        <f t="shared" si="94"/>
        <v>0</v>
      </c>
      <c r="BS316" s="555">
        <f t="shared" ref="BS316:CA316" si="95">BS14</f>
        <v>0</v>
      </c>
      <c r="BT316" s="555">
        <f t="shared" si="95"/>
        <v>1195684</v>
      </c>
      <c r="BU316" s="555">
        <f t="shared" si="95"/>
        <v>5803929</v>
      </c>
      <c r="BV316" s="555">
        <f t="shared" si="95"/>
        <v>0</v>
      </c>
      <c r="BW316" s="555">
        <f t="shared" si="95"/>
        <v>2176122</v>
      </c>
      <c r="BX316" s="555">
        <f t="shared" si="95"/>
        <v>0</v>
      </c>
      <c r="BY316" s="555">
        <f t="shared" si="95"/>
        <v>0</v>
      </c>
      <c r="BZ316" s="555">
        <f t="shared" si="95"/>
        <v>12097808</v>
      </c>
      <c r="CA316" s="555">
        <f t="shared" si="95"/>
        <v>0</v>
      </c>
      <c r="CB316" s="564"/>
      <c r="CC316" s="564"/>
      <c r="CD316" s="564"/>
      <c r="CE316" s="564"/>
      <c r="CF316" s="564"/>
      <c r="CG316" s="564"/>
      <c r="CH316" s="564"/>
      <c r="CI316" s="564"/>
      <c r="CJ316" s="564"/>
      <c r="CK316" s="564"/>
      <c r="CL316" s="564"/>
      <c r="CM316" s="564"/>
      <c r="CN316" s="564"/>
      <c r="CO316" s="564"/>
      <c r="CP316" s="564"/>
      <c r="CQ316" s="564"/>
      <c r="CR316" s="564"/>
      <c r="CS316" s="564"/>
      <c r="CT316" s="564"/>
      <c r="CU316" s="564"/>
      <c r="CV316" s="564"/>
      <c r="CW316" s="564"/>
      <c r="CX316" s="564"/>
      <c r="CY316" s="564"/>
      <c r="CZ316" s="564"/>
    </row>
    <row r="317" spans="1:104" s="180" customFormat="1" x14ac:dyDescent="0.3">
      <c r="A317" s="555">
        <f t="shared" ref="A317:P319" si="96">A15</f>
        <v>45</v>
      </c>
      <c r="B317" s="555" t="str">
        <f t="shared" si="96"/>
        <v>WS - Select Current Liabilities</v>
      </c>
      <c r="C317" s="555">
        <f t="shared" si="96"/>
        <v>0</v>
      </c>
      <c r="D317" s="555">
        <f t="shared" si="96"/>
        <v>0</v>
      </c>
      <c r="E317" s="555">
        <f t="shared" si="96"/>
        <v>0</v>
      </c>
      <c r="F317" s="555">
        <f t="shared" si="96"/>
        <v>0</v>
      </c>
      <c r="G317" s="555">
        <f t="shared" si="96"/>
        <v>16414083</v>
      </c>
      <c r="H317" s="555">
        <f t="shared" si="96"/>
        <v>329498</v>
      </c>
      <c r="I317" s="555">
        <f t="shared" si="96"/>
        <v>34361</v>
      </c>
      <c r="J317" s="555">
        <f t="shared" si="96"/>
        <v>2094</v>
      </c>
      <c r="K317" s="555">
        <f t="shared" si="96"/>
        <v>132554</v>
      </c>
      <c r="L317" s="555">
        <f t="shared" si="96"/>
        <v>5709805</v>
      </c>
      <c r="M317" s="555">
        <f t="shared" si="96"/>
        <v>0</v>
      </c>
      <c r="N317" s="555">
        <f t="shared" si="96"/>
        <v>23337</v>
      </c>
      <c r="O317" s="555">
        <f t="shared" si="96"/>
        <v>0</v>
      </c>
      <c r="P317" s="555">
        <f t="shared" si="96"/>
        <v>0</v>
      </c>
      <c r="Q317" s="555">
        <f t="shared" si="93"/>
        <v>948139</v>
      </c>
      <c r="R317" s="555">
        <f t="shared" si="93"/>
        <v>967196</v>
      </c>
      <c r="S317" s="555">
        <f t="shared" si="93"/>
        <v>2089296</v>
      </c>
      <c r="T317" s="555">
        <f t="shared" si="93"/>
        <v>129966</v>
      </c>
      <c r="U317" s="555">
        <f t="shared" si="93"/>
        <v>2387395</v>
      </c>
      <c r="V317" s="555">
        <f t="shared" si="93"/>
        <v>0</v>
      </c>
      <c r="W317" s="555">
        <f t="shared" si="93"/>
        <v>0</v>
      </c>
      <c r="X317" s="555">
        <f t="shared" si="93"/>
        <v>0</v>
      </c>
      <c r="Y317" s="555">
        <f t="shared" si="93"/>
        <v>512125</v>
      </c>
      <c r="Z317" s="555">
        <f t="shared" si="93"/>
        <v>57194</v>
      </c>
      <c r="AA317" s="555">
        <f t="shared" si="93"/>
        <v>0</v>
      </c>
      <c r="AB317" s="555">
        <f t="shared" si="93"/>
        <v>0</v>
      </c>
      <c r="AC317" s="555">
        <f t="shared" si="93"/>
        <v>25378</v>
      </c>
      <c r="AD317" s="555">
        <f t="shared" si="93"/>
        <v>244299</v>
      </c>
      <c r="AE317" s="555">
        <f t="shared" si="93"/>
        <v>327870</v>
      </c>
      <c r="AF317" s="555">
        <f t="shared" si="93"/>
        <v>0</v>
      </c>
      <c r="AG317" s="555">
        <f t="shared" si="93"/>
        <v>0</v>
      </c>
      <c r="AH317" s="555">
        <f t="shared" si="93"/>
        <v>0</v>
      </c>
      <c r="AI317" s="555">
        <f t="shared" si="93"/>
        <v>0</v>
      </c>
      <c r="AJ317" s="555">
        <f t="shared" si="93"/>
        <v>1879221</v>
      </c>
      <c r="AK317" s="555">
        <f t="shared" si="93"/>
        <v>2976</v>
      </c>
      <c r="AL317" s="555">
        <f t="shared" si="93"/>
        <v>0</v>
      </c>
      <c r="AM317" s="555">
        <f t="shared" si="93"/>
        <v>0</v>
      </c>
      <c r="AN317" s="555">
        <f t="shared" si="93"/>
        <v>2018520</v>
      </c>
      <c r="AO317" s="555">
        <f t="shared" si="93"/>
        <v>0</v>
      </c>
      <c r="AP317" s="555">
        <f t="shared" si="93"/>
        <v>0</v>
      </c>
      <c r="AQ317" s="555">
        <f t="shared" si="93"/>
        <v>1125615</v>
      </c>
      <c r="AR317" s="555">
        <f t="shared" si="93"/>
        <v>176738</v>
      </c>
      <c r="AS317" s="555">
        <f t="shared" si="93"/>
        <v>0</v>
      </c>
      <c r="AT317" s="555">
        <f t="shared" si="93"/>
        <v>143471</v>
      </c>
      <c r="AU317" s="555">
        <f t="shared" si="93"/>
        <v>498205</v>
      </c>
      <c r="AV317" s="555">
        <f t="shared" si="93"/>
        <v>47936</v>
      </c>
      <c r="AW317" s="555">
        <f t="shared" si="93"/>
        <v>0</v>
      </c>
      <c r="AX317" s="555">
        <f t="shared" si="93"/>
        <v>90297</v>
      </c>
      <c r="AY317" s="555">
        <f t="shared" si="93"/>
        <v>79187</v>
      </c>
      <c r="AZ317" s="555">
        <f t="shared" si="93"/>
        <v>0</v>
      </c>
      <c r="BA317" s="555">
        <f t="shared" si="93"/>
        <v>38216</v>
      </c>
      <c r="BB317" s="555">
        <f t="shared" si="93"/>
        <v>192838</v>
      </c>
      <c r="BC317" s="555">
        <f t="shared" si="93"/>
        <v>0</v>
      </c>
      <c r="BD317" s="555">
        <f t="shared" si="93"/>
        <v>0</v>
      </c>
      <c r="BE317" s="555">
        <f t="shared" si="93"/>
        <v>922494</v>
      </c>
      <c r="BF317" s="555">
        <f t="shared" si="93"/>
        <v>0</v>
      </c>
      <c r="BG317" s="555">
        <f t="shared" si="93"/>
        <v>0</v>
      </c>
      <c r="BH317" s="555">
        <f t="shared" si="93"/>
        <v>474319</v>
      </c>
      <c r="BI317" s="555">
        <f t="shared" si="93"/>
        <v>197825</v>
      </c>
      <c r="BJ317" s="555">
        <f t="shared" si="93"/>
        <v>19292</v>
      </c>
      <c r="BK317" s="555">
        <f t="shared" si="93"/>
        <v>192146</v>
      </c>
      <c r="BL317" s="555">
        <f t="shared" si="93"/>
        <v>146428</v>
      </c>
      <c r="BM317" s="555">
        <f t="shared" si="93"/>
        <v>0</v>
      </c>
      <c r="BN317" s="555">
        <f t="shared" si="94"/>
        <v>391412</v>
      </c>
      <c r="BO317" s="555">
        <f t="shared" si="94"/>
        <v>53510</v>
      </c>
      <c r="BP317" s="555">
        <f t="shared" si="94"/>
        <v>25604</v>
      </c>
      <c r="BQ317" s="555">
        <f t="shared" si="94"/>
        <v>207051</v>
      </c>
      <c r="BR317" s="555">
        <f t="shared" si="94"/>
        <v>0</v>
      </c>
      <c r="BS317" s="555">
        <f t="shared" ref="BS317:CA317" si="97">BS15</f>
        <v>0</v>
      </c>
      <c r="BT317" s="555">
        <f t="shared" si="97"/>
        <v>146107</v>
      </c>
      <c r="BU317" s="555">
        <f t="shared" si="97"/>
        <v>1218977</v>
      </c>
      <c r="BV317" s="555">
        <f t="shared" si="97"/>
        <v>0</v>
      </c>
      <c r="BW317" s="555">
        <f t="shared" si="97"/>
        <v>176665</v>
      </c>
      <c r="BX317" s="555">
        <f t="shared" si="97"/>
        <v>0</v>
      </c>
      <c r="BY317" s="555">
        <f t="shared" si="97"/>
        <v>0</v>
      </c>
      <c r="BZ317" s="555">
        <f t="shared" si="97"/>
        <v>3876715</v>
      </c>
      <c r="CA317" s="555">
        <f t="shared" si="97"/>
        <v>0</v>
      </c>
      <c r="CB317" s="564"/>
      <c r="CC317" s="564"/>
      <c r="CD317" s="564"/>
      <c r="CE317" s="564"/>
      <c r="CF317" s="564"/>
      <c r="CG317" s="564"/>
      <c r="CH317" s="564"/>
      <c r="CI317" s="564"/>
      <c r="CJ317" s="564"/>
      <c r="CK317" s="564"/>
      <c r="CL317" s="564"/>
      <c r="CM317" s="564"/>
      <c r="CN317" s="564"/>
      <c r="CO317" s="564"/>
      <c r="CP317" s="564"/>
      <c r="CQ317" s="564"/>
      <c r="CR317" s="564"/>
      <c r="CS317" s="564"/>
      <c r="CT317" s="564"/>
      <c r="CU317" s="564"/>
      <c r="CV317" s="564"/>
      <c r="CW317" s="564"/>
      <c r="CX317" s="564"/>
      <c r="CY317" s="564"/>
      <c r="CZ317" s="564"/>
    </row>
    <row r="318" spans="1:104" s="180" customFormat="1" x14ac:dyDescent="0.3">
      <c r="A318" s="555">
        <f t="shared" si="96"/>
        <v>47</v>
      </c>
      <c r="B318" s="555" t="str">
        <f t="shared" ref="B318:BM319" si="98">B16</f>
        <v>Electric - Total Current Assets</v>
      </c>
      <c r="C318" s="555">
        <f t="shared" si="98"/>
        <v>0</v>
      </c>
      <c r="D318" s="555">
        <f t="shared" si="98"/>
        <v>0</v>
      </c>
      <c r="E318" s="555">
        <f t="shared" si="98"/>
        <v>0</v>
      </c>
      <c r="F318" s="555">
        <f t="shared" si="98"/>
        <v>0</v>
      </c>
      <c r="G318" s="555">
        <f t="shared" si="98"/>
        <v>0</v>
      </c>
      <c r="H318" s="555">
        <f t="shared" si="98"/>
        <v>0</v>
      </c>
      <c r="I318" s="555">
        <f t="shared" si="98"/>
        <v>0</v>
      </c>
      <c r="J318" s="555">
        <f t="shared" si="98"/>
        <v>0</v>
      </c>
      <c r="K318" s="555">
        <f t="shared" si="98"/>
        <v>0</v>
      </c>
      <c r="L318" s="555">
        <f t="shared" si="98"/>
        <v>0</v>
      </c>
      <c r="M318" s="555">
        <f t="shared" si="98"/>
        <v>0</v>
      </c>
      <c r="N318" s="555">
        <f t="shared" si="98"/>
        <v>0</v>
      </c>
      <c r="O318" s="555">
        <f t="shared" si="98"/>
        <v>0</v>
      </c>
      <c r="P318" s="555">
        <f t="shared" si="98"/>
        <v>0</v>
      </c>
      <c r="Q318" s="555">
        <f t="shared" si="98"/>
        <v>0</v>
      </c>
      <c r="R318" s="555">
        <f t="shared" si="98"/>
        <v>0</v>
      </c>
      <c r="S318" s="555">
        <f t="shared" si="98"/>
        <v>6574857</v>
      </c>
      <c r="T318" s="555">
        <f t="shared" si="98"/>
        <v>0</v>
      </c>
      <c r="U318" s="555">
        <f t="shared" si="98"/>
        <v>48206437</v>
      </c>
      <c r="V318" s="555">
        <f t="shared" si="98"/>
        <v>0</v>
      </c>
      <c r="W318" s="555">
        <f t="shared" si="98"/>
        <v>0</v>
      </c>
      <c r="X318" s="555">
        <f t="shared" si="98"/>
        <v>0</v>
      </c>
      <c r="Y318" s="555">
        <f t="shared" si="98"/>
        <v>0</v>
      </c>
      <c r="Z318" s="555">
        <f t="shared" si="98"/>
        <v>1533368</v>
      </c>
      <c r="AA318" s="555">
        <f t="shared" si="98"/>
        <v>0</v>
      </c>
      <c r="AB318" s="555">
        <f t="shared" si="98"/>
        <v>0</v>
      </c>
      <c r="AC318" s="555">
        <f t="shared" si="98"/>
        <v>0</v>
      </c>
      <c r="AD318" s="555">
        <f t="shared" si="98"/>
        <v>0</v>
      </c>
      <c r="AE318" s="555">
        <f t="shared" si="98"/>
        <v>3097861</v>
      </c>
      <c r="AF318" s="555">
        <f t="shared" si="98"/>
        <v>0</v>
      </c>
      <c r="AG318" s="555">
        <f t="shared" si="98"/>
        <v>0</v>
      </c>
      <c r="AH318" s="555">
        <f t="shared" si="98"/>
        <v>0</v>
      </c>
      <c r="AI318" s="555">
        <f t="shared" si="98"/>
        <v>0</v>
      </c>
      <c r="AJ318" s="555">
        <f t="shared" si="98"/>
        <v>4366490</v>
      </c>
      <c r="AK318" s="555">
        <f t="shared" si="98"/>
        <v>0</v>
      </c>
      <c r="AL318" s="555">
        <f t="shared" si="98"/>
        <v>0</v>
      </c>
      <c r="AM318" s="555">
        <f t="shared" si="98"/>
        <v>0</v>
      </c>
      <c r="AN318" s="555">
        <f t="shared" si="98"/>
        <v>0</v>
      </c>
      <c r="AO318" s="555">
        <f t="shared" si="98"/>
        <v>0</v>
      </c>
      <c r="AP318" s="555">
        <f t="shared" si="98"/>
        <v>0</v>
      </c>
      <c r="AQ318" s="555">
        <f t="shared" si="98"/>
        <v>25273455</v>
      </c>
      <c r="AR318" s="555">
        <f t="shared" si="98"/>
        <v>0</v>
      </c>
      <c r="AS318" s="555">
        <f t="shared" si="98"/>
        <v>0</v>
      </c>
      <c r="AT318" s="555">
        <f t="shared" si="98"/>
        <v>0</v>
      </c>
      <c r="AU318" s="555">
        <f t="shared" si="98"/>
        <v>4110362</v>
      </c>
      <c r="AV318" s="555">
        <f t="shared" si="98"/>
        <v>0</v>
      </c>
      <c r="AW318" s="555">
        <f t="shared" si="98"/>
        <v>0</v>
      </c>
      <c r="AX318" s="555">
        <f t="shared" si="98"/>
        <v>0</v>
      </c>
      <c r="AY318" s="555">
        <f t="shared" si="98"/>
        <v>0</v>
      </c>
      <c r="AZ318" s="555">
        <f t="shared" si="98"/>
        <v>0</v>
      </c>
      <c r="BA318" s="555">
        <f t="shared" si="98"/>
        <v>0</v>
      </c>
      <c r="BB318" s="555">
        <f t="shared" si="98"/>
        <v>0</v>
      </c>
      <c r="BC318" s="555">
        <f t="shared" si="98"/>
        <v>0</v>
      </c>
      <c r="BD318" s="555">
        <f t="shared" si="98"/>
        <v>0</v>
      </c>
      <c r="BE318" s="555">
        <f t="shared" si="98"/>
        <v>17165724</v>
      </c>
      <c r="BF318" s="555">
        <f t="shared" si="98"/>
        <v>0</v>
      </c>
      <c r="BG318" s="555">
        <f t="shared" si="98"/>
        <v>0</v>
      </c>
      <c r="BH318" s="555">
        <f t="shared" si="98"/>
        <v>0</v>
      </c>
      <c r="BI318" s="555">
        <f t="shared" si="98"/>
        <v>0</v>
      </c>
      <c r="BJ318" s="555">
        <f t="shared" si="98"/>
        <v>0</v>
      </c>
      <c r="BK318" s="555">
        <f t="shared" si="98"/>
        <v>3867914</v>
      </c>
      <c r="BL318" s="555">
        <f t="shared" si="98"/>
        <v>0</v>
      </c>
      <c r="BM318" s="555">
        <f t="shared" si="98"/>
        <v>0</v>
      </c>
      <c r="BN318" s="555">
        <f t="shared" si="94"/>
        <v>0</v>
      </c>
      <c r="BO318" s="555">
        <f t="shared" si="94"/>
        <v>0</v>
      </c>
      <c r="BP318" s="555">
        <f t="shared" si="94"/>
        <v>0</v>
      </c>
      <c r="BQ318" s="555">
        <f t="shared" si="94"/>
        <v>0</v>
      </c>
      <c r="BR318" s="555">
        <f t="shared" si="94"/>
        <v>0</v>
      </c>
      <c r="BS318" s="555">
        <f t="shared" ref="BS318:CA318" si="99">BS16</f>
        <v>0</v>
      </c>
      <c r="BT318" s="555">
        <f t="shared" si="99"/>
        <v>0</v>
      </c>
      <c r="BU318" s="555">
        <f t="shared" si="99"/>
        <v>0</v>
      </c>
      <c r="BV318" s="555">
        <f t="shared" si="99"/>
        <v>0</v>
      </c>
      <c r="BW318" s="555">
        <f t="shared" si="99"/>
        <v>0</v>
      </c>
      <c r="BX318" s="555">
        <f t="shared" si="99"/>
        <v>0</v>
      </c>
      <c r="BY318" s="555">
        <f t="shared" si="99"/>
        <v>0</v>
      </c>
      <c r="BZ318" s="555">
        <f t="shared" si="99"/>
        <v>0</v>
      </c>
      <c r="CA318" s="555">
        <f t="shared" si="99"/>
        <v>0</v>
      </c>
      <c r="CB318" s="564"/>
      <c r="CC318" s="564"/>
      <c r="CD318" s="564"/>
      <c r="CE318" s="564"/>
      <c r="CF318" s="564"/>
      <c r="CG318" s="564"/>
      <c r="CH318" s="564"/>
      <c r="CI318" s="564"/>
      <c r="CJ318" s="564"/>
      <c r="CK318" s="564"/>
      <c r="CL318" s="564"/>
      <c r="CM318" s="564"/>
      <c r="CN318" s="564"/>
      <c r="CO318" s="564"/>
      <c r="CP318" s="564"/>
      <c r="CQ318" s="564"/>
      <c r="CR318" s="564"/>
      <c r="CS318" s="564"/>
      <c r="CT318" s="564"/>
      <c r="CU318" s="564"/>
      <c r="CV318" s="564"/>
      <c r="CW318" s="564"/>
      <c r="CX318" s="564"/>
      <c r="CY318" s="564"/>
      <c r="CZ318" s="564"/>
    </row>
    <row r="319" spans="1:104" s="180" customFormat="1" x14ac:dyDescent="0.3">
      <c r="A319" s="555">
        <f t="shared" si="96"/>
        <v>48</v>
      </c>
      <c r="B319" s="555" t="str">
        <f t="shared" si="98"/>
        <v>Electric - Select Current Liabilities</v>
      </c>
      <c r="C319" s="555">
        <f t="shared" si="98"/>
        <v>0</v>
      </c>
      <c r="D319" s="555">
        <f t="shared" si="98"/>
        <v>0</v>
      </c>
      <c r="E319" s="555">
        <f t="shared" si="98"/>
        <v>0</v>
      </c>
      <c r="F319" s="555">
        <f t="shared" si="98"/>
        <v>0</v>
      </c>
      <c r="G319" s="555">
        <f t="shared" si="98"/>
        <v>0</v>
      </c>
      <c r="H319" s="555">
        <f t="shared" si="98"/>
        <v>0</v>
      </c>
      <c r="I319" s="555">
        <f t="shared" si="98"/>
        <v>0</v>
      </c>
      <c r="J319" s="555">
        <f t="shared" si="98"/>
        <v>0</v>
      </c>
      <c r="K319" s="555">
        <f t="shared" si="98"/>
        <v>0</v>
      </c>
      <c r="L319" s="555">
        <f t="shared" si="98"/>
        <v>0</v>
      </c>
      <c r="M319" s="555">
        <f t="shared" si="98"/>
        <v>0</v>
      </c>
      <c r="N319" s="555">
        <f t="shared" si="98"/>
        <v>0</v>
      </c>
      <c r="O319" s="555">
        <f t="shared" si="98"/>
        <v>0</v>
      </c>
      <c r="P319" s="555">
        <f t="shared" si="98"/>
        <v>0</v>
      </c>
      <c r="Q319" s="555">
        <f t="shared" si="98"/>
        <v>0</v>
      </c>
      <c r="R319" s="555">
        <f t="shared" si="98"/>
        <v>0</v>
      </c>
      <c r="S319" s="555">
        <f t="shared" si="98"/>
        <v>1693819</v>
      </c>
      <c r="T319" s="555">
        <f t="shared" si="98"/>
        <v>0</v>
      </c>
      <c r="U319" s="555">
        <f t="shared" si="98"/>
        <v>1841616</v>
      </c>
      <c r="V319" s="555">
        <f t="shared" si="98"/>
        <v>0</v>
      </c>
      <c r="W319" s="555">
        <f t="shared" si="98"/>
        <v>0</v>
      </c>
      <c r="X319" s="555">
        <f t="shared" si="98"/>
        <v>0</v>
      </c>
      <c r="Y319" s="555">
        <f t="shared" si="98"/>
        <v>0</v>
      </c>
      <c r="Z319" s="555">
        <f t="shared" si="98"/>
        <v>797833</v>
      </c>
      <c r="AA319" s="555">
        <f t="shared" si="98"/>
        <v>0</v>
      </c>
      <c r="AB319" s="555">
        <f t="shared" si="98"/>
        <v>0</v>
      </c>
      <c r="AC319" s="555">
        <f t="shared" si="98"/>
        <v>0</v>
      </c>
      <c r="AD319" s="555">
        <f t="shared" si="98"/>
        <v>0</v>
      </c>
      <c r="AE319" s="555">
        <f t="shared" si="98"/>
        <v>396133</v>
      </c>
      <c r="AF319" s="555">
        <f t="shared" si="98"/>
        <v>0</v>
      </c>
      <c r="AG319" s="555">
        <f t="shared" si="98"/>
        <v>0</v>
      </c>
      <c r="AH319" s="555">
        <f t="shared" si="98"/>
        <v>0</v>
      </c>
      <c r="AI319" s="555">
        <f t="shared" si="98"/>
        <v>0</v>
      </c>
      <c r="AJ319" s="555">
        <f t="shared" si="98"/>
        <v>1973446</v>
      </c>
      <c r="AK319" s="555">
        <f t="shared" si="98"/>
        <v>0</v>
      </c>
      <c r="AL319" s="555">
        <f t="shared" si="98"/>
        <v>0</v>
      </c>
      <c r="AM319" s="555">
        <f t="shared" si="98"/>
        <v>0</v>
      </c>
      <c r="AN319" s="555">
        <f t="shared" si="98"/>
        <v>0</v>
      </c>
      <c r="AO319" s="555">
        <f t="shared" si="98"/>
        <v>0</v>
      </c>
      <c r="AP319" s="555">
        <f t="shared" si="98"/>
        <v>0</v>
      </c>
      <c r="AQ319" s="555">
        <f t="shared" si="98"/>
        <v>4042201</v>
      </c>
      <c r="AR319" s="555">
        <f t="shared" si="98"/>
        <v>0</v>
      </c>
      <c r="AS319" s="555">
        <f t="shared" si="98"/>
        <v>0</v>
      </c>
      <c r="AT319" s="555">
        <f t="shared" si="98"/>
        <v>0</v>
      </c>
      <c r="AU319" s="555">
        <f t="shared" si="98"/>
        <v>528177</v>
      </c>
      <c r="AV319" s="555">
        <f t="shared" si="98"/>
        <v>0</v>
      </c>
      <c r="AW319" s="555">
        <f t="shared" si="98"/>
        <v>0</v>
      </c>
      <c r="AX319" s="555">
        <f t="shared" si="98"/>
        <v>0</v>
      </c>
      <c r="AY319" s="555">
        <f t="shared" si="98"/>
        <v>0</v>
      </c>
      <c r="AZ319" s="555">
        <f t="shared" si="98"/>
        <v>0</v>
      </c>
      <c r="BA319" s="555">
        <f t="shared" si="98"/>
        <v>0</v>
      </c>
      <c r="BB319" s="555">
        <f t="shared" si="98"/>
        <v>0</v>
      </c>
      <c r="BC319" s="555">
        <f t="shared" si="98"/>
        <v>0</v>
      </c>
      <c r="BD319" s="555">
        <f t="shared" si="98"/>
        <v>0</v>
      </c>
      <c r="BE319" s="555">
        <f t="shared" si="98"/>
        <v>3779222</v>
      </c>
      <c r="BF319" s="555">
        <f t="shared" si="98"/>
        <v>0</v>
      </c>
      <c r="BG319" s="555">
        <f t="shared" si="98"/>
        <v>0</v>
      </c>
      <c r="BH319" s="555">
        <f t="shared" si="98"/>
        <v>0</v>
      </c>
      <c r="BI319" s="555">
        <f t="shared" si="98"/>
        <v>0</v>
      </c>
      <c r="BJ319" s="555">
        <f t="shared" si="98"/>
        <v>0</v>
      </c>
      <c r="BK319" s="555">
        <f t="shared" si="98"/>
        <v>164790</v>
      </c>
      <c r="BL319" s="555">
        <f t="shared" si="98"/>
        <v>0</v>
      </c>
      <c r="BM319" s="555">
        <f t="shared" si="98"/>
        <v>0</v>
      </c>
      <c r="BN319" s="555">
        <f t="shared" si="94"/>
        <v>0</v>
      </c>
      <c r="BO319" s="555">
        <f t="shared" si="94"/>
        <v>0</v>
      </c>
      <c r="BP319" s="555">
        <f t="shared" si="94"/>
        <v>0</v>
      </c>
      <c r="BQ319" s="555">
        <f t="shared" si="94"/>
        <v>0</v>
      </c>
      <c r="BR319" s="555">
        <f t="shared" si="94"/>
        <v>0</v>
      </c>
      <c r="BS319" s="555">
        <f t="shared" ref="BS319:CA319" si="100">BS17</f>
        <v>0</v>
      </c>
      <c r="BT319" s="555">
        <f t="shared" si="100"/>
        <v>0</v>
      </c>
      <c r="BU319" s="555">
        <f t="shared" si="100"/>
        <v>0</v>
      </c>
      <c r="BV319" s="555">
        <f t="shared" si="100"/>
        <v>0</v>
      </c>
      <c r="BW319" s="555">
        <f t="shared" si="100"/>
        <v>0</v>
      </c>
      <c r="BX319" s="555">
        <f t="shared" si="100"/>
        <v>0</v>
      </c>
      <c r="BY319" s="555">
        <f t="shared" si="100"/>
        <v>0</v>
      </c>
      <c r="BZ319" s="555">
        <f t="shared" si="100"/>
        <v>0</v>
      </c>
      <c r="CA319" s="555">
        <f t="shared" si="100"/>
        <v>0</v>
      </c>
      <c r="CB319" s="564"/>
      <c r="CC319" s="564"/>
      <c r="CD319" s="564"/>
      <c r="CE319" s="564"/>
      <c r="CF319" s="564"/>
      <c r="CG319" s="564"/>
      <c r="CH319" s="564"/>
      <c r="CI319" s="564"/>
      <c r="CJ319" s="564"/>
      <c r="CK319" s="564"/>
      <c r="CL319" s="564"/>
      <c r="CM319" s="564"/>
      <c r="CN319" s="564"/>
      <c r="CO319" s="564"/>
      <c r="CP319" s="564"/>
      <c r="CQ319" s="564"/>
      <c r="CR319" s="564"/>
      <c r="CS319" s="564"/>
      <c r="CT319" s="564"/>
      <c r="CU319" s="564"/>
      <c r="CV319" s="564"/>
      <c r="CW319" s="564"/>
      <c r="CX319" s="564"/>
      <c r="CY319" s="564"/>
      <c r="CZ319" s="564"/>
    </row>
    <row r="320" spans="1:104" s="180" customFormat="1" x14ac:dyDescent="0.3">
      <c r="A320" s="559">
        <f>A95</f>
        <v>385</v>
      </c>
      <c r="B320" s="559" t="str">
        <f t="shared" ref="B320:BM320" si="101">B95</f>
        <v>Gov - Total Assets and deferred outflows</v>
      </c>
      <c r="C320" s="559">
        <f t="shared" si="101"/>
        <v>0</v>
      </c>
      <c r="D320" s="559">
        <f t="shared" si="101"/>
        <v>7263313</v>
      </c>
      <c r="E320" s="559">
        <f t="shared" si="101"/>
        <v>132832315</v>
      </c>
      <c r="F320" s="559">
        <f t="shared" si="101"/>
        <v>0</v>
      </c>
      <c r="G320" s="559">
        <f t="shared" si="101"/>
        <v>192091873</v>
      </c>
      <c r="H320" s="559">
        <f t="shared" si="101"/>
        <v>19610224</v>
      </c>
      <c r="I320" s="559">
        <f t="shared" si="101"/>
        <v>831996</v>
      </c>
      <c r="J320" s="559">
        <f t="shared" si="101"/>
        <v>5204857</v>
      </c>
      <c r="K320" s="559">
        <f t="shared" si="101"/>
        <v>6086245</v>
      </c>
      <c r="L320" s="559">
        <f t="shared" si="101"/>
        <v>372292842</v>
      </c>
      <c r="M320" s="559">
        <f t="shared" si="101"/>
        <v>0</v>
      </c>
      <c r="N320" s="559">
        <f t="shared" si="101"/>
        <v>2666550</v>
      </c>
      <c r="O320" s="559">
        <f t="shared" si="101"/>
        <v>0</v>
      </c>
      <c r="P320" s="559">
        <f t="shared" si="101"/>
        <v>238350391</v>
      </c>
      <c r="Q320" s="559">
        <f t="shared" si="101"/>
        <v>73526821</v>
      </c>
      <c r="R320" s="559">
        <f t="shared" si="101"/>
        <v>19818678</v>
      </c>
      <c r="S320" s="559">
        <f t="shared" si="101"/>
        <v>44857436</v>
      </c>
      <c r="T320" s="559">
        <f t="shared" si="101"/>
        <v>1065767</v>
      </c>
      <c r="U320" s="559">
        <f t="shared" si="101"/>
        <v>64606474</v>
      </c>
      <c r="V320" s="559">
        <f t="shared" si="101"/>
        <v>291489</v>
      </c>
      <c r="W320" s="559">
        <f t="shared" si="101"/>
        <v>40635585</v>
      </c>
      <c r="X320" s="559">
        <f t="shared" si="101"/>
        <v>170453844</v>
      </c>
      <c r="Y320" s="559">
        <f t="shared" si="101"/>
        <v>25438310</v>
      </c>
      <c r="Z320" s="559">
        <f t="shared" si="101"/>
        <v>7128266</v>
      </c>
      <c r="AA320" s="559">
        <f t="shared" si="101"/>
        <v>0</v>
      </c>
      <c r="AB320" s="559">
        <f t="shared" si="101"/>
        <v>3063648</v>
      </c>
      <c r="AC320" s="559">
        <f t="shared" si="101"/>
        <v>820688</v>
      </c>
      <c r="AD320" s="559">
        <f t="shared" si="101"/>
        <v>4419498</v>
      </c>
      <c r="AE320" s="559">
        <f t="shared" si="101"/>
        <v>13427051</v>
      </c>
      <c r="AF320" s="559">
        <f t="shared" si="101"/>
        <v>1929141</v>
      </c>
      <c r="AG320" s="559">
        <f t="shared" si="101"/>
        <v>203021</v>
      </c>
      <c r="AH320" s="559">
        <f t="shared" si="101"/>
        <v>1296260</v>
      </c>
      <c r="AI320" s="559">
        <f t="shared" si="101"/>
        <v>8720355</v>
      </c>
      <c r="AJ320" s="559">
        <f t="shared" si="101"/>
        <v>28655946</v>
      </c>
      <c r="AK320" s="559">
        <f t="shared" si="101"/>
        <v>1752049</v>
      </c>
      <c r="AL320" s="559">
        <f t="shared" si="101"/>
        <v>166745</v>
      </c>
      <c r="AM320" s="559">
        <f t="shared" si="101"/>
        <v>161628806</v>
      </c>
      <c r="AN320" s="559">
        <f t="shared" si="101"/>
        <v>55790694</v>
      </c>
      <c r="AO320" s="559">
        <f t="shared" si="101"/>
        <v>0</v>
      </c>
      <c r="AP320" s="559">
        <f t="shared" si="101"/>
        <v>27796218</v>
      </c>
      <c r="AQ320" s="559">
        <f t="shared" si="101"/>
        <v>85784575</v>
      </c>
      <c r="AR320" s="559">
        <f t="shared" si="101"/>
        <v>5624675</v>
      </c>
      <c r="AS320" s="559">
        <f t="shared" si="101"/>
        <v>0</v>
      </c>
      <c r="AT320" s="559">
        <f t="shared" si="101"/>
        <v>18688312</v>
      </c>
      <c r="AU320" s="559">
        <f t="shared" si="101"/>
        <v>43056153</v>
      </c>
      <c r="AV320" s="559">
        <f t="shared" si="101"/>
        <v>1236381</v>
      </c>
      <c r="AW320" s="559">
        <f t="shared" si="101"/>
        <v>0</v>
      </c>
      <c r="AX320" s="559">
        <f t="shared" si="101"/>
        <v>22071405</v>
      </c>
      <c r="AY320" s="559">
        <f t="shared" si="101"/>
        <v>9754764</v>
      </c>
      <c r="AZ320" s="559">
        <f t="shared" si="101"/>
        <v>0</v>
      </c>
      <c r="BA320" s="559">
        <f t="shared" si="101"/>
        <v>565300</v>
      </c>
      <c r="BB320" s="559">
        <f t="shared" si="101"/>
        <v>8942982</v>
      </c>
      <c r="BC320" s="559">
        <f t="shared" si="101"/>
        <v>0</v>
      </c>
      <c r="BD320" s="559">
        <f t="shared" si="101"/>
        <v>438784</v>
      </c>
      <c r="BE320" s="559">
        <f t="shared" si="101"/>
        <v>72904728</v>
      </c>
      <c r="BF320" s="559">
        <f t="shared" si="101"/>
        <v>0</v>
      </c>
      <c r="BG320" s="559">
        <f t="shared" si="101"/>
        <v>0</v>
      </c>
      <c r="BH320" s="559">
        <f t="shared" si="101"/>
        <v>13469697</v>
      </c>
      <c r="BI320" s="559">
        <f t="shared" si="101"/>
        <v>14302565</v>
      </c>
      <c r="BJ320" s="559">
        <f t="shared" si="101"/>
        <v>1282286</v>
      </c>
      <c r="BK320" s="559">
        <f t="shared" si="101"/>
        <v>19419730</v>
      </c>
      <c r="BL320" s="559">
        <f t="shared" si="101"/>
        <v>17604418</v>
      </c>
      <c r="BM320" s="559">
        <f t="shared" si="101"/>
        <v>266969</v>
      </c>
      <c r="BN320" s="559">
        <f t="shared" ref="BN320:BR320" si="102">BN95</f>
        <v>24927784</v>
      </c>
      <c r="BO320" s="559">
        <f t="shared" si="102"/>
        <v>11578357</v>
      </c>
      <c r="BP320" s="559">
        <f t="shared" si="102"/>
        <v>2564672</v>
      </c>
      <c r="BQ320" s="559">
        <f t="shared" si="102"/>
        <v>7362564</v>
      </c>
      <c r="BR320" s="559">
        <f t="shared" si="102"/>
        <v>17283562</v>
      </c>
      <c r="BS320" s="559">
        <f t="shared" ref="BS320:CA320" si="103">BS95</f>
        <v>299173434</v>
      </c>
      <c r="BT320" s="559">
        <f t="shared" si="103"/>
        <v>6351935</v>
      </c>
      <c r="BU320" s="559">
        <f t="shared" si="103"/>
        <v>8260696</v>
      </c>
      <c r="BV320" s="559">
        <f t="shared" si="103"/>
        <v>0</v>
      </c>
      <c r="BW320" s="559">
        <f t="shared" si="103"/>
        <v>5358271</v>
      </c>
      <c r="BX320" s="559">
        <f t="shared" si="103"/>
        <v>283305</v>
      </c>
      <c r="BY320" s="559">
        <f t="shared" si="103"/>
        <v>292647</v>
      </c>
      <c r="BZ320" s="559">
        <f t="shared" si="103"/>
        <v>106764027</v>
      </c>
      <c r="CA320" s="559">
        <f t="shared" si="103"/>
        <v>391555</v>
      </c>
      <c r="CB320" s="564"/>
      <c r="CC320" s="564"/>
      <c r="CD320" s="564"/>
      <c r="CE320" s="564"/>
      <c r="CF320" s="564"/>
      <c r="CG320" s="564"/>
      <c r="CH320" s="564"/>
      <c r="CI320" s="564"/>
      <c r="CJ320" s="564"/>
      <c r="CK320" s="564"/>
      <c r="CL320" s="564"/>
      <c r="CM320" s="564"/>
      <c r="CN320" s="564"/>
      <c r="CO320" s="564"/>
      <c r="CP320" s="564"/>
      <c r="CQ320" s="564"/>
      <c r="CR320" s="564"/>
      <c r="CS320" s="564"/>
      <c r="CT320" s="564"/>
      <c r="CU320" s="564"/>
      <c r="CV320" s="564"/>
      <c r="CW320" s="564"/>
      <c r="CX320" s="564"/>
      <c r="CY320" s="564"/>
      <c r="CZ320" s="564"/>
    </row>
    <row r="321" spans="1:104" s="180" customFormat="1" x14ac:dyDescent="0.3">
      <c r="A321" s="559">
        <f>A170</f>
        <v>626</v>
      </c>
      <c r="B321" s="559" t="str">
        <f t="shared" ref="B321:BM321" si="104">B170</f>
        <v>GW - Total Current Liabilities including current portion of long-term debt</v>
      </c>
      <c r="C321" s="559">
        <f t="shared" si="104"/>
        <v>0</v>
      </c>
      <c r="D321" s="559">
        <f t="shared" si="104"/>
        <v>130045</v>
      </c>
      <c r="E321" s="559">
        <f t="shared" si="104"/>
        <v>12431471</v>
      </c>
      <c r="F321" s="559">
        <f t="shared" si="104"/>
        <v>0</v>
      </c>
      <c r="G321" s="559">
        <f t="shared" si="104"/>
        <v>8433147</v>
      </c>
      <c r="H321" s="559">
        <f t="shared" si="104"/>
        <v>558152</v>
      </c>
      <c r="I321" s="559">
        <f t="shared" si="104"/>
        <v>17528</v>
      </c>
      <c r="J321" s="559">
        <f t="shared" si="104"/>
        <v>50883</v>
      </c>
      <c r="K321" s="559">
        <f t="shared" si="104"/>
        <v>429951</v>
      </c>
      <c r="L321" s="559">
        <f t="shared" si="104"/>
        <v>16619733</v>
      </c>
      <c r="M321" s="559">
        <f t="shared" si="104"/>
        <v>0</v>
      </c>
      <c r="N321" s="559">
        <f t="shared" si="104"/>
        <v>53095</v>
      </c>
      <c r="O321" s="559">
        <f t="shared" si="104"/>
        <v>0</v>
      </c>
      <c r="P321" s="559">
        <f t="shared" si="104"/>
        <v>13152840</v>
      </c>
      <c r="Q321" s="559">
        <f t="shared" si="104"/>
        <v>3505274</v>
      </c>
      <c r="R321" s="559">
        <f t="shared" si="104"/>
        <v>2515203</v>
      </c>
      <c r="S321" s="559">
        <f t="shared" si="104"/>
        <v>1652123</v>
      </c>
      <c r="T321" s="559">
        <f t="shared" si="104"/>
        <v>224372</v>
      </c>
      <c r="U321" s="559">
        <f t="shared" si="104"/>
        <v>3515161</v>
      </c>
      <c r="V321" s="559">
        <f t="shared" si="104"/>
        <v>753</v>
      </c>
      <c r="W321" s="559">
        <f t="shared" si="104"/>
        <v>1514754</v>
      </c>
      <c r="X321" s="559">
        <f t="shared" si="104"/>
        <v>4631976</v>
      </c>
      <c r="Y321" s="559">
        <f t="shared" si="104"/>
        <v>1663006</v>
      </c>
      <c r="Z321" s="559">
        <f t="shared" si="104"/>
        <v>818634</v>
      </c>
      <c r="AA321" s="559">
        <f t="shared" si="104"/>
        <v>0</v>
      </c>
      <c r="AB321" s="559">
        <f t="shared" si="104"/>
        <v>503470</v>
      </c>
      <c r="AC321" s="559">
        <f t="shared" si="104"/>
        <v>10777</v>
      </c>
      <c r="AD321" s="559">
        <f t="shared" si="104"/>
        <v>65182</v>
      </c>
      <c r="AE321" s="559">
        <f t="shared" si="104"/>
        <v>374812</v>
      </c>
      <c r="AF321" s="559">
        <f t="shared" si="104"/>
        <v>507490</v>
      </c>
      <c r="AG321" s="559">
        <f t="shared" si="104"/>
        <v>1544</v>
      </c>
      <c r="AH321" s="559">
        <f t="shared" si="104"/>
        <v>47617</v>
      </c>
      <c r="AI321" s="559">
        <f t="shared" si="104"/>
        <v>1068221</v>
      </c>
      <c r="AJ321" s="559">
        <f t="shared" si="104"/>
        <v>3373324</v>
      </c>
      <c r="AK321" s="559">
        <f t="shared" si="104"/>
        <v>296552</v>
      </c>
      <c r="AL321" s="559">
        <f t="shared" si="104"/>
        <v>4550</v>
      </c>
      <c r="AM321" s="559">
        <f t="shared" si="104"/>
        <v>12550648</v>
      </c>
      <c r="AN321" s="559">
        <f t="shared" si="104"/>
        <v>3874070</v>
      </c>
      <c r="AO321" s="559">
        <f t="shared" si="104"/>
        <v>0</v>
      </c>
      <c r="AP321" s="559">
        <f t="shared" si="104"/>
        <v>2653592</v>
      </c>
      <c r="AQ321" s="559">
        <f t="shared" si="104"/>
        <v>7702906</v>
      </c>
      <c r="AR321" s="559">
        <f t="shared" si="104"/>
        <v>367012</v>
      </c>
      <c r="AS321" s="559">
        <f t="shared" si="104"/>
        <v>0</v>
      </c>
      <c r="AT321" s="559">
        <f t="shared" si="104"/>
        <v>622759</v>
      </c>
      <c r="AU321" s="559">
        <f t="shared" si="104"/>
        <v>3713902</v>
      </c>
      <c r="AV321" s="559">
        <f t="shared" si="104"/>
        <v>59468</v>
      </c>
      <c r="AW321" s="559">
        <f t="shared" si="104"/>
        <v>0</v>
      </c>
      <c r="AX321" s="559">
        <f t="shared" si="104"/>
        <v>3437590</v>
      </c>
      <c r="AY321" s="559">
        <f t="shared" si="104"/>
        <v>205353</v>
      </c>
      <c r="AZ321" s="559">
        <f t="shared" si="104"/>
        <v>0</v>
      </c>
      <c r="BA321" s="559">
        <f t="shared" si="104"/>
        <v>241498</v>
      </c>
      <c r="BB321" s="559">
        <f t="shared" si="104"/>
        <v>204087</v>
      </c>
      <c r="BC321" s="559">
        <f t="shared" si="104"/>
        <v>0</v>
      </c>
      <c r="BD321" s="559">
        <f t="shared" si="104"/>
        <v>1152</v>
      </c>
      <c r="BE321" s="559">
        <f t="shared" si="104"/>
        <v>6265033</v>
      </c>
      <c r="BF321" s="559">
        <f t="shared" si="104"/>
        <v>0</v>
      </c>
      <c r="BG321" s="559">
        <f t="shared" si="104"/>
        <v>0</v>
      </c>
      <c r="BH321" s="559">
        <f t="shared" si="104"/>
        <v>215276</v>
      </c>
      <c r="BI321" s="559">
        <f t="shared" si="104"/>
        <v>606911</v>
      </c>
      <c r="BJ321" s="559">
        <f t="shared" si="104"/>
        <v>70849</v>
      </c>
      <c r="BK321" s="559">
        <f t="shared" si="104"/>
        <v>233523</v>
      </c>
      <c r="BL321" s="559">
        <f t="shared" si="104"/>
        <v>244929</v>
      </c>
      <c r="BM321" s="559">
        <f t="shared" si="104"/>
        <v>0</v>
      </c>
      <c r="BN321" s="559">
        <f t="shared" ref="BN321:BR321" si="105">BN170</f>
        <v>1723595</v>
      </c>
      <c r="BO321" s="559">
        <f t="shared" si="105"/>
        <v>386107</v>
      </c>
      <c r="BP321" s="559">
        <f t="shared" si="105"/>
        <v>34916</v>
      </c>
      <c r="BQ321" s="559">
        <f t="shared" si="105"/>
        <v>128601</v>
      </c>
      <c r="BR321" s="559">
        <f t="shared" si="105"/>
        <v>196844</v>
      </c>
      <c r="BS321" s="559">
        <f t="shared" ref="BS321:CA321" si="106">BS170</f>
        <v>3043093</v>
      </c>
      <c r="BT321" s="559">
        <f t="shared" si="106"/>
        <v>113699</v>
      </c>
      <c r="BU321" s="559">
        <f t="shared" si="106"/>
        <v>5704185</v>
      </c>
      <c r="BV321" s="559">
        <f t="shared" si="106"/>
        <v>0</v>
      </c>
      <c r="BW321" s="559">
        <f t="shared" si="106"/>
        <v>3460</v>
      </c>
      <c r="BX321" s="559">
        <f t="shared" si="106"/>
        <v>0</v>
      </c>
      <c r="BY321" s="559">
        <f t="shared" si="106"/>
        <v>26608</v>
      </c>
      <c r="BZ321" s="559">
        <f t="shared" si="106"/>
        <v>4521170</v>
      </c>
      <c r="CA321" s="559">
        <f t="shared" si="106"/>
        <v>35798</v>
      </c>
      <c r="CB321" s="564"/>
      <c r="CC321" s="564"/>
      <c r="CD321" s="564"/>
      <c r="CE321" s="564"/>
      <c r="CF321" s="564"/>
      <c r="CG321" s="564"/>
      <c r="CH321" s="564"/>
      <c r="CI321" s="564"/>
      <c r="CJ321" s="564"/>
      <c r="CK321" s="564"/>
      <c r="CL321" s="564"/>
      <c r="CM321" s="564"/>
      <c r="CN321" s="564"/>
      <c r="CO321" s="564"/>
      <c r="CP321" s="564"/>
      <c r="CQ321" s="564"/>
      <c r="CR321" s="564"/>
      <c r="CS321" s="564"/>
      <c r="CT321" s="564"/>
      <c r="CU321" s="564"/>
      <c r="CV321" s="564"/>
      <c r="CW321" s="564"/>
      <c r="CX321" s="564"/>
      <c r="CY321" s="564"/>
      <c r="CZ321" s="564"/>
    </row>
    <row r="322" spans="1:104" s="558" customFormat="1" x14ac:dyDescent="0.3">
      <c r="A322" s="559">
        <f>A60</f>
        <v>338</v>
      </c>
      <c r="B322" s="559" t="str">
        <f t="shared" ref="B322:BM322" si="107">B60</f>
        <v>Gov - Total Liabilities and total deferred inflows</v>
      </c>
      <c r="C322" s="559">
        <f t="shared" si="107"/>
        <v>0</v>
      </c>
      <c r="D322" s="559">
        <f t="shared" si="107"/>
        <v>2603710</v>
      </c>
      <c r="E322" s="559">
        <f t="shared" si="107"/>
        <v>30154878</v>
      </c>
      <c r="F322" s="559">
        <f t="shared" si="107"/>
        <v>0</v>
      </c>
      <c r="G322" s="559">
        <f t="shared" si="107"/>
        <v>47262213</v>
      </c>
      <c r="H322" s="559">
        <f t="shared" si="107"/>
        <v>3090596</v>
      </c>
      <c r="I322" s="559">
        <f t="shared" si="107"/>
        <v>502093</v>
      </c>
      <c r="J322" s="559">
        <f t="shared" si="107"/>
        <v>781658</v>
      </c>
      <c r="K322" s="559">
        <f t="shared" si="107"/>
        <v>3018788</v>
      </c>
      <c r="L322" s="559">
        <f t="shared" si="107"/>
        <v>230079187</v>
      </c>
      <c r="M322" s="559">
        <f t="shared" si="107"/>
        <v>0</v>
      </c>
      <c r="N322" s="559">
        <f t="shared" si="107"/>
        <v>1266345</v>
      </c>
      <c r="O322" s="559">
        <f t="shared" si="107"/>
        <v>0</v>
      </c>
      <c r="P322" s="559">
        <f t="shared" si="107"/>
        <v>78045906</v>
      </c>
      <c r="Q322" s="559">
        <f t="shared" si="107"/>
        <v>25514338</v>
      </c>
      <c r="R322" s="559">
        <f t="shared" si="107"/>
        <v>7654859</v>
      </c>
      <c r="S322" s="559">
        <f t="shared" si="107"/>
        <v>21757642</v>
      </c>
      <c r="T322" s="559">
        <f t="shared" si="107"/>
        <v>224372</v>
      </c>
      <c r="U322" s="559">
        <f t="shared" si="107"/>
        <v>29681409</v>
      </c>
      <c r="V322" s="559">
        <f t="shared" si="107"/>
        <v>29906</v>
      </c>
      <c r="W322" s="559">
        <f t="shared" si="107"/>
        <v>11232538</v>
      </c>
      <c r="X322" s="559">
        <f t="shared" si="107"/>
        <v>43222652</v>
      </c>
      <c r="Y322" s="559">
        <f t="shared" si="107"/>
        <v>12085947</v>
      </c>
      <c r="Z322" s="559">
        <f t="shared" si="107"/>
        <v>1104779</v>
      </c>
      <c r="AA322" s="559">
        <f t="shared" si="107"/>
        <v>0</v>
      </c>
      <c r="AB322" s="559">
        <f t="shared" si="107"/>
        <v>503470</v>
      </c>
      <c r="AC322" s="559">
        <f t="shared" si="107"/>
        <v>46452</v>
      </c>
      <c r="AD322" s="559">
        <f t="shared" si="107"/>
        <v>590435</v>
      </c>
      <c r="AE322" s="559">
        <f t="shared" si="107"/>
        <v>2625092</v>
      </c>
      <c r="AF322" s="559">
        <f t="shared" si="107"/>
        <v>507490</v>
      </c>
      <c r="AG322" s="559">
        <f t="shared" si="107"/>
        <v>1544</v>
      </c>
      <c r="AH322" s="559">
        <f t="shared" si="107"/>
        <v>47617</v>
      </c>
      <c r="AI322" s="559">
        <f t="shared" si="107"/>
        <v>2319454</v>
      </c>
      <c r="AJ322" s="559">
        <f t="shared" si="107"/>
        <v>14660561</v>
      </c>
      <c r="AK322" s="559">
        <f t="shared" si="107"/>
        <v>296552</v>
      </c>
      <c r="AL322" s="559">
        <f t="shared" si="107"/>
        <v>4550</v>
      </c>
      <c r="AM322" s="559">
        <f t="shared" si="107"/>
        <v>35459053</v>
      </c>
      <c r="AN322" s="559">
        <f t="shared" si="107"/>
        <v>19702362</v>
      </c>
      <c r="AO322" s="559">
        <f t="shared" si="107"/>
        <v>0</v>
      </c>
      <c r="AP322" s="559">
        <f t="shared" si="107"/>
        <v>4495551</v>
      </c>
      <c r="AQ322" s="559">
        <f t="shared" si="107"/>
        <v>40283596</v>
      </c>
      <c r="AR322" s="559">
        <f t="shared" si="107"/>
        <v>2539827</v>
      </c>
      <c r="AS322" s="559">
        <f t="shared" si="107"/>
        <v>0</v>
      </c>
      <c r="AT322" s="559">
        <f t="shared" si="107"/>
        <v>6610189</v>
      </c>
      <c r="AU322" s="559">
        <f t="shared" si="107"/>
        <v>22201435</v>
      </c>
      <c r="AV322" s="559">
        <f t="shared" si="107"/>
        <v>104740</v>
      </c>
      <c r="AW322" s="559">
        <f t="shared" si="107"/>
        <v>0</v>
      </c>
      <c r="AX322" s="559">
        <f t="shared" si="107"/>
        <v>5336965</v>
      </c>
      <c r="AY322" s="559">
        <f t="shared" si="107"/>
        <v>3362798</v>
      </c>
      <c r="AZ322" s="559">
        <f t="shared" si="107"/>
        <v>0</v>
      </c>
      <c r="BA322" s="559">
        <f t="shared" si="107"/>
        <v>277192</v>
      </c>
      <c r="BB322" s="559">
        <f t="shared" si="107"/>
        <v>2045645</v>
      </c>
      <c r="BC322" s="559">
        <f t="shared" si="107"/>
        <v>0</v>
      </c>
      <c r="BD322" s="559">
        <f t="shared" si="107"/>
        <v>21697</v>
      </c>
      <c r="BE322" s="559">
        <f t="shared" si="107"/>
        <v>73628716</v>
      </c>
      <c r="BF322" s="559">
        <f t="shared" si="107"/>
        <v>0</v>
      </c>
      <c r="BG322" s="559">
        <f t="shared" si="107"/>
        <v>0</v>
      </c>
      <c r="BH322" s="559">
        <f t="shared" si="107"/>
        <v>10011279</v>
      </c>
      <c r="BI322" s="559">
        <f t="shared" si="107"/>
        <v>2177833</v>
      </c>
      <c r="BJ322" s="559">
        <f t="shared" si="107"/>
        <v>316311</v>
      </c>
      <c r="BK322" s="559">
        <f t="shared" si="107"/>
        <v>4006118</v>
      </c>
      <c r="BL322" s="559">
        <f t="shared" si="107"/>
        <v>4480310</v>
      </c>
      <c r="BM322" s="559">
        <f t="shared" si="107"/>
        <v>31500</v>
      </c>
      <c r="BN322" s="559">
        <f t="shared" ref="BN322:BR322" si="108">BN60</f>
        <v>8845411</v>
      </c>
      <c r="BO322" s="559">
        <f t="shared" si="108"/>
        <v>1316648</v>
      </c>
      <c r="BP322" s="559">
        <f t="shared" si="108"/>
        <v>374283</v>
      </c>
      <c r="BQ322" s="559">
        <f t="shared" si="108"/>
        <v>2313221</v>
      </c>
      <c r="BR322" s="559">
        <f t="shared" si="108"/>
        <v>2472713</v>
      </c>
      <c r="BS322" s="559">
        <f t="shared" ref="BS322:CA322" si="109">BS60</f>
        <v>19598505</v>
      </c>
      <c r="BT322" s="559">
        <f t="shared" si="109"/>
        <v>1647474</v>
      </c>
      <c r="BU322" s="559">
        <f t="shared" si="109"/>
        <v>7180764</v>
      </c>
      <c r="BV322" s="559">
        <f t="shared" si="109"/>
        <v>0</v>
      </c>
      <c r="BW322" s="559">
        <f t="shared" si="109"/>
        <v>83096</v>
      </c>
      <c r="BX322" s="559">
        <f t="shared" si="109"/>
        <v>24196</v>
      </c>
      <c r="BY322" s="559">
        <f t="shared" si="109"/>
        <v>26608</v>
      </c>
      <c r="BZ322" s="559">
        <f t="shared" si="109"/>
        <v>30432836</v>
      </c>
      <c r="CA322" s="559">
        <f t="shared" si="109"/>
        <v>59992</v>
      </c>
    </row>
    <row r="323" spans="1:104" s="558" customFormat="1" x14ac:dyDescent="0.3">
      <c r="A323" s="563">
        <f>A166</f>
        <v>620</v>
      </c>
      <c r="B323" s="563" t="str">
        <f t="shared" ref="B323:BM323" si="110">B166</f>
        <v>Do you expect to issue debt requiring LGC approval within 12 months from the date that the audit is submitted - select "1" for year and "2" for no</v>
      </c>
      <c r="C323" s="563">
        <f t="shared" si="110"/>
        <v>0</v>
      </c>
      <c r="D323" s="563">
        <f t="shared" si="110"/>
        <v>2</v>
      </c>
      <c r="E323" s="563">
        <f t="shared" si="110"/>
        <v>2</v>
      </c>
      <c r="F323" s="563">
        <f t="shared" si="110"/>
        <v>0</v>
      </c>
      <c r="G323" s="563">
        <f t="shared" si="110"/>
        <v>1</v>
      </c>
      <c r="H323" s="563">
        <f t="shared" si="110"/>
        <v>2</v>
      </c>
      <c r="I323" s="563">
        <f t="shared" si="110"/>
        <v>2</v>
      </c>
      <c r="J323" s="563">
        <f t="shared" si="110"/>
        <v>2</v>
      </c>
      <c r="K323" s="563">
        <f t="shared" si="110"/>
        <v>2</v>
      </c>
      <c r="L323" s="563">
        <f t="shared" si="110"/>
        <v>2</v>
      </c>
      <c r="M323" s="563">
        <f t="shared" si="110"/>
        <v>0</v>
      </c>
      <c r="N323" s="563">
        <f t="shared" si="110"/>
        <v>2</v>
      </c>
      <c r="O323" s="563">
        <f t="shared" si="110"/>
        <v>0</v>
      </c>
      <c r="P323" s="563">
        <f t="shared" si="110"/>
        <v>1</v>
      </c>
      <c r="Q323" s="563">
        <f t="shared" si="110"/>
        <v>2</v>
      </c>
      <c r="R323" s="563">
        <f t="shared" si="110"/>
        <v>2</v>
      </c>
      <c r="S323" s="563">
        <f t="shared" si="110"/>
        <v>2</v>
      </c>
      <c r="T323" s="563">
        <f t="shared" si="110"/>
        <v>2</v>
      </c>
      <c r="U323" s="563">
        <f t="shared" si="110"/>
        <v>1</v>
      </c>
      <c r="V323" s="563">
        <f t="shared" si="110"/>
        <v>2</v>
      </c>
      <c r="W323" s="563">
        <f t="shared" si="110"/>
        <v>2</v>
      </c>
      <c r="X323" s="563">
        <f t="shared" si="110"/>
        <v>1</v>
      </c>
      <c r="Y323" s="563">
        <f t="shared" si="110"/>
        <v>2</v>
      </c>
      <c r="Z323" s="563">
        <f t="shared" si="110"/>
        <v>2</v>
      </c>
      <c r="AA323" s="563">
        <f t="shared" si="110"/>
        <v>0</v>
      </c>
      <c r="AB323" s="563">
        <f t="shared" si="110"/>
        <v>2</v>
      </c>
      <c r="AC323" s="563">
        <f t="shared" si="110"/>
        <v>2</v>
      </c>
      <c r="AD323" s="563">
        <f t="shared" si="110"/>
        <v>2</v>
      </c>
      <c r="AE323" s="563">
        <f t="shared" si="110"/>
        <v>2</v>
      </c>
      <c r="AF323" s="563">
        <f t="shared" si="110"/>
        <v>1</v>
      </c>
      <c r="AG323" s="563">
        <f t="shared" si="110"/>
        <v>2</v>
      </c>
      <c r="AH323" s="563">
        <f t="shared" si="110"/>
        <v>2</v>
      </c>
      <c r="AI323" s="563">
        <f t="shared" si="110"/>
        <v>2</v>
      </c>
      <c r="AJ323" s="563">
        <f t="shared" si="110"/>
        <v>2</v>
      </c>
      <c r="AK323" s="563">
        <f t="shared" si="110"/>
        <v>2</v>
      </c>
      <c r="AL323" s="563">
        <f t="shared" si="110"/>
        <v>2</v>
      </c>
      <c r="AM323" s="563">
        <f t="shared" si="110"/>
        <v>2</v>
      </c>
      <c r="AN323" s="563">
        <f t="shared" si="110"/>
        <v>2</v>
      </c>
      <c r="AO323" s="563">
        <f t="shared" si="110"/>
        <v>0</v>
      </c>
      <c r="AP323" s="563">
        <f t="shared" si="110"/>
        <v>2</v>
      </c>
      <c r="AQ323" s="563">
        <f t="shared" si="110"/>
        <v>2</v>
      </c>
      <c r="AR323" s="563">
        <f t="shared" si="110"/>
        <v>2</v>
      </c>
      <c r="AS323" s="563">
        <f t="shared" si="110"/>
        <v>0</v>
      </c>
      <c r="AT323" s="563">
        <f t="shared" si="110"/>
        <v>2</v>
      </c>
      <c r="AU323" s="563">
        <f t="shared" si="110"/>
        <v>2</v>
      </c>
      <c r="AV323" s="563">
        <f t="shared" si="110"/>
        <v>2</v>
      </c>
      <c r="AW323" s="563">
        <f t="shared" si="110"/>
        <v>0</v>
      </c>
      <c r="AX323" s="563">
        <f t="shared" si="110"/>
        <v>2</v>
      </c>
      <c r="AY323" s="563">
        <f t="shared" si="110"/>
        <v>2</v>
      </c>
      <c r="AZ323" s="563">
        <f t="shared" si="110"/>
        <v>0</v>
      </c>
      <c r="BA323" s="563">
        <f t="shared" si="110"/>
        <v>2</v>
      </c>
      <c r="BB323" s="563">
        <f t="shared" si="110"/>
        <v>2</v>
      </c>
      <c r="BC323" s="563">
        <f t="shared" si="110"/>
        <v>0</v>
      </c>
      <c r="BD323" s="563">
        <f t="shared" si="110"/>
        <v>2</v>
      </c>
      <c r="BE323" s="563">
        <f t="shared" si="110"/>
        <v>2</v>
      </c>
      <c r="BF323" s="563">
        <f t="shared" si="110"/>
        <v>0</v>
      </c>
      <c r="BG323" s="563">
        <f t="shared" si="110"/>
        <v>0</v>
      </c>
      <c r="BH323" s="563">
        <f t="shared" si="110"/>
        <v>2</v>
      </c>
      <c r="BI323" s="563">
        <f t="shared" si="110"/>
        <v>2</v>
      </c>
      <c r="BJ323" s="563">
        <f t="shared" si="110"/>
        <v>1</v>
      </c>
      <c r="BK323" s="563">
        <f t="shared" si="110"/>
        <v>2</v>
      </c>
      <c r="BL323" s="563">
        <f t="shared" si="110"/>
        <v>2</v>
      </c>
      <c r="BM323" s="563">
        <f t="shared" si="110"/>
        <v>1</v>
      </c>
      <c r="BN323" s="563">
        <f t="shared" ref="BN323:BR323" si="111">BN166</f>
        <v>1</v>
      </c>
      <c r="BO323" s="563">
        <f t="shared" si="111"/>
        <v>2</v>
      </c>
      <c r="BP323" s="563">
        <f t="shared" si="111"/>
        <v>2</v>
      </c>
      <c r="BQ323" s="563">
        <f t="shared" si="111"/>
        <v>2</v>
      </c>
      <c r="BR323" s="563">
        <f t="shared" si="111"/>
        <v>2</v>
      </c>
      <c r="BS323" s="563">
        <f t="shared" ref="BS323:CA323" si="112">BS166</f>
        <v>2</v>
      </c>
      <c r="BT323" s="563">
        <f t="shared" si="112"/>
        <v>2</v>
      </c>
      <c r="BU323" s="563">
        <f t="shared" si="112"/>
        <v>2</v>
      </c>
      <c r="BV323" s="563">
        <f t="shared" si="112"/>
        <v>0</v>
      </c>
      <c r="BW323" s="563">
        <f t="shared" si="112"/>
        <v>2</v>
      </c>
      <c r="BX323" s="563">
        <f t="shared" si="112"/>
        <v>2</v>
      </c>
      <c r="BY323" s="563">
        <f t="shared" si="112"/>
        <v>2</v>
      </c>
      <c r="BZ323" s="563">
        <f t="shared" si="112"/>
        <v>1</v>
      </c>
      <c r="CA323" s="563">
        <f t="shared" si="112"/>
        <v>2</v>
      </c>
    </row>
    <row r="324" spans="1:104" s="558" customFormat="1" x14ac:dyDescent="0.3">
      <c r="A324" s="155">
        <f>A142</f>
        <v>545</v>
      </c>
      <c r="B324" s="155" t="str">
        <f t="shared" ref="B324:BM324" si="113">B142</f>
        <v>Property Tax Increase for budget year after fiscal year being reported</v>
      </c>
      <c r="C324" s="155">
        <f t="shared" si="113"/>
        <v>0</v>
      </c>
      <c r="D324" s="155">
        <f t="shared" si="113"/>
        <v>0</v>
      </c>
      <c r="E324" s="155">
        <f t="shared" si="113"/>
        <v>0</v>
      </c>
      <c r="F324" s="155">
        <f t="shared" si="113"/>
        <v>0</v>
      </c>
      <c r="G324" s="155">
        <f t="shared" si="113"/>
        <v>0</v>
      </c>
      <c r="H324" s="155">
        <f t="shared" si="113"/>
        <v>0</v>
      </c>
      <c r="I324" s="155">
        <f t="shared" si="113"/>
        <v>0</v>
      </c>
      <c r="J324" s="155">
        <f t="shared" si="113"/>
        <v>0</v>
      </c>
      <c r="K324" s="155">
        <f t="shared" si="113"/>
        <v>0</v>
      </c>
      <c r="L324" s="155">
        <f t="shared" si="113"/>
        <v>0</v>
      </c>
      <c r="M324" s="155">
        <f t="shared" si="113"/>
        <v>0</v>
      </c>
      <c r="N324" s="155">
        <f t="shared" si="113"/>
        <v>0</v>
      </c>
      <c r="O324" s="155">
        <f t="shared" si="113"/>
        <v>0</v>
      </c>
      <c r="P324" s="155">
        <f t="shared" si="113"/>
        <v>0</v>
      </c>
      <c r="Q324" s="155">
        <f t="shared" si="113"/>
        <v>3.5000000000000003E-2</v>
      </c>
      <c r="R324" s="155">
        <f t="shared" si="113"/>
        <v>0</v>
      </c>
      <c r="S324" s="155">
        <f t="shared" si="113"/>
        <v>0.05</v>
      </c>
      <c r="T324" s="155">
        <f t="shared" si="113"/>
        <v>0</v>
      </c>
      <c r="U324" s="155">
        <f t="shared" si="113"/>
        <v>0</v>
      </c>
      <c r="V324" s="155">
        <f t="shared" si="113"/>
        <v>0</v>
      </c>
      <c r="W324" s="155">
        <f t="shared" si="113"/>
        <v>0</v>
      </c>
      <c r="X324" s="155">
        <f t="shared" si="113"/>
        <v>0</v>
      </c>
      <c r="Y324" s="155">
        <f t="shared" si="113"/>
        <v>0</v>
      </c>
      <c r="Z324" s="155">
        <f t="shared" si="113"/>
        <v>0</v>
      </c>
      <c r="AA324" s="155">
        <f t="shared" si="113"/>
        <v>0</v>
      </c>
      <c r="AB324" s="155">
        <f t="shared" si="113"/>
        <v>0</v>
      </c>
      <c r="AC324" s="155">
        <f t="shared" si="113"/>
        <v>0</v>
      </c>
      <c r="AD324" s="155">
        <f t="shared" si="113"/>
        <v>0</v>
      </c>
      <c r="AE324" s="155">
        <f t="shared" si="113"/>
        <v>0</v>
      </c>
      <c r="AF324" s="155">
        <f t="shared" si="113"/>
        <v>0</v>
      </c>
      <c r="AG324" s="155">
        <f t="shared" si="113"/>
        <v>0</v>
      </c>
      <c r="AH324" s="155">
        <f t="shared" si="113"/>
        <v>0</v>
      </c>
      <c r="AI324" s="155">
        <f t="shared" si="113"/>
        <v>0</v>
      </c>
      <c r="AJ324" s="155">
        <f t="shared" si="113"/>
        <v>0</v>
      </c>
      <c r="AK324" s="155">
        <f t="shared" si="113"/>
        <v>0</v>
      </c>
      <c r="AL324" s="155">
        <f t="shared" si="113"/>
        <v>0</v>
      </c>
      <c r="AM324" s="155">
        <f t="shared" si="113"/>
        <v>0</v>
      </c>
      <c r="AN324" s="155">
        <f t="shared" si="113"/>
        <v>0</v>
      </c>
      <c r="AO324" s="155">
        <f t="shared" si="113"/>
        <v>0</v>
      </c>
      <c r="AP324" s="155">
        <f t="shared" si="113"/>
        <v>0</v>
      </c>
      <c r="AQ324" s="155">
        <f t="shared" si="113"/>
        <v>0</v>
      </c>
      <c r="AR324" s="155">
        <f t="shared" si="113"/>
        <v>0</v>
      </c>
      <c r="AS324" s="155">
        <f t="shared" si="113"/>
        <v>0</v>
      </c>
      <c r="AT324" s="155">
        <f t="shared" si="113"/>
        <v>0</v>
      </c>
      <c r="AU324" s="155">
        <f t="shared" si="113"/>
        <v>0</v>
      </c>
      <c r="AV324" s="155">
        <f t="shared" si="113"/>
        <v>0</v>
      </c>
      <c r="AW324" s="155">
        <f t="shared" si="113"/>
        <v>0</v>
      </c>
      <c r="AX324" s="155">
        <f t="shared" si="113"/>
        <v>0</v>
      </c>
      <c r="AY324" s="155">
        <f t="shared" si="113"/>
        <v>0</v>
      </c>
      <c r="AZ324" s="155">
        <f t="shared" si="113"/>
        <v>0</v>
      </c>
      <c r="BA324" s="155">
        <f t="shared" si="113"/>
        <v>0</v>
      </c>
      <c r="BB324" s="155">
        <f t="shared" si="113"/>
        <v>0</v>
      </c>
      <c r="BC324" s="155">
        <f t="shared" si="113"/>
        <v>0</v>
      </c>
      <c r="BD324" s="155">
        <f t="shared" si="113"/>
        <v>0</v>
      </c>
      <c r="BE324" s="155">
        <f t="shared" si="113"/>
        <v>0</v>
      </c>
      <c r="BF324" s="155">
        <f t="shared" si="113"/>
        <v>0</v>
      </c>
      <c r="BG324" s="155">
        <f t="shared" si="113"/>
        <v>0</v>
      </c>
      <c r="BH324" s="155">
        <f t="shared" si="113"/>
        <v>0</v>
      </c>
      <c r="BI324" s="155">
        <f t="shared" si="113"/>
        <v>0</v>
      </c>
      <c r="BJ324" s="155">
        <f t="shared" si="113"/>
        <v>0</v>
      </c>
      <c r="BK324" s="155">
        <f t="shared" si="113"/>
        <v>0</v>
      </c>
      <c r="BL324" s="155">
        <f t="shared" si="113"/>
        <v>0</v>
      </c>
      <c r="BM324" s="155">
        <f t="shared" si="113"/>
        <v>0</v>
      </c>
      <c r="BN324" s="155">
        <f t="shared" ref="BN324:BR324" si="114">BN142</f>
        <v>0</v>
      </c>
      <c r="BO324" s="155">
        <f t="shared" si="114"/>
        <v>0</v>
      </c>
      <c r="BP324" s="155">
        <f t="shared" si="114"/>
        <v>0</v>
      </c>
      <c r="BQ324" s="155">
        <f t="shared" si="114"/>
        <v>0</v>
      </c>
      <c r="BR324" s="155">
        <f t="shared" si="114"/>
        <v>0</v>
      </c>
      <c r="BS324" s="155">
        <f t="shared" ref="BS324:CA324" si="115">BS142</f>
        <v>0</v>
      </c>
      <c r="BT324" s="155">
        <f t="shared" si="115"/>
        <v>0</v>
      </c>
      <c r="BU324" s="155">
        <f t="shared" si="115"/>
        <v>0</v>
      </c>
      <c r="BV324" s="155">
        <f t="shared" si="115"/>
        <v>0</v>
      </c>
      <c r="BW324" s="155">
        <f t="shared" si="115"/>
        <v>0</v>
      </c>
      <c r="BX324" s="155">
        <f t="shared" si="115"/>
        <v>0</v>
      </c>
      <c r="BY324" s="155">
        <f t="shared" si="115"/>
        <v>0</v>
      </c>
      <c r="BZ324" s="155">
        <f t="shared" si="115"/>
        <v>0</v>
      </c>
      <c r="CA324" s="155">
        <f t="shared" si="115"/>
        <v>0</v>
      </c>
      <c r="CB324" s="783"/>
      <c r="CC324" s="783"/>
      <c r="CD324" s="783"/>
      <c r="CE324" s="783"/>
      <c r="CF324" s="783"/>
      <c r="CG324" s="783"/>
      <c r="CH324" s="783"/>
      <c r="CI324" s="783"/>
      <c r="CJ324" s="783"/>
      <c r="CK324" s="783"/>
      <c r="CL324" s="783"/>
      <c r="CM324" s="783"/>
      <c r="CN324" s="783"/>
      <c r="CO324" s="783"/>
      <c r="CP324" s="783"/>
      <c r="CQ324" s="783"/>
      <c r="CR324" s="783"/>
      <c r="CS324" s="783"/>
      <c r="CT324" s="783"/>
      <c r="CU324" s="783"/>
      <c r="CV324" s="783"/>
      <c r="CW324" s="783"/>
      <c r="CX324" s="783"/>
      <c r="CY324" s="783"/>
      <c r="CZ324" s="783"/>
    </row>
    <row r="325" spans="1:104" s="558" customFormat="1" x14ac:dyDescent="0.3">
      <c r="A325" s="563">
        <f>A169</f>
        <v>624</v>
      </c>
      <c r="B325" s="563" t="str">
        <f t="shared" ref="B325:BM325" si="116">B169</f>
        <v>Does the County collect real estate property taxes on your behalf? Select "1" for "yes and "2" for "No"</v>
      </c>
      <c r="C325" s="563">
        <f t="shared" si="116"/>
        <v>0</v>
      </c>
      <c r="D325" s="563">
        <f t="shared" si="116"/>
        <v>2</v>
      </c>
      <c r="E325" s="563">
        <f t="shared" si="116"/>
        <v>2</v>
      </c>
      <c r="F325" s="563">
        <f t="shared" si="116"/>
        <v>0</v>
      </c>
      <c r="G325" s="563">
        <f t="shared" si="116"/>
        <v>1</v>
      </c>
      <c r="H325" s="563">
        <f t="shared" si="116"/>
        <v>1</v>
      </c>
      <c r="I325" s="563">
        <f t="shared" si="116"/>
        <v>1</v>
      </c>
      <c r="J325" s="563">
        <f t="shared" si="116"/>
        <v>1</v>
      </c>
      <c r="K325" s="563">
        <f t="shared" si="116"/>
        <v>2</v>
      </c>
      <c r="L325" s="563">
        <f t="shared" si="116"/>
        <v>1</v>
      </c>
      <c r="M325" s="563">
        <f t="shared" si="116"/>
        <v>0</v>
      </c>
      <c r="N325" s="563">
        <f t="shared" si="116"/>
        <v>1</v>
      </c>
      <c r="O325" s="563">
        <f t="shared" si="116"/>
        <v>0</v>
      </c>
      <c r="P325" s="563">
        <f t="shared" si="116"/>
        <v>1</v>
      </c>
      <c r="Q325" s="563">
        <f t="shared" si="116"/>
        <v>1</v>
      </c>
      <c r="R325" s="563">
        <f t="shared" si="116"/>
        <v>1</v>
      </c>
      <c r="S325" s="563">
        <f t="shared" si="116"/>
        <v>2</v>
      </c>
      <c r="T325" s="563">
        <f t="shared" si="116"/>
        <v>1</v>
      </c>
      <c r="U325" s="563">
        <f t="shared" si="116"/>
        <v>1</v>
      </c>
      <c r="V325" s="563">
        <f t="shared" si="116"/>
        <v>1</v>
      </c>
      <c r="W325" s="563">
        <f t="shared" si="116"/>
        <v>1</v>
      </c>
      <c r="X325" s="563">
        <f t="shared" si="116"/>
        <v>1</v>
      </c>
      <c r="Y325" s="563">
        <f t="shared" si="116"/>
        <v>1</v>
      </c>
      <c r="Z325" s="563">
        <f t="shared" si="116"/>
        <v>1</v>
      </c>
      <c r="AA325" s="563">
        <f t="shared" si="116"/>
        <v>0</v>
      </c>
      <c r="AB325" s="563">
        <f t="shared" si="116"/>
        <v>1</v>
      </c>
      <c r="AC325" s="563">
        <f t="shared" si="116"/>
        <v>1</v>
      </c>
      <c r="AD325" s="563">
        <f t="shared" si="116"/>
        <v>1</v>
      </c>
      <c r="AE325" s="563">
        <f t="shared" si="116"/>
        <v>1</v>
      </c>
      <c r="AF325" s="563">
        <f t="shared" si="116"/>
        <v>1</v>
      </c>
      <c r="AG325" s="563">
        <f t="shared" si="116"/>
        <v>1</v>
      </c>
      <c r="AH325" s="563">
        <f t="shared" si="116"/>
        <v>1</v>
      </c>
      <c r="AI325" s="563">
        <f t="shared" si="116"/>
        <v>1</v>
      </c>
      <c r="AJ325" s="563">
        <f t="shared" si="116"/>
        <v>2</v>
      </c>
      <c r="AK325" s="563">
        <f t="shared" si="116"/>
        <v>1</v>
      </c>
      <c r="AL325" s="563">
        <f t="shared" si="116"/>
        <v>1</v>
      </c>
      <c r="AM325" s="563">
        <f t="shared" si="116"/>
        <v>1</v>
      </c>
      <c r="AN325" s="563">
        <f t="shared" si="116"/>
        <v>2</v>
      </c>
      <c r="AO325" s="563">
        <f t="shared" si="116"/>
        <v>0</v>
      </c>
      <c r="AP325" s="563">
        <f t="shared" si="116"/>
        <v>1</v>
      </c>
      <c r="AQ325" s="563">
        <f t="shared" si="116"/>
        <v>1</v>
      </c>
      <c r="AR325" s="563">
        <f t="shared" si="116"/>
        <v>1</v>
      </c>
      <c r="AS325" s="563">
        <f t="shared" si="116"/>
        <v>0</v>
      </c>
      <c r="AT325" s="563">
        <f t="shared" si="116"/>
        <v>2</v>
      </c>
      <c r="AU325" s="563">
        <f t="shared" si="116"/>
        <v>1</v>
      </c>
      <c r="AV325" s="563">
        <f t="shared" si="116"/>
        <v>1</v>
      </c>
      <c r="AW325" s="563">
        <f t="shared" si="116"/>
        <v>0</v>
      </c>
      <c r="AX325" s="563">
        <f t="shared" si="116"/>
        <v>1</v>
      </c>
      <c r="AY325" s="563">
        <f t="shared" si="116"/>
        <v>1</v>
      </c>
      <c r="AZ325" s="563">
        <f t="shared" si="116"/>
        <v>0</v>
      </c>
      <c r="BA325" s="563">
        <f t="shared" si="116"/>
        <v>1</v>
      </c>
      <c r="BB325" s="563">
        <f t="shared" si="116"/>
        <v>1</v>
      </c>
      <c r="BC325" s="563">
        <f t="shared" si="116"/>
        <v>0</v>
      </c>
      <c r="BD325" s="563">
        <f t="shared" si="116"/>
        <v>1</v>
      </c>
      <c r="BE325" s="563">
        <f t="shared" si="116"/>
        <v>2</v>
      </c>
      <c r="BF325" s="563">
        <f t="shared" si="116"/>
        <v>0</v>
      </c>
      <c r="BG325" s="563">
        <f t="shared" si="116"/>
        <v>0</v>
      </c>
      <c r="BH325" s="563">
        <f t="shared" si="116"/>
        <v>2</v>
      </c>
      <c r="BI325" s="563">
        <f t="shared" si="116"/>
        <v>2</v>
      </c>
      <c r="BJ325" s="563">
        <f t="shared" si="116"/>
        <v>1</v>
      </c>
      <c r="BK325" s="563">
        <f t="shared" si="116"/>
        <v>1</v>
      </c>
      <c r="BL325" s="563">
        <f t="shared" si="116"/>
        <v>2</v>
      </c>
      <c r="BM325" s="563">
        <f t="shared" si="116"/>
        <v>0</v>
      </c>
      <c r="BN325" s="563">
        <f t="shared" ref="BN325:BR325" si="117">BN169</f>
        <v>2</v>
      </c>
      <c r="BO325" s="563">
        <f t="shared" si="117"/>
        <v>2</v>
      </c>
      <c r="BP325" s="563">
        <f t="shared" si="117"/>
        <v>2</v>
      </c>
      <c r="BQ325" s="563">
        <f t="shared" si="117"/>
        <v>1</v>
      </c>
      <c r="BR325" s="563">
        <f t="shared" si="117"/>
        <v>2</v>
      </c>
      <c r="BS325" s="563">
        <f t="shared" ref="BS325:CA325" si="118">BS169</f>
        <v>1</v>
      </c>
      <c r="BT325" s="563">
        <f t="shared" si="118"/>
        <v>2</v>
      </c>
      <c r="BU325" s="563">
        <f t="shared" si="118"/>
        <v>1</v>
      </c>
      <c r="BV325" s="563">
        <f t="shared" si="118"/>
        <v>0</v>
      </c>
      <c r="BW325" s="563">
        <f t="shared" si="118"/>
        <v>1</v>
      </c>
      <c r="BX325" s="563">
        <f t="shared" si="118"/>
        <v>1</v>
      </c>
      <c r="BY325" s="563">
        <f t="shared" si="118"/>
        <v>1</v>
      </c>
      <c r="BZ325" s="563">
        <f t="shared" si="118"/>
        <v>1</v>
      </c>
      <c r="CA325" s="563">
        <f t="shared" si="118"/>
        <v>1</v>
      </c>
    </row>
    <row r="326" spans="1:104" x14ac:dyDescent="0.3">
      <c r="A326" s="563">
        <f>A150</f>
        <v>577</v>
      </c>
      <c r="B326" s="563" t="str">
        <f t="shared" ref="B326:BM326" si="119">B150</f>
        <v>Yes  or "1" indicates unit has defined benefit other than the ones adm. By the state</v>
      </c>
      <c r="C326" s="563">
        <f t="shared" si="119"/>
        <v>0</v>
      </c>
      <c r="D326" s="563">
        <f t="shared" si="119"/>
        <v>2</v>
      </c>
      <c r="E326" s="563">
        <f t="shared" si="119"/>
        <v>2</v>
      </c>
      <c r="F326" s="563">
        <f t="shared" si="119"/>
        <v>0</v>
      </c>
      <c r="G326" s="563">
        <f t="shared" si="119"/>
        <v>2</v>
      </c>
      <c r="H326" s="563">
        <f t="shared" si="119"/>
        <v>1</v>
      </c>
      <c r="I326" s="563">
        <f t="shared" si="119"/>
        <v>2</v>
      </c>
      <c r="J326" s="563">
        <f t="shared" si="119"/>
        <v>0</v>
      </c>
      <c r="K326" s="563">
        <f t="shared" si="119"/>
        <v>0</v>
      </c>
      <c r="L326" s="563">
        <f t="shared" si="119"/>
        <v>2</v>
      </c>
      <c r="M326" s="563">
        <f t="shared" si="119"/>
        <v>0</v>
      </c>
      <c r="N326" s="563">
        <f t="shared" si="119"/>
        <v>2</v>
      </c>
      <c r="O326" s="563">
        <f t="shared" si="119"/>
        <v>0</v>
      </c>
      <c r="P326" s="563">
        <f t="shared" si="119"/>
        <v>2</v>
      </c>
      <c r="Q326" s="563">
        <f t="shared" si="119"/>
        <v>2</v>
      </c>
      <c r="R326" s="563">
        <f t="shared" si="119"/>
        <v>1</v>
      </c>
      <c r="S326" s="563">
        <f t="shared" si="119"/>
        <v>2</v>
      </c>
      <c r="T326" s="563">
        <f t="shared" si="119"/>
        <v>2</v>
      </c>
      <c r="U326" s="563">
        <f t="shared" si="119"/>
        <v>1</v>
      </c>
      <c r="V326" s="563">
        <f t="shared" si="119"/>
        <v>2</v>
      </c>
      <c r="W326" s="563">
        <f t="shared" si="119"/>
        <v>2</v>
      </c>
      <c r="X326" s="563">
        <f t="shared" si="119"/>
        <v>2</v>
      </c>
      <c r="Y326" s="563">
        <f t="shared" si="119"/>
        <v>2</v>
      </c>
      <c r="Z326" s="563">
        <f t="shared" si="119"/>
        <v>2</v>
      </c>
      <c r="AA326" s="563">
        <f t="shared" si="119"/>
        <v>0</v>
      </c>
      <c r="AB326" s="563">
        <f t="shared" si="119"/>
        <v>0</v>
      </c>
      <c r="AC326" s="563">
        <f t="shared" si="119"/>
        <v>2</v>
      </c>
      <c r="AD326" s="563">
        <f t="shared" si="119"/>
        <v>2</v>
      </c>
      <c r="AE326" s="563">
        <f t="shared" si="119"/>
        <v>2</v>
      </c>
      <c r="AF326" s="563">
        <f t="shared" si="119"/>
        <v>2</v>
      </c>
      <c r="AG326" s="563">
        <f t="shared" si="119"/>
        <v>0</v>
      </c>
      <c r="AH326" s="563">
        <f t="shared" si="119"/>
        <v>2</v>
      </c>
      <c r="AI326" s="563">
        <f t="shared" si="119"/>
        <v>2</v>
      </c>
      <c r="AJ326" s="563">
        <f t="shared" si="119"/>
        <v>2</v>
      </c>
      <c r="AK326" s="563">
        <f t="shared" si="119"/>
        <v>2</v>
      </c>
      <c r="AL326" s="563">
        <f t="shared" si="119"/>
        <v>2</v>
      </c>
      <c r="AM326" s="563">
        <f t="shared" si="119"/>
        <v>2</v>
      </c>
      <c r="AN326" s="563">
        <f t="shared" si="119"/>
        <v>2</v>
      </c>
      <c r="AO326" s="563">
        <f t="shared" si="119"/>
        <v>0</v>
      </c>
      <c r="AP326" s="563">
        <f t="shared" si="119"/>
        <v>2</v>
      </c>
      <c r="AQ326" s="563">
        <f t="shared" si="119"/>
        <v>2</v>
      </c>
      <c r="AR326" s="563">
        <f t="shared" si="119"/>
        <v>2</v>
      </c>
      <c r="AS326" s="563">
        <f t="shared" si="119"/>
        <v>0</v>
      </c>
      <c r="AT326" s="563">
        <f t="shared" si="119"/>
        <v>2</v>
      </c>
      <c r="AU326" s="563">
        <f t="shared" si="119"/>
        <v>2</v>
      </c>
      <c r="AV326" s="563">
        <f t="shared" si="119"/>
        <v>2</v>
      </c>
      <c r="AW326" s="563">
        <f t="shared" si="119"/>
        <v>0</v>
      </c>
      <c r="AX326" s="563">
        <f t="shared" si="119"/>
        <v>1</v>
      </c>
      <c r="AY326" s="563">
        <f t="shared" si="119"/>
        <v>2</v>
      </c>
      <c r="AZ326" s="563">
        <f t="shared" si="119"/>
        <v>0</v>
      </c>
      <c r="BA326" s="563">
        <f t="shared" si="119"/>
        <v>2</v>
      </c>
      <c r="BB326" s="563">
        <f t="shared" si="119"/>
        <v>2</v>
      </c>
      <c r="BC326" s="563">
        <f t="shared" si="119"/>
        <v>0</v>
      </c>
      <c r="BD326" s="563">
        <f t="shared" si="119"/>
        <v>2</v>
      </c>
      <c r="BE326" s="563">
        <f t="shared" si="119"/>
        <v>2</v>
      </c>
      <c r="BF326" s="563">
        <f t="shared" si="119"/>
        <v>0</v>
      </c>
      <c r="BG326" s="563">
        <f t="shared" si="119"/>
        <v>0</v>
      </c>
      <c r="BH326" s="563">
        <f t="shared" si="119"/>
        <v>2</v>
      </c>
      <c r="BI326" s="563">
        <f t="shared" si="119"/>
        <v>2</v>
      </c>
      <c r="BJ326" s="563">
        <f t="shared" si="119"/>
        <v>2</v>
      </c>
      <c r="BK326" s="563">
        <f t="shared" si="119"/>
        <v>2</v>
      </c>
      <c r="BL326" s="563">
        <f t="shared" si="119"/>
        <v>2</v>
      </c>
      <c r="BM326" s="563">
        <f t="shared" si="119"/>
        <v>0</v>
      </c>
      <c r="BN326" s="563">
        <f t="shared" ref="BN326:BR326" si="120">BN150</f>
        <v>2</v>
      </c>
      <c r="BO326" s="563">
        <f t="shared" si="120"/>
        <v>2</v>
      </c>
      <c r="BP326" s="563">
        <f t="shared" si="120"/>
        <v>2</v>
      </c>
      <c r="BQ326" s="563">
        <f t="shared" si="120"/>
        <v>2</v>
      </c>
      <c r="BR326" s="563">
        <f t="shared" si="120"/>
        <v>2</v>
      </c>
      <c r="BS326" s="563">
        <f t="shared" ref="BS326:CA326" si="121">BS150</f>
        <v>2</v>
      </c>
      <c r="BT326" s="563">
        <f t="shared" si="121"/>
        <v>2</v>
      </c>
      <c r="BU326" s="563">
        <f t="shared" si="121"/>
        <v>2</v>
      </c>
      <c r="BV326" s="563">
        <f t="shared" si="121"/>
        <v>0</v>
      </c>
      <c r="BW326" s="563">
        <f t="shared" si="121"/>
        <v>2</v>
      </c>
      <c r="BX326" s="563">
        <f t="shared" si="121"/>
        <v>0</v>
      </c>
      <c r="BY326" s="563">
        <f t="shared" si="121"/>
        <v>2</v>
      </c>
      <c r="BZ326" s="563">
        <f t="shared" si="121"/>
        <v>2</v>
      </c>
      <c r="CA326" s="563">
        <f t="shared" si="121"/>
        <v>2</v>
      </c>
      <c r="CB326" s="560"/>
      <c r="CC326" s="560"/>
      <c r="CD326" s="560"/>
      <c r="CE326" s="560"/>
      <c r="CF326" s="560"/>
      <c r="CG326" s="560"/>
      <c r="CH326" s="560"/>
      <c r="CI326" s="560"/>
      <c r="CJ326" s="560"/>
      <c r="CK326" s="560"/>
      <c r="CL326" s="560"/>
      <c r="CM326" s="560"/>
      <c r="CN326" s="560"/>
      <c r="CO326" s="560"/>
      <c r="CP326" s="560"/>
      <c r="CQ326" s="560"/>
      <c r="CR326" s="560"/>
      <c r="CS326" s="560"/>
      <c r="CT326" s="560"/>
      <c r="CU326" s="560"/>
      <c r="CV326" s="560"/>
      <c r="CW326" s="560"/>
      <c r="CX326" s="560"/>
      <c r="CY326" s="560"/>
      <c r="CZ326" s="560"/>
    </row>
    <row r="327" spans="1:104" x14ac:dyDescent="0.3">
      <c r="A327" s="563">
        <f>A229</f>
        <v>991</v>
      </c>
      <c r="B327" s="563" t="str">
        <f t="shared" ref="B327:BM327" si="122">B229</f>
        <v>The Counties listed in cell H260 are scheduled to revalue property listing by 1/1/2022 according to the Dept. of Revenue records.  Please indicate if you expect your revaluation to increase, decrease, or no change.  If you are not listed please select N/A</v>
      </c>
      <c r="C327" s="563">
        <f t="shared" si="122"/>
        <v>0</v>
      </c>
      <c r="D327" s="563">
        <f t="shared" si="122"/>
        <v>22</v>
      </c>
      <c r="E327" s="563">
        <f t="shared" si="122"/>
        <v>23</v>
      </c>
      <c r="F327" s="563">
        <f t="shared" si="122"/>
        <v>0</v>
      </c>
      <c r="G327" s="563">
        <f t="shared" si="122"/>
        <v>23</v>
      </c>
      <c r="H327" s="563">
        <f t="shared" si="122"/>
        <v>23</v>
      </c>
      <c r="I327" s="563">
        <f t="shared" si="122"/>
        <v>22</v>
      </c>
      <c r="J327" s="563">
        <f t="shared" si="122"/>
        <v>23</v>
      </c>
      <c r="K327" s="563">
        <f t="shared" si="122"/>
        <v>22</v>
      </c>
      <c r="L327" s="563">
        <f t="shared" si="122"/>
        <v>23</v>
      </c>
      <c r="M327" s="563">
        <f t="shared" si="122"/>
        <v>0</v>
      </c>
      <c r="N327" s="563">
        <f t="shared" si="122"/>
        <v>23</v>
      </c>
      <c r="O327" s="563">
        <f t="shared" si="122"/>
        <v>0</v>
      </c>
      <c r="P327" s="563">
        <f t="shared" si="122"/>
        <v>23</v>
      </c>
      <c r="Q327" s="563">
        <f t="shared" si="122"/>
        <v>23</v>
      </c>
      <c r="R327" s="563">
        <f t="shared" si="122"/>
        <v>23</v>
      </c>
      <c r="S327" s="563">
        <f t="shared" si="122"/>
        <v>23</v>
      </c>
      <c r="T327" s="563">
        <f t="shared" si="122"/>
        <v>23</v>
      </c>
      <c r="U327" s="563">
        <f t="shared" si="122"/>
        <v>23</v>
      </c>
      <c r="V327" s="563">
        <f t="shared" si="122"/>
        <v>23</v>
      </c>
      <c r="W327" s="563">
        <f t="shared" si="122"/>
        <v>0</v>
      </c>
      <c r="X327" s="563">
        <f t="shared" si="122"/>
        <v>23</v>
      </c>
      <c r="Y327" s="563">
        <f t="shared" si="122"/>
        <v>23</v>
      </c>
      <c r="Z327" s="563">
        <f t="shared" si="122"/>
        <v>23</v>
      </c>
      <c r="AA327" s="563">
        <f t="shared" si="122"/>
        <v>0</v>
      </c>
      <c r="AB327" s="563">
        <f t="shared" si="122"/>
        <v>0</v>
      </c>
      <c r="AC327" s="563">
        <f t="shared" si="122"/>
        <v>23</v>
      </c>
      <c r="AD327" s="563">
        <f t="shared" si="122"/>
        <v>23</v>
      </c>
      <c r="AE327" s="563">
        <f t="shared" si="122"/>
        <v>23</v>
      </c>
      <c r="AF327" s="563">
        <f t="shared" si="122"/>
        <v>23</v>
      </c>
      <c r="AG327" s="563">
        <f t="shared" si="122"/>
        <v>20</v>
      </c>
      <c r="AH327" s="563">
        <f t="shared" si="122"/>
        <v>23</v>
      </c>
      <c r="AI327" s="563">
        <f t="shared" si="122"/>
        <v>23</v>
      </c>
      <c r="AJ327" s="563">
        <f t="shared" si="122"/>
        <v>22</v>
      </c>
      <c r="AK327" s="563">
        <f t="shared" si="122"/>
        <v>23</v>
      </c>
      <c r="AL327" s="563">
        <f t="shared" si="122"/>
        <v>22</v>
      </c>
      <c r="AM327" s="563">
        <f t="shared" si="122"/>
        <v>23</v>
      </c>
      <c r="AN327" s="563">
        <f t="shared" si="122"/>
        <v>23</v>
      </c>
      <c r="AO327" s="563">
        <f t="shared" si="122"/>
        <v>0</v>
      </c>
      <c r="AP327" s="563">
        <f t="shared" si="122"/>
        <v>23</v>
      </c>
      <c r="AQ327" s="563">
        <f t="shared" si="122"/>
        <v>23</v>
      </c>
      <c r="AR327" s="563">
        <f t="shared" si="122"/>
        <v>23</v>
      </c>
      <c r="AS327" s="563">
        <f t="shared" si="122"/>
        <v>0</v>
      </c>
      <c r="AT327" s="563">
        <f t="shared" si="122"/>
        <v>23</v>
      </c>
      <c r="AU327" s="563">
        <f t="shared" si="122"/>
        <v>20</v>
      </c>
      <c r="AV327" s="563">
        <f t="shared" si="122"/>
        <v>23</v>
      </c>
      <c r="AW327" s="563">
        <f t="shared" si="122"/>
        <v>0</v>
      </c>
      <c r="AX327" s="563">
        <f t="shared" si="122"/>
        <v>20</v>
      </c>
      <c r="AY327" s="563">
        <f t="shared" si="122"/>
        <v>23</v>
      </c>
      <c r="AZ327" s="563">
        <f t="shared" si="122"/>
        <v>0</v>
      </c>
      <c r="BA327" s="563">
        <f t="shared" si="122"/>
        <v>23</v>
      </c>
      <c r="BB327" s="563">
        <f t="shared" si="122"/>
        <v>23</v>
      </c>
      <c r="BC327" s="563">
        <f t="shared" si="122"/>
        <v>0</v>
      </c>
      <c r="BD327" s="563">
        <f t="shared" si="122"/>
        <v>20</v>
      </c>
      <c r="BE327" s="563">
        <f t="shared" si="122"/>
        <v>23</v>
      </c>
      <c r="BF327" s="563">
        <f t="shared" si="122"/>
        <v>0</v>
      </c>
      <c r="BG327" s="563">
        <f t="shared" si="122"/>
        <v>0</v>
      </c>
      <c r="BH327" s="563">
        <f t="shared" si="122"/>
        <v>20</v>
      </c>
      <c r="BI327" s="563">
        <f t="shared" si="122"/>
        <v>23</v>
      </c>
      <c r="BJ327" s="563">
        <f t="shared" si="122"/>
        <v>23</v>
      </c>
      <c r="BK327" s="563">
        <f t="shared" si="122"/>
        <v>23</v>
      </c>
      <c r="BL327" s="563">
        <f t="shared" si="122"/>
        <v>23</v>
      </c>
      <c r="BM327" s="563">
        <f t="shared" si="122"/>
        <v>23</v>
      </c>
      <c r="BN327" s="563">
        <f t="shared" ref="BN327:BR327" si="123">BN229</f>
        <v>23</v>
      </c>
      <c r="BO327" s="563">
        <f t="shared" si="123"/>
        <v>23</v>
      </c>
      <c r="BP327" s="563">
        <f t="shared" si="123"/>
        <v>23</v>
      </c>
      <c r="BQ327" s="563">
        <f t="shared" si="123"/>
        <v>23</v>
      </c>
      <c r="BR327" s="563">
        <f t="shared" si="123"/>
        <v>23</v>
      </c>
      <c r="BS327" s="563">
        <f t="shared" ref="BS327:CA327" si="124">BS229</f>
        <v>23</v>
      </c>
      <c r="BT327" s="563">
        <f t="shared" si="124"/>
        <v>23</v>
      </c>
      <c r="BU327" s="563">
        <f t="shared" si="124"/>
        <v>22</v>
      </c>
      <c r="BV327" s="563">
        <f t="shared" si="124"/>
        <v>0</v>
      </c>
      <c r="BW327" s="563">
        <f t="shared" si="124"/>
        <v>23</v>
      </c>
      <c r="BX327" s="563">
        <f t="shared" si="124"/>
        <v>23</v>
      </c>
      <c r="BY327" s="563">
        <f t="shared" si="124"/>
        <v>0</v>
      </c>
      <c r="BZ327" s="563">
        <f t="shared" si="124"/>
        <v>23</v>
      </c>
      <c r="CA327" s="563">
        <f t="shared" si="124"/>
        <v>23</v>
      </c>
      <c r="CB327" s="560"/>
      <c r="CC327" s="560"/>
      <c r="CD327" s="560"/>
      <c r="CE327" s="560"/>
      <c r="CF327" s="560"/>
      <c r="CG327" s="560"/>
      <c r="CH327" s="560"/>
      <c r="CI327" s="560"/>
      <c r="CJ327" s="560"/>
      <c r="CK327" s="560"/>
      <c r="CL327" s="560"/>
      <c r="CM327" s="560"/>
      <c r="CN327" s="560"/>
      <c r="CO327" s="560"/>
      <c r="CP327" s="560"/>
      <c r="CQ327" s="560"/>
      <c r="CR327" s="560"/>
      <c r="CS327" s="560"/>
      <c r="CT327" s="560"/>
      <c r="CU327" s="560"/>
      <c r="CV327" s="560"/>
      <c r="CW327" s="560"/>
      <c r="CX327" s="560"/>
      <c r="CY327" s="560"/>
      <c r="CZ327" s="560"/>
    </row>
    <row r="328" spans="1:104" x14ac:dyDescent="0.3">
      <c r="A328" s="557" t="s">
        <v>979</v>
      </c>
      <c r="B328" s="180"/>
      <c r="C328" s="180"/>
      <c r="D328" s="568">
        <f>SUM(D285:D327)</f>
        <v>10215007</v>
      </c>
      <c r="E328" s="568">
        <f>SUM(E285:E327)</f>
        <v>195409028</v>
      </c>
      <c r="F328" s="568">
        <f t="shared" ref="F328:BQ328" si="125">SUM(F285:F327)</f>
        <v>50242.01</v>
      </c>
      <c r="G328" s="568">
        <f t="shared" si="125"/>
        <v>351077975.00999999</v>
      </c>
      <c r="H328" s="568">
        <f t="shared" si="125"/>
        <v>38200465.009999998</v>
      </c>
      <c r="I328" s="568">
        <f t="shared" si="125"/>
        <v>2011803.01</v>
      </c>
      <c r="J328" s="568">
        <f t="shared" si="125"/>
        <v>13263428.01</v>
      </c>
      <c r="K328" s="568">
        <f t="shared" si="125"/>
        <v>13200313.01</v>
      </c>
      <c r="L328" s="568">
        <f t="shared" si="125"/>
        <v>663140775.00999999</v>
      </c>
      <c r="M328" s="568">
        <f t="shared" si="125"/>
        <v>50248</v>
      </c>
      <c r="N328" s="568">
        <f t="shared" si="125"/>
        <v>6032804.0099999998</v>
      </c>
      <c r="O328" s="568">
        <f t="shared" si="125"/>
        <v>50250.01</v>
      </c>
      <c r="P328" s="568">
        <f t="shared" si="125"/>
        <v>359496381</v>
      </c>
      <c r="Q328" s="568">
        <f t="shared" si="125"/>
        <v>127633242.04499999</v>
      </c>
      <c r="R328" s="568">
        <f t="shared" si="125"/>
        <v>44041338.009999998</v>
      </c>
      <c r="S328" s="568">
        <f t="shared" si="125"/>
        <v>99140397.149999991</v>
      </c>
      <c r="T328" s="568">
        <f t="shared" si="125"/>
        <v>1988034.01</v>
      </c>
      <c r="U328" s="568">
        <f t="shared" si="125"/>
        <v>194015131.09</v>
      </c>
      <c r="V328" s="568">
        <f t="shared" si="125"/>
        <v>373216</v>
      </c>
      <c r="W328" s="568">
        <f t="shared" si="125"/>
        <v>61433655</v>
      </c>
      <c r="X328" s="568">
        <f t="shared" si="125"/>
        <v>239179054</v>
      </c>
      <c r="Y328" s="568">
        <f t="shared" si="125"/>
        <v>45831188.009999998</v>
      </c>
      <c r="Z328" s="568">
        <f t="shared" si="125"/>
        <v>16488555.09</v>
      </c>
      <c r="AA328" s="568">
        <f t="shared" si="125"/>
        <v>50260.01</v>
      </c>
      <c r="AB328" s="568">
        <f t="shared" si="125"/>
        <v>5073325</v>
      </c>
      <c r="AC328" s="568">
        <f t="shared" si="125"/>
        <v>1098565.01</v>
      </c>
      <c r="AD328" s="568">
        <f t="shared" si="125"/>
        <v>8108686.0099999998</v>
      </c>
      <c r="AE328" s="568">
        <f t="shared" si="125"/>
        <v>26737437.079999998</v>
      </c>
      <c r="AF328" s="568">
        <f t="shared" si="125"/>
        <v>3067043.01</v>
      </c>
      <c r="AG328" s="568">
        <f t="shared" si="125"/>
        <v>274863</v>
      </c>
      <c r="AH328" s="568">
        <f t="shared" si="125"/>
        <v>1444817</v>
      </c>
      <c r="AI328" s="568">
        <f t="shared" si="125"/>
        <v>12306770</v>
      </c>
      <c r="AJ328" s="568">
        <f t="shared" si="125"/>
        <v>78720623.090000004</v>
      </c>
      <c r="AK328" s="568">
        <f t="shared" si="125"/>
        <v>2802968.01</v>
      </c>
      <c r="AL328" s="568">
        <f t="shared" si="125"/>
        <v>248510</v>
      </c>
      <c r="AM328" s="568">
        <f t="shared" si="125"/>
        <v>237976052</v>
      </c>
      <c r="AN328" s="568">
        <f t="shared" si="125"/>
        <v>107198119.00999999</v>
      </c>
      <c r="AO328" s="568">
        <f t="shared" si="125"/>
        <v>50270.01</v>
      </c>
      <c r="AP328" s="568">
        <f t="shared" si="125"/>
        <v>41282349</v>
      </c>
      <c r="AQ328" s="568">
        <f t="shared" si="125"/>
        <v>199359520.06999999</v>
      </c>
      <c r="AR328" s="568">
        <f t="shared" si="125"/>
        <v>10108385.01</v>
      </c>
      <c r="AS328" s="568">
        <f t="shared" si="125"/>
        <v>50273.01</v>
      </c>
      <c r="AT328" s="568">
        <f t="shared" si="125"/>
        <v>33186886.009999998</v>
      </c>
      <c r="AU328" s="568">
        <f t="shared" si="125"/>
        <v>94468590.079999998</v>
      </c>
      <c r="AV328" s="568">
        <f t="shared" si="125"/>
        <v>3130819.01</v>
      </c>
      <c r="AW328" s="568">
        <f t="shared" si="125"/>
        <v>50277.01</v>
      </c>
      <c r="AX328" s="568">
        <f t="shared" si="125"/>
        <v>40297836.009999998</v>
      </c>
      <c r="AY328" s="568">
        <f t="shared" si="125"/>
        <v>20249688.009999998</v>
      </c>
      <c r="AZ328" s="568">
        <f t="shared" si="125"/>
        <v>50280.09</v>
      </c>
      <c r="BA328" s="568">
        <f t="shared" si="125"/>
        <v>1415445.01</v>
      </c>
      <c r="BB328" s="568">
        <f t="shared" si="125"/>
        <v>15564142.01</v>
      </c>
      <c r="BC328" s="568">
        <f t="shared" si="125"/>
        <v>50283.1</v>
      </c>
      <c r="BD328" s="568">
        <f t="shared" si="125"/>
        <v>528128</v>
      </c>
      <c r="BE328" s="568">
        <f t="shared" si="125"/>
        <v>230246202.09</v>
      </c>
      <c r="BF328" s="568">
        <f t="shared" si="125"/>
        <v>50286.1</v>
      </c>
      <c r="BG328" s="568">
        <f t="shared" si="125"/>
        <v>50287</v>
      </c>
      <c r="BH328" s="568">
        <f t="shared" si="125"/>
        <v>27638873.009999998</v>
      </c>
      <c r="BI328" s="568">
        <f t="shared" si="125"/>
        <v>20802724.009999998</v>
      </c>
      <c r="BJ328" s="568">
        <f t="shared" si="125"/>
        <v>2026263.01</v>
      </c>
      <c r="BK328" s="568">
        <f t="shared" si="125"/>
        <v>36043815.079999998</v>
      </c>
      <c r="BL328" s="568">
        <f t="shared" si="125"/>
        <v>28645381.009999998</v>
      </c>
      <c r="BM328" s="568">
        <f t="shared" si="125"/>
        <v>349095</v>
      </c>
      <c r="BN328" s="568">
        <f t="shared" si="125"/>
        <v>41015213.009999998</v>
      </c>
      <c r="BO328" s="568">
        <f t="shared" si="125"/>
        <v>20852779.009999998</v>
      </c>
      <c r="BP328" s="568">
        <f t="shared" si="125"/>
        <v>4538287.01</v>
      </c>
      <c r="BQ328" s="568">
        <f t="shared" si="125"/>
        <v>15999456.01</v>
      </c>
      <c r="BR328" s="568">
        <f t="shared" ref="BR328:CA328" si="126">SUM(BR285:BR327)</f>
        <v>20129040</v>
      </c>
      <c r="BS328" s="568">
        <f t="shared" si="126"/>
        <v>343204253</v>
      </c>
      <c r="BT328" s="568">
        <f t="shared" si="126"/>
        <v>9618957.0099999998</v>
      </c>
      <c r="BU328" s="568">
        <f t="shared" si="126"/>
        <v>31130962.009999998</v>
      </c>
      <c r="BV328" s="568">
        <f t="shared" si="126"/>
        <v>50299.01</v>
      </c>
      <c r="BW328" s="568">
        <f t="shared" si="126"/>
        <v>7958678.0099999998</v>
      </c>
      <c r="BX328" s="568">
        <f t="shared" si="126"/>
        <v>357860</v>
      </c>
      <c r="BY328" s="568">
        <f t="shared" si="126"/>
        <v>398083</v>
      </c>
      <c r="BZ328" s="568">
        <f t="shared" si="126"/>
        <v>167710201.00999999</v>
      </c>
      <c r="CA328" s="568">
        <f t="shared" si="126"/>
        <v>606772</v>
      </c>
      <c r="CB328" s="568"/>
      <c r="CC328" s="568"/>
      <c r="CD328" s="568"/>
      <c r="CE328" s="568"/>
      <c r="CF328" s="568"/>
      <c r="CG328" s="568"/>
      <c r="CH328" s="568"/>
      <c r="CI328" s="568"/>
      <c r="CJ328" s="568"/>
      <c r="CK328" s="568"/>
      <c r="CL328" s="568"/>
      <c r="CM328" s="568"/>
      <c r="CN328" s="568"/>
      <c r="CO328" s="568"/>
      <c r="CP328" s="568"/>
      <c r="CQ328" s="568"/>
      <c r="CR328" s="568"/>
      <c r="CS328" s="568"/>
      <c r="CT328" s="568"/>
      <c r="CU328" s="568"/>
      <c r="CV328" s="568"/>
      <c r="CW328" s="568"/>
      <c r="CX328" s="568"/>
      <c r="CY328" s="568"/>
      <c r="CZ328" s="568"/>
    </row>
    <row r="329" spans="1:104" x14ac:dyDescent="0.3">
      <c r="A329" s="557"/>
      <c r="B329" s="180"/>
      <c r="C329" s="180"/>
      <c r="D329" s="568">
        <f>D259-D328</f>
        <v>37613355.494999997</v>
      </c>
      <c r="E329" s="568">
        <f>E259-E328</f>
        <v>661442276.80499995</v>
      </c>
      <c r="F329" s="568">
        <f t="shared" ref="F329:BQ329" si="127">F259-F328</f>
        <v>0</v>
      </c>
      <c r="G329" s="568">
        <f t="shared" si="127"/>
        <v>2375662148.7279997</v>
      </c>
      <c r="H329" s="568">
        <f t="shared" si="127"/>
        <v>270861760.23500001</v>
      </c>
      <c r="I329" s="568">
        <f t="shared" si="127"/>
        <v>14762543.5</v>
      </c>
      <c r="J329" s="568">
        <f t="shared" si="127"/>
        <v>113419443.86999999</v>
      </c>
      <c r="K329" s="568">
        <f t="shared" si="127"/>
        <v>76394202.489999995</v>
      </c>
      <c r="L329" s="568">
        <f t="shared" si="127"/>
        <v>2436120004.8999996</v>
      </c>
      <c r="M329" s="568">
        <f t="shared" si="127"/>
        <v>0</v>
      </c>
      <c r="N329" s="568">
        <f t="shared" si="127"/>
        <v>46217883.580000006</v>
      </c>
      <c r="O329" s="568">
        <f t="shared" si="127"/>
        <v>0</v>
      </c>
      <c r="P329" s="568">
        <f t="shared" si="127"/>
        <v>943319304.80900002</v>
      </c>
      <c r="Q329" s="568">
        <f>Q259-Q328</f>
        <v>671538363.29000008</v>
      </c>
      <c r="R329" s="568">
        <f t="shared" si="127"/>
        <v>338679175.68050003</v>
      </c>
      <c r="S329" s="568">
        <f t="shared" si="127"/>
        <v>915256334.88999999</v>
      </c>
      <c r="T329" s="568">
        <f t="shared" si="127"/>
        <v>17175205.919999998</v>
      </c>
      <c r="U329" s="568">
        <f t="shared" si="127"/>
        <v>1690300083.51</v>
      </c>
      <c r="V329" s="568">
        <f t="shared" si="127"/>
        <v>1824683.83</v>
      </c>
      <c r="W329" s="568">
        <f t="shared" si="127"/>
        <v>242518385.85000002</v>
      </c>
      <c r="X329" s="568">
        <f t="shared" si="127"/>
        <v>646324154.74000001</v>
      </c>
      <c r="Y329" s="568">
        <f t="shared" si="127"/>
        <v>210057671.9258</v>
      </c>
      <c r="Z329" s="568">
        <f t="shared" si="127"/>
        <v>310849746.74200004</v>
      </c>
      <c r="AA329" s="568">
        <f t="shared" si="127"/>
        <v>0</v>
      </c>
      <c r="AB329" s="568">
        <f t="shared" si="127"/>
        <v>26977953.920000002</v>
      </c>
      <c r="AC329" s="568">
        <f t="shared" si="127"/>
        <v>11436267.333000001</v>
      </c>
      <c r="AD329" s="568">
        <f t="shared" si="127"/>
        <v>90960030.109999999</v>
      </c>
      <c r="AE329" s="568">
        <f t="shared" si="127"/>
        <v>234454912.19</v>
      </c>
      <c r="AF329" s="568">
        <f t="shared" si="127"/>
        <v>9891665.0999999996</v>
      </c>
      <c r="AG329" s="568">
        <f t="shared" si="127"/>
        <v>1232921.95</v>
      </c>
      <c r="AH329" s="568">
        <f t="shared" si="127"/>
        <v>6442803.5</v>
      </c>
      <c r="AI329" s="568">
        <f t="shared" si="127"/>
        <v>54160069.795000002</v>
      </c>
      <c r="AJ329" s="568">
        <f t="shared" si="127"/>
        <v>570376520.52999997</v>
      </c>
      <c r="AK329" s="568">
        <f t="shared" si="127"/>
        <v>19277111.700000003</v>
      </c>
      <c r="AL329" s="568">
        <f t="shared" si="127"/>
        <v>1207295.8600000001</v>
      </c>
      <c r="AM329" s="568">
        <f t="shared" si="127"/>
        <v>710999253.62</v>
      </c>
      <c r="AN329" s="568">
        <f t="shared" si="127"/>
        <v>877811147.95850003</v>
      </c>
      <c r="AO329" s="568">
        <f t="shared" si="127"/>
        <v>0</v>
      </c>
      <c r="AP329" s="568">
        <f t="shared" si="127"/>
        <v>131125063.45699999</v>
      </c>
      <c r="AQ329" s="568">
        <f t="shared" si="127"/>
        <v>1734236871.4200001</v>
      </c>
      <c r="AR329" s="568">
        <f t="shared" si="127"/>
        <v>86883328.390000001</v>
      </c>
      <c r="AS329" s="568">
        <f t="shared" si="127"/>
        <v>0</v>
      </c>
      <c r="AT329" s="568">
        <f t="shared" si="127"/>
        <v>155023272.24000001</v>
      </c>
      <c r="AU329" s="568">
        <f t="shared" si="127"/>
        <v>654429122.19999993</v>
      </c>
      <c r="AV329" s="568">
        <f t="shared" si="127"/>
        <v>21254638.950000003</v>
      </c>
      <c r="AW329" s="568">
        <f t="shared" si="127"/>
        <v>0</v>
      </c>
      <c r="AX329" s="568">
        <f t="shared" si="127"/>
        <v>211674885.30000001</v>
      </c>
      <c r="AY329" s="568">
        <f t="shared" si="127"/>
        <v>155111388.12</v>
      </c>
      <c r="AZ329" s="568">
        <f t="shared" si="127"/>
        <v>0</v>
      </c>
      <c r="BA329" s="568">
        <f t="shared" si="127"/>
        <v>3561060.3500000006</v>
      </c>
      <c r="BB329" s="568">
        <f t="shared" si="127"/>
        <v>104401714.08</v>
      </c>
      <c r="BC329" s="568">
        <f t="shared" si="127"/>
        <v>0</v>
      </c>
      <c r="BD329" s="568">
        <f t="shared" si="127"/>
        <v>3389561.8</v>
      </c>
      <c r="BE329" s="568">
        <f t="shared" si="127"/>
        <v>1251441989.6000001</v>
      </c>
      <c r="BF329" s="568">
        <f t="shared" si="127"/>
        <v>0</v>
      </c>
      <c r="BG329" s="568">
        <f t="shared" si="127"/>
        <v>0</v>
      </c>
      <c r="BH329" s="568">
        <f t="shared" si="127"/>
        <v>122624858.58000001</v>
      </c>
      <c r="BI329" s="568">
        <f t="shared" si="127"/>
        <v>123780834.40000001</v>
      </c>
      <c r="BJ329" s="568">
        <f t="shared" si="127"/>
        <v>44991491.219999999</v>
      </c>
      <c r="BK329" s="568">
        <f t="shared" si="127"/>
        <v>323609128.06</v>
      </c>
      <c r="BL329" s="568">
        <f t="shared" si="127"/>
        <v>215626266</v>
      </c>
      <c r="BM329" s="568">
        <f t="shared" si="127"/>
        <v>1860840</v>
      </c>
      <c r="BN329" s="568">
        <f t="shared" si="127"/>
        <v>292084246.88999999</v>
      </c>
      <c r="BO329" s="568">
        <f t="shared" si="127"/>
        <v>159140340.71000001</v>
      </c>
      <c r="BP329" s="568">
        <f t="shared" si="127"/>
        <v>75829515.530000001</v>
      </c>
      <c r="BQ329" s="568">
        <f t="shared" si="127"/>
        <v>110874428.58</v>
      </c>
      <c r="BR329" s="568">
        <f t="shared" ref="BR329:CA329" si="128">BR259-BR328</f>
        <v>61504926.019999996</v>
      </c>
      <c r="BS329" s="568">
        <f t="shared" si="128"/>
        <v>933448995.25500011</v>
      </c>
      <c r="BT329" s="568">
        <f t="shared" si="128"/>
        <v>83453083.939999998</v>
      </c>
      <c r="BU329" s="568">
        <f t="shared" si="128"/>
        <v>187549292.57000002</v>
      </c>
      <c r="BV329" s="568">
        <f t="shared" si="128"/>
        <v>0</v>
      </c>
      <c r="BW329" s="568">
        <f t="shared" si="128"/>
        <v>49380193.490000002</v>
      </c>
      <c r="BX329" s="568">
        <f t="shared" si="128"/>
        <v>1935925.31</v>
      </c>
      <c r="BY329" s="568">
        <f t="shared" si="128"/>
        <v>1923216.6099999999</v>
      </c>
      <c r="BZ329" s="568">
        <f t="shared" si="128"/>
        <v>1023400800.45</v>
      </c>
      <c r="CA329" s="568">
        <f t="shared" si="128"/>
        <v>1733511.98</v>
      </c>
      <c r="CB329" s="568"/>
      <c r="CC329" s="568"/>
      <c r="CD329" s="568"/>
      <c r="CE329" s="568"/>
      <c r="CF329" s="568"/>
      <c r="CG329" s="568"/>
      <c r="CH329" s="568"/>
      <c r="CI329" s="568"/>
      <c r="CJ329" s="568"/>
      <c r="CK329" s="568"/>
      <c r="CL329" s="568"/>
      <c r="CM329" s="568"/>
      <c r="CN329" s="568"/>
      <c r="CO329" s="568"/>
      <c r="CP329" s="568"/>
      <c r="CQ329" s="568"/>
      <c r="CR329" s="568"/>
      <c r="CS329" s="568"/>
      <c r="CT329" s="568"/>
      <c r="CU329" s="568"/>
      <c r="CV329" s="568"/>
      <c r="CW329" s="568"/>
      <c r="CX329" s="568"/>
      <c r="CY329" s="568"/>
      <c r="CZ329" s="568"/>
    </row>
    <row r="330" spans="1:104" x14ac:dyDescent="0.3">
      <c r="A330" s="557" t="s">
        <v>1662</v>
      </c>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row>
    <row r="331" spans="1:104" x14ac:dyDescent="0.3">
      <c r="A331" s="557"/>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row>
    <row r="332" spans="1:104" x14ac:dyDescent="0.3">
      <c r="A332" s="559">
        <f>A260</f>
        <v>9001</v>
      </c>
      <c r="B332" s="559">
        <v>385</v>
      </c>
      <c r="D332">
        <f>D260</f>
        <v>7263313</v>
      </c>
      <c r="E332" s="180">
        <f t="shared" ref="E332:BP333" si="129">E260</f>
        <v>132832315</v>
      </c>
      <c r="F332" s="180">
        <f t="shared" si="129"/>
        <v>0</v>
      </c>
      <c r="G332" s="180">
        <f t="shared" si="129"/>
        <v>192091873</v>
      </c>
      <c r="H332" s="180">
        <f t="shared" si="129"/>
        <v>19610224</v>
      </c>
      <c r="I332" s="180">
        <f t="shared" si="129"/>
        <v>831996</v>
      </c>
      <c r="J332" s="180">
        <f t="shared" si="129"/>
        <v>5204857</v>
      </c>
      <c r="K332" s="180">
        <f t="shared" si="129"/>
        <v>6065630</v>
      </c>
      <c r="L332" s="180">
        <f t="shared" si="129"/>
        <v>372292842</v>
      </c>
      <c r="M332" s="180">
        <f t="shared" si="129"/>
        <v>0</v>
      </c>
      <c r="N332" s="180">
        <f t="shared" si="129"/>
        <v>2666550</v>
      </c>
      <c r="O332" s="180">
        <f t="shared" si="129"/>
        <v>0</v>
      </c>
      <c r="P332" s="180">
        <f t="shared" si="129"/>
        <v>238336434</v>
      </c>
      <c r="Q332" s="180">
        <f t="shared" si="129"/>
        <v>73526821</v>
      </c>
      <c r="R332" s="180">
        <f t="shared" si="129"/>
        <v>19818678</v>
      </c>
      <c r="S332" s="180">
        <f t="shared" si="129"/>
        <v>44857436</v>
      </c>
      <c r="T332" s="180">
        <f t="shared" si="129"/>
        <v>1065767</v>
      </c>
      <c r="U332" s="180">
        <f t="shared" si="129"/>
        <v>64606474</v>
      </c>
      <c r="V332" s="180">
        <f t="shared" si="129"/>
        <v>291489</v>
      </c>
      <c r="W332" s="180">
        <f t="shared" si="129"/>
        <v>40635585</v>
      </c>
      <c r="X332" s="180">
        <f t="shared" si="129"/>
        <v>170453844</v>
      </c>
      <c r="Y332" s="180">
        <f t="shared" si="129"/>
        <v>25438310</v>
      </c>
      <c r="Z332" s="180">
        <f t="shared" si="129"/>
        <v>6661968</v>
      </c>
      <c r="AA332" s="180">
        <f t="shared" si="129"/>
        <v>0</v>
      </c>
      <c r="AB332" s="180">
        <f t="shared" si="129"/>
        <v>3063648</v>
      </c>
      <c r="AC332" s="180">
        <f t="shared" si="129"/>
        <v>820688</v>
      </c>
      <c r="AD332" s="180">
        <f t="shared" si="129"/>
        <v>4419498</v>
      </c>
      <c r="AE332" s="180">
        <f t="shared" si="129"/>
        <v>13427051</v>
      </c>
      <c r="AF332" s="180">
        <f t="shared" si="129"/>
        <v>1929141</v>
      </c>
      <c r="AG332" s="180">
        <f t="shared" si="129"/>
        <v>203021</v>
      </c>
      <c r="AH332" s="180">
        <f t="shared" si="129"/>
        <v>1296260</v>
      </c>
      <c r="AI332" s="180">
        <f t="shared" si="129"/>
        <v>8720355</v>
      </c>
      <c r="AJ332" s="180">
        <f t="shared" si="129"/>
        <v>28655946</v>
      </c>
      <c r="AK332" s="180">
        <f t="shared" si="129"/>
        <v>1741563</v>
      </c>
      <c r="AL332" s="180">
        <f t="shared" si="129"/>
        <v>166745</v>
      </c>
      <c r="AM332" s="180">
        <f t="shared" si="129"/>
        <v>161628806</v>
      </c>
      <c r="AN332" s="180">
        <f t="shared" si="129"/>
        <v>55790694</v>
      </c>
      <c r="AO332" s="180">
        <f t="shared" si="129"/>
        <v>0</v>
      </c>
      <c r="AP332" s="180">
        <f t="shared" si="129"/>
        <v>27796218</v>
      </c>
      <c r="AQ332" s="180">
        <f t="shared" si="129"/>
        <v>82048758</v>
      </c>
      <c r="AR332" s="180">
        <f t="shared" si="129"/>
        <v>5624675</v>
      </c>
      <c r="AS332" s="180">
        <f t="shared" si="129"/>
        <v>0</v>
      </c>
      <c r="AT332" s="180">
        <f t="shared" si="129"/>
        <v>18688312</v>
      </c>
      <c r="AU332" s="180">
        <f t="shared" si="129"/>
        <v>41044048</v>
      </c>
      <c r="AV332" s="180">
        <f t="shared" si="129"/>
        <v>1182400</v>
      </c>
      <c r="AW332" s="180">
        <f t="shared" si="129"/>
        <v>0</v>
      </c>
      <c r="AX332" s="180">
        <f t="shared" si="129"/>
        <v>18972840</v>
      </c>
      <c r="AY332" s="180">
        <f t="shared" si="129"/>
        <v>9754764</v>
      </c>
      <c r="AZ332" s="180">
        <f t="shared" si="129"/>
        <v>0</v>
      </c>
      <c r="BA332" s="180">
        <f t="shared" si="129"/>
        <v>565300</v>
      </c>
      <c r="BB332" s="180">
        <f t="shared" si="129"/>
        <v>8942982</v>
      </c>
      <c r="BC332" s="180">
        <f t="shared" si="129"/>
        <v>0</v>
      </c>
      <c r="BD332" s="180">
        <f t="shared" si="129"/>
        <v>438784</v>
      </c>
      <c r="BE332" s="180">
        <f t="shared" si="129"/>
        <v>70338728</v>
      </c>
      <c r="BF332" s="180">
        <f t="shared" si="129"/>
        <v>0</v>
      </c>
      <c r="BG332" s="180">
        <f t="shared" si="129"/>
        <v>0</v>
      </c>
      <c r="BH332" s="180">
        <f t="shared" si="129"/>
        <v>13469697</v>
      </c>
      <c r="BI332" s="180">
        <f t="shared" si="129"/>
        <v>14302565</v>
      </c>
      <c r="BJ332" s="180">
        <f t="shared" si="129"/>
        <v>1282286</v>
      </c>
      <c r="BK332" s="180">
        <f t="shared" si="129"/>
        <v>19419730</v>
      </c>
      <c r="BL332" s="180">
        <f t="shared" si="129"/>
        <v>17604418</v>
      </c>
      <c r="BM332" s="180">
        <f t="shared" si="129"/>
        <v>266969</v>
      </c>
      <c r="BN332" s="180">
        <f t="shared" si="129"/>
        <v>24927784</v>
      </c>
      <c r="BO332" s="180">
        <f t="shared" si="129"/>
        <v>11578357</v>
      </c>
      <c r="BP332" s="180">
        <f t="shared" si="129"/>
        <v>2564672</v>
      </c>
      <c r="BQ332" s="180">
        <f t="shared" ref="BQ332:BR334" si="130">BQ260</f>
        <v>7362564</v>
      </c>
      <c r="BR332" s="180">
        <f t="shared" si="130"/>
        <v>17283562</v>
      </c>
      <c r="BS332" s="180">
        <f t="shared" ref="BS332:CA332" si="131">BS260</f>
        <v>299173434</v>
      </c>
      <c r="BT332" s="180">
        <f t="shared" si="131"/>
        <v>6351935</v>
      </c>
      <c r="BU332" s="180">
        <f t="shared" si="131"/>
        <v>8260696</v>
      </c>
      <c r="BV332" s="180">
        <f t="shared" si="131"/>
        <v>0</v>
      </c>
      <c r="BW332" s="180">
        <f t="shared" si="131"/>
        <v>5358271</v>
      </c>
      <c r="BX332" s="180">
        <f t="shared" si="131"/>
        <v>283305</v>
      </c>
      <c r="BY332" s="180">
        <f t="shared" si="131"/>
        <v>292647</v>
      </c>
      <c r="BZ332" s="180">
        <f t="shared" si="131"/>
        <v>106764027</v>
      </c>
      <c r="CA332" s="180">
        <f t="shared" si="131"/>
        <v>391555</v>
      </c>
    </row>
    <row r="333" spans="1:104" x14ac:dyDescent="0.3">
      <c r="A333" s="559">
        <f>A261</f>
        <v>9002</v>
      </c>
      <c r="B333" s="559">
        <v>626</v>
      </c>
      <c r="D333" s="180">
        <f t="shared" ref="D333:S334" si="132">D261</f>
        <v>130045</v>
      </c>
      <c r="E333" s="180">
        <f t="shared" si="132"/>
        <v>12431471</v>
      </c>
      <c r="F333" s="180">
        <f t="shared" si="132"/>
        <v>0</v>
      </c>
      <c r="G333" s="180">
        <f t="shared" si="132"/>
        <v>8433147</v>
      </c>
      <c r="H333" s="180">
        <f t="shared" si="132"/>
        <v>558152</v>
      </c>
      <c r="I333" s="180">
        <f t="shared" si="132"/>
        <v>17528</v>
      </c>
      <c r="J333" s="180">
        <f t="shared" si="132"/>
        <v>50883</v>
      </c>
      <c r="K333" s="180">
        <f t="shared" si="132"/>
        <v>409336</v>
      </c>
      <c r="L333" s="180">
        <f t="shared" si="132"/>
        <v>16619733</v>
      </c>
      <c r="M333" s="180">
        <f t="shared" si="132"/>
        <v>0</v>
      </c>
      <c r="N333" s="180">
        <f t="shared" si="132"/>
        <v>53095</v>
      </c>
      <c r="O333" s="180">
        <f t="shared" si="132"/>
        <v>0</v>
      </c>
      <c r="P333" s="180">
        <f t="shared" si="132"/>
        <v>13138883</v>
      </c>
      <c r="Q333" s="180">
        <f t="shared" si="132"/>
        <v>3505274</v>
      </c>
      <c r="R333" s="180">
        <f t="shared" si="132"/>
        <v>2515203</v>
      </c>
      <c r="S333" s="180">
        <f t="shared" si="132"/>
        <v>1652123</v>
      </c>
      <c r="T333" s="180">
        <f t="shared" si="129"/>
        <v>224372</v>
      </c>
      <c r="U333" s="180">
        <f t="shared" si="129"/>
        <v>3515161</v>
      </c>
      <c r="V333" s="180">
        <f t="shared" si="129"/>
        <v>753</v>
      </c>
      <c r="W333" s="180">
        <f t="shared" si="129"/>
        <v>1514754</v>
      </c>
      <c r="X333" s="180">
        <f t="shared" si="129"/>
        <v>4631976</v>
      </c>
      <c r="Y333" s="180">
        <f t="shared" si="129"/>
        <v>1663006</v>
      </c>
      <c r="Z333" s="180">
        <f t="shared" si="129"/>
        <v>352336</v>
      </c>
      <c r="AA333" s="180">
        <f t="shared" si="129"/>
        <v>0</v>
      </c>
      <c r="AB333" s="180">
        <f t="shared" si="129"/>
        <v>503470</v>
      </c>
      <c r="AC333" s="180">
        <f t="shared" si="129"/>
        <v>10777</v>
      </c>
      <c r="AD333" s="180">
        <f t="shared" si="129"/>
        <v>65182</v>
      </c>
      <c r="AE333" s="180">
        <f t="shared" si="129"/>
        <v>374812</v>
      </c>
      <c r="AF333" s="180">
        <f t="shared" si="129"/>
        <v>507490</v>
      </c>
      <c r="AG333" s="180">
        <f t="shared" si="129"/>
        <v>1544</v>
      </c>
      <c r="AH333" s="180">
        <f t="shared" si="129"/>
        <v>47617</v>
      </c>
      <c r="AI333" s="180">
        <f t="shared" si="129"/>
        <v>1068221</v>
      </c>
      <c r="AJ333" s="180">
        <f t="shared" si="129"/>
        <v>3373324</v>
      </c>
      <c r="AK333" s="180">
        <f t="shared" si="129"/>
        <v>286066</v>
      </c>
      <c r="AL333" s="180">
        <f t="shared" si="129"/>
        <v>4550</v>
      </c>
      <c r="AM333" s="180">
        <f t="shared" si="129"/>
        <v>12550648</v>
      </c>
      <c r="AN333" s="180">
        <f t="shared" si="129"/>
        <v>3874070</v>
      </c>
      <c r="AO333" s="180">
        <f t="shared" si="129"/>
        <v>0</v>
      </c>
      <c r="AP333" s="180">
        <f t="shared" si="129"/>
        <v>2653592</v>
      </c>
      <c r="AQ333" s="180">
        <f t="shared" si="129"/>
        <v>3967089</v>
      </c>
      <c r="AR333" s="180">
        <f t="shared" si="129"/>
        <v>367012</v>
      </c>
      <c r="AS333" s="180">
        <f t="shared" si="129"/>
        <v>0</v>
      </c>
      <c r="AT333" s="180">
        <f t="shared" si="129"/>
        <v>622759</v>
      </c>
      <c r="AU333" s="180">
        <f t="shared" si="129"/>
        <v>1701797</v>
      </c>
      <c r="AV333" s="180">
        <f t="shared" si="129"/>
        <v>5487</v>
      </c>
      <c r="AW333" s="180">
        <f t="shared" si="129"/>
        <v>0</v>
      </c>
      <c r="AX333" s="180">
        <f t="shared" si="129"/>
        <v>339025</v>
      </c>
      <c r="AY333" s="180">
        <f t="shared" si="129"/>
        <v>205353</v>
      </c>
      <c r="AZ333" s="180">
        <f t="shared" si="129"/>
        <v>0</v>
      </c>
      <c r="BA333" s="180">
        <f t="shared" si="129"/>
        <v>241498</v>
      </c>
      <c r="BB333" s="180">
        <f t="shared" si="129"/>
        <v>204087</v>
      </c>
      <c r="BC333" s="180">
        <f t="shared" si="129"/>
        <v>0</v>
      </c>
      <c r="BD333" s="180">
        <f t="shared" si="129"/>
        <v>1152</v>
      </c>
      <c r="BE333" s="180">
        <f t="shared" si="129"/>
        <v>3699033</v>
      </c>
      <c r="BF333" s="180">
        <f t="shared" si="129"/>
        <v>0</v>
      </c>
      <c r="BG333" s="180">
        <f t="shared" si="129"/>
        <v>0</v>
      </c>
      <c r="BH333" s="180">
        <f t="shared" si="129"/>
        <v>215276</v>
      </c>
      <c r="BI333" s="180">
        <f t="shared" si="129"/>
        <v>606911</v>
      </c>
      <c r="BJ333" s="180">
        <f t="shared" si="129"/>
        <v>70849</v>
      </c>
      <c r="BK333" s="180">
        <f t="shared" si="129"/>
        <v>233523</v>
      </c>
      <c r="BL333" s="180">
        <f t="shared" si="129"/>
        <v>244929</v>
      </c>
      <c r="BM333" s="180">
        <f t="shared" si="129"/>
        <v>0</v>
      </c>
      <c r="BN333" s="180">
        <f t="shared" si="129"/>
        <v>1723595</v>
      </c>
      <c r="BO333" s="180">
        <f t="shared" si="129"/>
        <v>386107</v>
      </c>
      <c r="BP333" s="180">
        <f t="shared" si="129"/>
        <v>34916</v>
      </c>
      <c r="BQ333" s="180">
        <f t="shared" si="130"/>
        <v>128601</v>
      </c>
      <c r="BR333" s="180">
        <f t="shared" si="130"/>
        <v>196844</v>
      </c>
      <c r="BS333" s="180">
        <f t="shared" ref="BS333:CA333" si="133">BS261</f>
        <v>3043093</v>
      </c>
      <c r="BT333" s="180">
        <f t="shared" si="133"/>
        <v>113699</v>
      </c>
      <c r="BU333" s="180">
        <f t="shared" si="133"/>
        <v>5704185</v>
      </c>
      <c r="BV333" s="180">
        <f t="shared" si="133"/>
        <v>0</v>
      </c>
      <c r="BW333" s="180">
        <f t="shared" si="133"/>
        <v>3460</v>
      </c>
      <c r="BX333" s="180">
        <f t="shared" si="133"/>
        <v>0</v>
      </c>
      <c r="BY333" s="180">
        <f t="shared" si="133"/>
        <v>26608</v>
      </c>
      <c r="BZ333" s="180">
        <f t="shared" si="133"/>
        <v>4521170</v>
      </c>
      <c r="CA333" s="180">
        <f t="shared" si="133"/>
        <v>35798</v>
      </c>
    </row>
    <row r="334" spans="1:104" x14ac:dyDescent="0.3">
      <c r="A334" s="559">
        <f>A262</f>
        <v>9003</v>
      </c>
      <c r="B334" s="559">
        <v>338</v>
      </c>
      <c r="D334" s="180">
        <f t="shared" si="132"/>
        <v>2603710</v>
      </c>
      <c r="E334" s="180">
        <f t="shared" ref="E334:BP334" si="134">E262</f>
        <v>30154878</v>
      </c>
      <c r="F334" s="180">
        <f t="shared" si="134"/>
        <v>0</v>
      </c>
      <c r="G334" s="180">
        <f t="shared" si="134"/>
        <v>47262213</v>
      </c>
      <c r="H334" s="180">
        <f t="shared" si="134"/>
        <v>3090596</v>
      </c>
      <c r="I334" s="180">
        <f t="shared" si="134"/>
        <v>502093</v>
      </c>
      <c r="J334" s="180">
        <f t="shared" si="134"/>
        <v>781658</v>
      </c>
      <c r="K334" s="180">
        <f t="shared" si="134"/>
        <v>2998173</v>
      </c>
      <c r="L334" s="180">
        <f t="shared" si="134"/>
        <v>230079187</v>
      </c>
      <c r="M334" s="180">
        <f t="shared" si="134"/>
        <v>0</v>
      </c>
      <c r="N334" s="180">
        <f t="shared" si="134"/>
        <v>1266345</v>
      </c>
      <c r="O334" s="180">
        <f t="shared" si="134"/>
        <v>0</v>
      </c>
      <c r="P334" s="180">
        <f t="shared" si="134"/>
        <v>78031949</v>
      </c>
      <c r="Q334" s="180">
        <f t="shared" si="134"/>
        <v>25514338</v>
      </c>
      <c r="R334" s="180">
        <f t="shared" si="134"/>
        <v>7654859</v>
      </c>
      <c r="S334" s="180">
        <f t="shared" si="134"/>
        <v>21757642</v>
      </c>
      <c r="T334" s="180">
        <f t="shared" si="134"/>
        <v>224372</v>
      </c>
      <c r="U334" s="180">
        <f t="shared" si="134"/>
        <v>29681409</v>
      </c>
      <c r="V334" s="180">
        <f t="shared" si="134"/>
        <v>29906</v>
      </c>
      <c r="W334" s="180">
        <f t="shared" si="134"/>
        <v>11232538</v>
      </c>
      <c r="X334" s="180">
        <f t="shared" si="134"/>
        <v>43222652</v>
      </c>
      <c r="Y334" s="180">
        <f t="shared" si="134"/>
        <v>12085947</v>
      </c>
      <c r="Z334" s="180">
        <f t="shared" si="134"/>
        <v>638481</v>
      </c>
      <c r="AA334" s="180">
        <f t="shared" si="134"/>
        <v>0</v>
      </c>
      <c r="AB334" s="180">
        <f t="shared" si="134"/>
        <v>503470</v>
      </c>
      <c r="AC334" s="180">
        <f t="shared" si="134"/>
        <v>46452</v>
      </c>
      <c r="AD334" s="180">
        <f t="shared" si="134"/>
        <v>590435</v>
      </c>
      <c r="AE334" s="180">
        <f t="shared" si="134"/>
        <v>2625092</v>
      </c>
      <c r="AF334" s="180">
        <f t="shared" si="134"/>
        <v>507490</v>
      </c>
      <c r="AG334" s="180">
        <f t="shared" si="134"/>
        <v>1544</v>
      </c>
      <c r="AH334" s="180">
        <f t="shared" si="134"/>
        <v>47617</v>
      </c>
      <c r="AI334" s="180">
        <f t="shared" si="134"/>
        <v>2319454</v>
      </c>
      <c r="AJ334" s="180">
        <f t="shared" si="134"/>
        <v>14660561</v>
      </c>
      <c r="AK334" s="180">
        <f t="shared" si="134"/>
        <v>286066</v>
      </c>
      <c r="AL334" s="180">
        <f t="shared" si="134"/>
        <v>4550</v>
      </c>
      <c r="AM334" s="180">
        <f t="shared" si="134"/>
        <v>35459053</v>
      </c>
      <c r="AN334" s="180">
        <f t="shared" si="134"/>
        <v>19702362</v>
      </c>
      <c r="AO334" s="180">
        <f t="shared" si="134"/>
        <v>0</v>
      </c>
      <c r="AP334" s="180">
        <f t="shared" si="134"/>
        <v>4495551</v>
      </c>
      <c r="AQ334" s="180">
        <f t="shared" si="134"/>
        <v>36547779</v>
      </c>
      <c r="AR334" s="180">
        <f t="shared" si="134"/>
        <v>2539827</v>
      </c>
      <c r="AS334" s="180">
        <f t="shared" si="134"/>
        <v>0</v>
      </c>
      <c r="AT334" s="180">
        <f t="shared" si="134"/>
        <v>6610189</v>
      </c>
      <c r="AU334" s="180">
        <f t="shared" si="134"/>
        <v>20189330</v>
      </c>
      <c r="AV334" s="180">
        <f t="shared" si="134"/>
        <v>50759</v>
      </c>
      <c r="AW334" s="180">
        <f t="shared" si="134"/>
        <v>0</v>
      </c>
      <c r="AX334" s="180">
        <f t="shared" si="134"/>
        <v>2238400</v>
      </c>
      <c r="AY334" s="180">
        <f t="shared" si="134"/>
        <v>3362798</v>
      </c>
      <c r="AZ334" s="180">
        <f t="shared" si="134"/>
        <v>0</v>
      </c>
      <c r="BA334" s="180">
        <f t="shared" si="134"/>
        <v>277192</v>
      </c>
      <c r="BB334" s="180">
        <f t="shared" si="134"/>
        <v>2045645</v>
      </c>
      <c r="BC334" s="180">
        <f t="shared" si="134"/>
        <v>0</v>
      </c>
      <c r="BD334" s="180">
        <f t="shared" si="134"/>
        <v>21697</v>
      </c>
      <c r="BE334" s="180">
        <f t="shared" si="134"/>
        <v>71062716</v>
      </c>
      <c r="BF334" s="180">
        <f t="shared" si="134"/>
        <v>0</v>
      </c>
      <c r="BG334" s="180">
        <f t="shared" si="134"/>
        <v>0</v>
      </c>
      <c r="BH334" s="180">
        <f t="shared" si="134"/>
        <v>10011279</v>
      </c>
      <c r="BI334" s="180">
        <f t="shared" si="134"/>
        <v>2177833</v>
      </c>
      <c r="BJ334" s="180">
        <f t="shared" si="134"/>
        <v>316311</v>
      </c>
      <c r="BK334" s="180">
        <f t="shared" si="134"/>
        <v>4006118</v>
      </c>
      <c r="BL334" s="180">
        <f t="shared" si="134"/>
        <v>4480310</v>
      </c>
      <c r="BM334" s="180">
        <f t="shared" si="134"/>
        <v>31500</v>
      </c>
      <c r="BN334" s="180">
        <f t="shared" si="134"/>
        <v>8845411</v>
      </c>
      <c r="BO334" s="180">
        <f t="shared" si="134"/>
        <v>1316648</v>
      </c>
      <c r="BP334" s="180">
        <f t="shared" si="134"/>
        <v>374283</v>
      </c>
      <c r="BQ334" s="180">
        <f t="shared" si="130"/>
        <v>2313221</v>
      </c>
      <c r="BR334" s="180">
        <f t="shared" si="130"/>
        <v>2472713</v>
      </c>
      <c r="BS334" s="180">
        <f t="shared" ref="BS334:CA334" si="135">BS262</f>
        <v>19598505</v>
      </c>
      <c r="BT334" s="180">
        <f t="shared" si="135"/>
        <v>1647474</v>
      </c>
      <c r="BU334" s="180">
        <f t="shared" si="135"/>
        <v>7180764</v>
      </c>
      <c r="BV334" s="180">
        <f t="shared" si="135"/>
        <v>0</v>
      </c>
      <c r="BW334" s="180">
        <f t="shared" si="135"/>
        <v>83096</v>
      </c>
      <c r="BX334" s="180">
        <f t="shared" si="135"/>
        <v>24196</v>
      </c>
      <c r="BY334" s="180">
        <f t="shared" si="135"/>
        <v>26608</v>
      </c>
      <c r="BZ334" s="180">
        <f t="shared" si="135"/>
        <v>30432836</v>
      </c>
      <c r="CA334" s="180">
        <f t="shared" si="135"/>
        <v>59992</v>
      </c>
    </row>
    <row r="335" spans="1:104" x14ac:dyDescent="0.3">
      <c r="BS335" s="180"/>
      <c r="BT335" s="180"/>
      <c r="BU335" s="180"/>
      <c r="BV335" s="180"/>
      <c r="BW335" s="180"/>
      <c r="BX335" s="180"/>
      <c r="BY335" s="180"/>
      <c r="BZ335" s="180"/>
      <c r="CA335" s="180"/>
    </row>
    <row r="336" spans="1:104" x14ac:dyDescent="0.3">
      <c r="D336" s="568">
        <f>D329+D332+D333+D334</f>
        <v>47610423.494999997</v>
      </c>
      <c r="E336" s="568">
        <f>E329+E332+E333+E334</f>
        <v>836860940.80499995</v>
      </c>
      <c r="F336" s="568">
        <f t="shared" ref="F336:BQ336" si="136">F329+F332+F333+F334</f>
        <v>0</v>
      </c>
      <c r="G336" s="568">
        <f t="shared" si="136"/>
        <v>2623449381.7279997</v>
      </c>
      <c r="H336" s="568">
        <f t="shared" si="136"/>
        <v>294120732.23500001</v>
      </c>
      <c r="I336" s="568">
        <f t="shared" si="136"/>
        <v>16114160.5</v>
      </c>
      <c r="J336" s="568">
        <f t="shared" si="136"/>
        <v>119456841.86999999</v>
      </c>
      <c r="K336" s="568">
        <f t="shared" si="136"/>
        <v>85867341.489999995</v>
      </c>
      <c r="L336" s="568">
        <f t="shared" si="136"/>
        <v>3055111766.8999996</v>
      </c>
      <c r="M336" s="568">
        <f t="shared" si="136"/>
        <v>0</v>
      </c>
      <c r="N336" s="568">
        <f t="shared" si="136"/>
        <v>50203873.580000006</v>
      </c>
      <c r="O336" s="568">
        <f t="shared" si="136"/>
        <v>0</v>
      </c>
      <c r="P336" s="568">
        <f t="shared" si="136"/>
        <v>1272826570.809</v>
      </c>
      <c r="Q336" s="568">
        <f>Q329+Q332+Q333+Q334</f>
        <v>774084796.29000008</v>
      </c>
      <c r="R336" s="568">
        <f t="shared" si="136"/>
        <v>368667915.68050003</v>
      </c>
      <c r="S336" s="568">
        <f t="shared" si="136"/>
        <v>983523535.88999999</v>
      </c>
      <c r="T336" s="568">
        <f t="shared" si="136"/>
        <v>18689716.919999998</v>
      </c>
      <c r="U336" s="568">
        <f t="shared" si="136"/>
        <v>1788103127.51</v>
      </c>
      <c r="V336" s="568">
        <f t="shared" si="136"/>
        <v>2146831.83</v>
      </c>
      <c r="W336" s="568">
        <f t="shared" si="136"/>
        <v>295901262.85000002</v>
      </c>
      <c r="X336" s="568">
        <f t="shared" si="136"/>
        <v>864632626.74000001</v>
      </c>
      <c r="Y336" s="568">
        <f t="shared" si="136"/>
        <v>249244934.9258</v>
      </c>
      <c r="Z336" s="568">
        <f t="shared" si="136"/>
        <v>318502531.74200004</v>
      </c>
      <c r="AA336" s="568">
        <f t="shared" si="136"/>
        <v>0</v>
      </c>
      <c r="AB336" s="568">
        <f t="shared" si="136"/>
        <v>31048541.920000002</v>
      </c>
      <c r="AC336" s="568">
        <f t="shared" si="136"/>
        <v>12314184.333000001</v>
      </c>
      <c r="AD336" s="568">
        <f t="shared" si="136"/>
        <v>96035145.109999999</v>
      </c>
      <c r="AE336" s="568">
        <f t="shared" si="136"/>
        <v>250881867.19</v>
      </c>
      <c r="AF336" s="568">
        <f t="shared" si="136"/>
        <v>12835786.1</v>
      </c>
      <c r="AG336" s="568">
        <f t="shared" si="136"/>
        <v>1439030.95</v>
      </c>
      <c r="AH336" s="568">
        <f t="shared" si="136"/>
        <v>7834297.5</v>
      </c>
      <c r="AI336" s="568">
        <f t="shared" si="136"/>
        <v>66268099.795000002</v>
      </c>
      <c r="AJ336" s="568">
        <f t="shared" si="136"/>
        <v>617066351.52999997</v>
      </c>
      <c r="AK336" s="568">
        <f t="shared" si="136"/>
        <v>21590806.700000003</v>
      </c>
      <c r="AL336" s="568">
        <f t="shared" si="136"/>
        <v>1383140.86</v>
      </c>
      <c r="AM336" s="568">
        <f t="shared" si="136"/>
        <v>920637760.62</v>
      </c>
      <c r="AN336" s="568">
        <f t="shared" si="136"/>
        <v>957178273.95850003</v>
      </c>
      <c r="AO336" s="568">
        <f t="shared" si="136"/>
        <v>0</v>
      </c>
      <c r="AP336" s="568">
        <f t="shared" si="136"/>
        <v>166070424.45699999</v>
      </c>
      <c r="AQ336" s="568">
        <f t="shared" si="136"/>
        <v>1856800497.4200001</v>
      </c>
      <c r="AR336" s="568">
        <f t="shared" si="136"/>
        <v>95414842.390000001</v>
      </c>
      <c r="AS336" s="568">
        <f t="shared" si="136"/>
        <v>0</v>
      </c>
      <c r="AT336" s="568">
        <f t="shared" si="136"/>
        <v>180944532.24000001</v>
      </c>
      <c r="AU336" s="568">
        <f t="shared" si="136"/>
        <v>717364297.19999993</v>
      </c>
      <c r="AV336" s="568">
        <f t="shared" si="136"/>
        <v>22493284.950000003</v>
      </c>
      <c r="AW336" s="568">
        <f t="shared" si="136"/>
        <v>0</v>
      </c>
      <c r="AX336" s="568">
        <f t="shared" si="136"/>
        <v>233225150.30000001</v>
      </c>
      <c r="AY336" s="568">
        <f t="shared" si="136"/>
        <v>168434303.12</v>
      </c>
      <c r="AZ336" s="568">
        <f t="shared" si="136"/>
        <v>0</v>
      </c>
      <c r="BA336" s="568">
        <f t="shared" si="136"/>
        <v>4645050.3500000006</v>
      </c>
      <c r="BB336" s="568">
        <f t="shared" si="136"/>
        <v>115594428.08</v>
      </c>
      <c r="BC336" s="568">
        <f t="shared" si="136"/>
        <v>0</v>
      </c>
      <c r="BD336" s="568">
        <f t="shared" si="136"/>
        <v>3851194.8</v>
      </c>
      <c r="BE336" s="568">
        <f t="shared" si="136"/>
        <v>1396542466.6000001</v>
      </c>
      <c r="BF336" s="568">
        <f t="shared" si="136"/>
        <v>0</v>
      </c>
      <c r="BG336" s="568">
        <f t="shared" si="136"/>
        <v>0</v>
      </c>
      <c r="BH336" s="568">
        <f t="shared" si="136"/>
        <v>146321110.58000001</v>
      </c>
      <c r="BI336" s="568">
        <f t="shared" si="136"/>
        <v>140868143.40000001</v>
      </c>
      <c r="BJ336" s="568">
        <f t="shared" si="136"/>
        <v>46660937.219999999</v>
      </c>
      <c r="BK336" s="568">
        <f t="shared" si="136"/>
        <v>347268499.06</v>
      </c>
      <c r="BL336" s="568">
        <f t="shared" si="136"/>
        <v>237955923</v>
      </c>
      <c r="BM336" s="568">
        <f t="shared" si="136"/>
        <v>2159309</v>
      </c>
      <c r="BN336" s="568">
        <f t="shared" si="136"/>
        <v>327581036.88999999</v>
      </c>
      <c r="BO336" s="568">
        <f t="shared" si="136"/>
        <v>172421452.71000001</v>
      </c>
      <c r="BP336" s="568">
        <f t="shared" si="136"/>
        <v>78803386.530000001</v>
      </c>
      <c r="BQ336" s="568">
        <f t="shared" si="136"/>
        <v>120678814.58</v>
      </c>
      <c r="BR336" s="568">
        <f t="shared" ref="BR336:CA336" si="137">BR329+BR332+BR333+BR334</f>
        <v>81458045.019999996</v>
      </c>
      <c r="BS336" s="568">
        <f t="shared" si="137"/>
        <v>1255264027.2550001</v>
      </c>
      <c r="BT336" s="568">
        <f t="shared" si="137"/>
        <v>91566191.939999998</v>
      </c>
      <c r="BU336" s="568">
        <f t="shared" si="137"/>
        <v>208694937.57000002</v>
      </c>
      <c r="BV336" s="568">
        <f t="shared" si="137"/>
        <v>0</v>
      </c>
      <c r="BW336" s="568">
        <f t="shared" si="137"/>
        <v>54825020.490000002</v>
      </c>
      <c r="BX336" s="568">
        <f t="shared" si="137"/>
        <v>2243426.31</v>
      </c>
      <c r="BY336" s="568">
        <f t="shared" si="137"/>
        <v>2269079.61</v>
      </c>
      <c r="BZ336" s="568">
        <f t="shared" si="137"/>
        <v>1165118833.45</v>
      </c>
      <c r="CA336" s="568">
        <f t="shared" si="137"/>
        <v>2220856.98</v>
      </c>
    </row>
    <row r="338" spans="1:79" s="1051" customFormat="1" x14ac:dyDescent="0.3">
      <c r="A338" s="1050"/>
      <c r="D338" s="1053">
        <v>47610423.494999997</v>
      </c>
      <c r="E338" s="1053">
        <v>836860940.80499995</v>
      </c>
      <c r="L338" s="1053">
        <v>3055111766.9000001</v>
      </c>
      <c r="AU338" s="1053">
        <v>717364297.19999993</v>
      </c>
      <c r="BE338" s="1053">
        <v>1396542466.5999999</v>
      </c>
      <c r="CA338" s="1053">
        <v>2220856.98</v>
      </c>
    </row>
    <row r="339" spans="1:79" s="180" customFormat="1" x14ac:dyDescent="0.3">
      <c r="A339" s="155"/>
      <c r="D339" s="568">
        <f>D336-D338</f>
        <v>0</v>
      </c>
      <c r="E339" s="568">
        <f>E336-E338</f>
        <v>0</v>
      </c>
      <c r="Q339" s="1047"/>
      <c r="BR339" s="568"/>
      <c r="CA339" s="568">
        <f>CA336-CA338</f>
        <v>0</v>
      </c>
    </row>
    <row r="340" spans="1:79" s="180" customFormat="1" x14ac:dyDescent="0.3">
      <c r="A340" s="155"/>
      <c r="L340" s="568"/>
      <c r="Q340" s="1045"/>
      <c r="BE340" s="568"/>
    </row>
    <row r="341" spans="1:79" s="180" customFormat="1" x14ac:dyDescent="0.3">
      <c r="A341" s="155"/>
      <c r="Q341" s="526"/>
      <c r="R341" s="568"/>
    </row>
    <row r="342" spans="1:79" s="1051" customFormat="1" x14ac:dyDescent="0.3">
      <c r="A342" s="1050"/>
      <c r="D342" s="1053">
        <v>47828362.5</v>
      </c>
      <c r="E342" s="1053">
        <v>856851304.80999994</v>
      </c>
      <c r="F342" s="1051">
        <v>0.01</v>
      </c>
      <c r="G342" s="1053">
        <v>2726740123.7399998</v>
      </c>
      <c r="H342" s="1053">
        <v>309062225.25</v>
      </c>
      <c r="I342" s="1053">
        <v>16774346.51</v>
      </c>
      <c r="J342" s="1053">
        <v>126682871.88</v>
      </c>
      <c r="K342" s="1053">
        <v>89594515.5</v>
      </c>
      <c r="L342" s="1053">
        <v>3099260779.9099998</v>
      </c>
      <c r="M342" s="1051">
        <v>0</v>
      </c>
      <c r="N342" s="1053">
        <v>52250687.590000004</v>
      </c>
      <c r="O342" s="1051">
        <v>0.01</v>
      </c>
      <c r="P342" s="1053">
        <v>1302815685.8099999</v>
      </c>
      <c r="Q342" s="1055">
        <v>799171605.34000003</v>
      </c>
      <c r="R342" s="1053">
        <v>382720513.69</v>
      </c>
      <c r="S342" s="1053">
        <v>1014396732.04</v>
      </c>
      <c r="T342" s="1053">
        <v>19163239.93</v>
      </c>
      <c r="U342" s="1053">
        <v>1884315214.5999999</v>
      </c>
      <c r="V342" s="1053">
        <v>2197899.83</v>
      </c>
      <c r="W342" s="1053">
        <v>303952040.85000002</v>
      </c>
      <c r="X342" s="1053">
        <v>885503208.74000001</v>
      </c>
      <c r="Y342" s="1053">
        <v>255888859.94</v>
      </c>
      <c r="Z342" s="1053">
        <v>327338301.82999998</v>
      </c>
      <c r="AA342" s="1051">
        <v>0.01</v>
      </c>
      <c r="AB342" s="1053">
        <v>32051278.920000002</v>
      </c>
      <c r="AC342" s="1053">
        <v>12534832.34</v>
      </c>
      <c r="AD342" s="1053">
        <v>99068716.120000005</v>
      </c>
      <c r="AE342" s="1053">
        <v>261192349.27000001</v>
      </c>
      <c r="AF342" s="1053">
        <v>12958708.109999999</v>
      </c>
      <c r="AG342" s="1053">
        <v>1507784.95</v>
      </c>
      <c r="AH342" s="1053">
        <v>7887620.5</v>
      </c>
      <c r="AI342" s="1053">
        <v>66466839.799999997</v>
      </c>
      <c r="AJ342" s="1053">
        <v>649097143.62</v>
      </c>
      <c r="AK342" s="1053">
        <v>22080079.710000001</v>
      </c>
      <c r="AL342" s="1053">
        <v>1455805.86</v>
      </c>
      <c r="AM342" s="1053">
        <v>948975305.62</v>
      </c>
      <c r="AN342" s="1053">
        <v>985009266.97000003</v>
      </c>
      <c r="AO342" s="1051">
        <v>0.01</v>
      </c>
      <c r="AP342" s="1053">
        <v>172407412.46000001</v>
      </c>
      <c r="AQ342" s="1053">
        <v>1933596391.49</v>
      </c>
      <c r="AR342" s="1053">
        <v>96991713.400000006</v>
      </c>
      <c r="AS342" s="1051">
        <v>0.01</v>
      </c>
      <c r="AT342" s="1053">
        <v>188210158.25</v>
      </c>
      <c r="AU342" s="1053">
        <v>748897712.27999997</v>
      </c>
      <c r="AV342" s="1053">
        <v>24385457.960000001</v>
      </c>
      <c r="AW342" s="1051">
        <v>0.01</v>
      </c>
      <c r="AX342" s="1053">
        <v>251972721.31</v>
      </c>
      <c r="AY342" s="1053">
        <v>175361076.13</v>
      </c>
      <c r="AZ342" s="1051">
        <v>0.09</v>
      </c>
      <c r="BA342" s="1053">
        <v>4976505.3600000003</v>
      </c>
      <c r="BB342" s="1053">
        <v>119965856.09</v>
      </c>
      <c r="BC342" s="1051">
        <v>0.1</v>
      </c>
      <c r="BD342" s="1053">
        <v>3917689.8</v>
      </c>
      <c r="BE342" s="1053">
        <v>1481688191.6900001</v>
      </c>
      <c r="BF342" s="1051">
        <v>0.1</v>
      </c>
      <c r="BG342" s="1051">
        <v>0</v>
      </c>
      <c r="BH342" s="1053">
        <v>150263731.59</v>
      </c>
      <c r="BI342" s="1053">
        <v>144583558.41</v>
      </c>
      <c r="BJ342" s="1053">
        <v>47017754.229999997</v>
      </c>
      <c r="BK342" s="1053">
        <v>359652943.13999999</v>
      </c>
      <c r="BL342" s="1053">
        <v>244271647.00999999</v>
      </c>
      <c r="BM342" s="1053">
        <v>2209935</v>
      </c>
      <c r="BN342" s="1053">
        <v>333099460.89999998</v>
      </c>
      <c r="BO342" s="1053">
        <v>179993119.72</v>
      </c>
      <c r="BP342" s="1053">
        <v>80367802.540000007</v>
      </c>
      <c r="BQ342" s="1053">
        <v>126873884.59</v>
      </c>
      <c r="BR342" s="1053">
        <v>81633966.019999996</v>
      </c>
      <c r="BS342" s="1053">
        <v>1276653248.26</v>
      </c>
      <c r="BT342" s="1053">
        <v>93072040.950000003</v>
      </c>
      <c r="BU342" s="1053">
        <v>218680254.58000001</v>
      </c>
      <c r="BV342" s="1051">
        <v>0.01</v>
      </c>
      <c r="BW342" s="1053">
        <v>57338871.5</v>
      </c>
      <c r="BX342" s="1053">
        <v>2293785.31</v>
      </c>
      <c r="BY342" s="1053">
        <v>2321299.61</v>
      </c>
      <c r="BZ342" s="1053">
        <v>1191111001.46</v>
      </c>
      <c r="CA342" s="1053">
        <v>2340283.98</v>
      </c>
    </row>
    <row r="343" spans="1:79" s="180" customFormat="1" x14ac:dyDescent="0.3">
      <c r="A343" s="155"/>
      <c r="D343" s="1035">
        <f>D259-D342</f>
        <v>-5.0000026822090149E-3</v>
      </c>
      <c r="E343" s="1035">
        <f t="shared" ref="E343:BP343" si="138">E259-E342</f>
        <v>-4.999995231628418E-3</v>
      </c>
      <c r="F343" s="1035">
        <f t="shared" si="138"/>
        <v>50242</v>
      </c>
      <c r="G343" s="568">
        <f t="shared" si="138"/>
        <v>-1.9998550415039063E-3</v>
      </c>
      <c r="H343" s="568">
        <f t="shared" si="138"/>
        <v>-4.999995231628418E-3</v>
      </c>
      <c r="I343" s="568">
        <f t="shared" si="138"/>
        <v>0</v>
      </c>
      <c r="J343" s="568">
        <f t="shared" si="138"/>
        <v>0</v>
      </c>
      <c r="K343" s="568">
        <f t="shared" si="138"/>
        <v>0</v>
      </c>
      <c r="L343" s="568">
        <f t="shared" si="138"/>
        <v>0</v>
      </c>
      <c r="M343" s="1035">
        <f t="shared" si="138"/>
        <v>50248</v>
      </c>
      <c r="N343" s="568">
        <f t="shared" si="138"/>
        <v>0</v>
      </c>
      <c r="O343" s="1035">
        <f t="shared" si="138"/>
        <v>50250</v>
      </c>
      <c r="P343" s="568">
        <f t="shared" si="138"/>
        <v>-9.9992752075195313E-4</v>
      </c>
      <c r="Q343" s="568">
        <f t="shared" si="138"/>
        <v>-4.999995231628418E-3</v>
      </c>
      <c r="R343" s="568">
        <f t="shared" si="138"/>
        <v>5.0002336502075195E-4</v>
      </c>
      <c r="S343" s="568">
        <f t="shared" si="138"/>
        <v>0</v>
      </c>
      <c r="T343" s="568">
        <f t="shared" si="138"/>
        <v>0</v>
      </c>
      <c r="U343" s="568">
        <f t="shared" si="138"/>
        <v>0</v>
      </c>
      <c r="V343" s="568">
        <f t="shared" si="138"/>
        <v>0</v>
      </c>
      <c r="W343" s="568">
        <f t="shared" si="138"/>
        <v>0</v>
      </c>
      <c r="X343" s="568">
        <f t="shared" si="138"/>
        <v>0</v>
      </c>
      <c r="Y343" s="568">
        <f t="shared" si="138"/>
        <v>-4.2000114917755127E-3</v>
      </c>
      <c r="Z343" s="568">
        <f t="shared" si="138"/>
        <v>2.0000338554382324E-3</v>
      </c>
      <c r="AA343" s="1035">
        <f t="shared" si="138"/>
        <v>50260</v>
      </c>
      <c r="AB343" s="568">
        <f t="shared" si="138"/>
        <v>0</v>
      </c>
      <c r="AC343" s="568">
        <f t="shared" si="138"/>
        <v>3.0000004917383194E-3</v>
      </c>
      <c r="AD343" s="568">
        <f t="shared" si="138"/>
        <v>0</v>
      </c>
      <c r="AE343" s="568">
        <f t="shared" si="138"/>
        <v>0</v>
      </c>
      <c r="AF343" s="568">
        <f t="shared" si="138"/>
        <v>0</v>
      </c>
      <c r="AG343" s="568">
        <f t="shared" si="138"/>
        <v>0</v>
      </c>
      <c r="AH343" s="568">
        <f t="shared" si="138"/>
        <v>0</v>
      </c>
      <c r="AI343" s="568">
        <f t="shared" si="138"/>
        <v>-4.999995231628418E-3</v>
      </c>
      <c r="AJ343" s="568">
        <f t="shared" si="138"/>
        <v>0</v>
      </c>
      <c r="AK343" s="568">
        <f t="shared" si="138"/>
        <v>0</v>
      </c>
      <c r="AL343" s="568">
        <f t="shared" si="138"/>
        <v>0</v>
      </c>
      <c r="AM343" s="568">
        <f t="shared" si="138"/>
        <v>0</v>
      </c>
      <c r="AN343" s="568">
        <f t="shared" si="138"/>
        <v>-1.5000104904174805E-3</v>
      </c>
      <c r="AO343" s="1035">
        <f t="shared" si="138"/>
        <v>50270</v>
      </c>
      <c r="AP343" s="568">
        <f t="shared" si="138"/>
        <v>-3.0000209808349609E-3</v>
      </c>
      <c r="AQ343" s="568">
        <f t="shared" si="138"/>
        <v>0</v>
      </c>
      <c r="AR343" s="568">
        <f t="shared" si="138"/>
        <v>0</v>
      </c>
      <c r="AS343" s="1035">
        <f t="shared" si="138"/>
        <v>50273</v>
      </c>
      <c r="AT343" s="568">
        <f t="shared" si="138"/>
        <v>0</v>
      </c>
      <c r="AU343" s="1035">
        <f t="shared" si="138"/>
        <v>0</v>
      </c>
      <c r="AV343" s="568">
        <f t="shared" si="138"/>
        <v>0</v>
      </c>
      <c r="AW343" s="1035">
        <f t="shared" si="138"/>
        <v>50277</v>
      </c>
      <c r="AX343" s="568">
        <f t="shared" si="138"/>
        <v>0</v>
      </c>
      <c r="AY343" s="568">
        <f t="shared" si="138"/>
        <v>0</v>
      </c>
      <c r="AZ343" s="1035">
        <f t="shared" si="138"/>
        <v>50280</v>
      </c>
      <c r="BA343" s="568">
        <f t="shared" si="138"/>
        <v>0</v>
      </c>
      <c r="BB343" s="568">
        <f t="shared" si="138"/>
        <v>0</v>
      </c>
      <c r="BC343" s="1035">
        <f t="shared" si="138"/>
        <v>50283</v>
      </c>
      <c r="BD343" s="568">
        <f t="shared" si="138"/>
        <v>0</v>
      </c>
      <c r="BE343" s="568">
        <f t="shared" si="138"/>
        <v>0</v>
      </c>
      <c r="BF343" s="1035">
        <f t="shared" si="138"/>
        <v>50286</v>
      </c>
      <c r="BG343" s="1035">
        <f t="shared" si="138"/>
        <v>50287</v>
      </c>
      <c r="BH343" s="568">
        <f t="shared" si="138"/>
        <v>0</v>
      </c>
      <c r="BI343" s="568">
        <f t="shared" si="138"/>
        <v>0</v>
      </c>
      <c r="BJ343" s="568">
        <f t="shared" si="138"/>
        <v>0</v>
      </c>
      <c r="BK343" s="568">
        <f t="shared" si="138"/>
        <v>0</v>
      </c>
      <c r="BL343" s="568">
        <f t="shared" si="138"/>
        <v>0</v>
      </c>
      <c r="BM343" s="568">
        <f t="shared" si="138"/>
        <v>0</v>
      </c>
      <c r="BN343" s="1035">
        <f t="shared" si="138"/>
        <v>-1</v>
      </c>
      <c r="BO343" s="568">
        <f t="shared" si="138"/>
        <v>0</v>
      </c>
      <c r="BP343" s="568">
        <f t="shared" si="138"/>
        <v>0</v>
      </c>
      <c r="BQ343" s="568">
        <f t="shared" ref="BQ343:CA343" si="139">BQ259-BQ342</f>
        <v>0</v>
      </c>
      <c r="BR343" s="568">
        <f t="shared" si="139"/>
        <v>0</v>
      </c>
      <c r="BS343" s="568">
        <f t="shared" si="139"/>
        <v>-4.9998760223388672E-3</v>
      </c>
      <c r="BT343" s="568">
        <f t="shared" si="139"/>
        <v>0</v>
      </c>
      <c r="BU343" s="568">
        <f t="shared" si="139"/>
        <v>0</v>
      </c>
      <c r="BV343" s="1035">
        <f t="shared" si="139"/>
        <v>50299</v>
      </c>
      <c r="BW343" s="568">
        <f t="shared" si="139"/>
        <v>0</v>
      </c>
      <c r="BX343" s="568">
        <f t="shared" si="139"/>
        <v>0</v>
      </c>
      <c r="BY343" s="568">
        <f t="shared" si="139"/>
        <v>0</v>
      </c>
      <c r="BZ343" s="568">
        <f t="shared" si="139"/>
        <v>0</v>
      </c>
      <c r="CA343" s="568">
        <f t="shared" si="139"/>
        <v>0</v>
      </c>
    </row>
    <row r="344" spans="1:79" s="180" customFormat="1" x14ac:dyDescent="0.3">
      <c r="A344" s="155"/>
      <c r="D344" s="180" t="s">
        <v>2481</v>
      </c>
      <c r="Q344" s="1045"/>
    </row>
    <row r="345" spans="1:79" x14ac:dyDescent="0.3">
      <c r="E345" s="568"/>
      <c r="F345" s="568"/>
      <c r="G345" s="568"/>
      <c r="H345" s="568"/>
      <c r="I345" s="568"/>
      <c r="J345" s="568"/>
      <c r="K345" s="568"/>
      <c r="L345" s="568"/>
      <c r="M345" s="568"/>
      <c r="N345" s="568"/>
      <c r="O345" s="568"/>
      <c r="P345" s="568"/>
      <c r="Q345" s="568"/>
      <c r="R345" s="568"/>
      <c r="S345" s="568"/>
      <c r="T345" s="568"/>
      <c r="X345" s="568"/>
      <c r="Y345" s="568"/>
      <c r="AA345" s="568"/>
      <c r="AB345" s="568"/>
      <c r="AC345" s="568"/>
      <c r="AD345" s="568"/>
      <c r="AE345" s="568"/>
      <c r="AF345" s="568"/>
      <c r="AG345" s="568"/>
      <c r="AH345" s="568"/>
      <c r="AJ345" s="568"/>
      <c r="AK345" s="568"/>
      <c r="AL345" s="568"/>
      <c r="AM345" s="568"/>
      <c r="AN345" s="568"/>
      <c r="AO345" s="568"/>
      <c r="AP345" s="568"/>
      <c r="AR345" s="568"/>
      <c r="AS345" s="568"/>
      <c r="AT345" s="568"/>
      <c r="AV345" s="568"/>
      <c r="AW345" s="568"/>
      <c r="AX345" s="568"/>
      <c r="AY345" s="568"/>
      <c r="AZ345" s="568"/>
      <c r="BA345" s="568"/>
      <c r="BB345" s="568"/>
      <c r="BC345" s="568"/>
      <c r="BD345" s="568"/>
      <c r="BE345" s="568"/>
      <c r="BF345" s="568"/>
      <c r="BG345" s="568"/>
      <c r="BH345" s="568"/>
      <c r="BI345" s="568"/>
      <c r="BJ345" s="568"/>
      <c r="BK345" s="568"/>
      <c r="BL345" s="568"/>
      <c r="BM345" s="568"/>
      <c r="BN345" s="568" t="s">
        <v>2481</v>
      </c>
      <c r="BO345" s="568"/>
      <c r="BP345" s="568"/>
      <c r="BQ345" s="568"/>
      <c r="BR345" s="568"/>
    </row>
  </sheetData>
  <sheetProtection algorithmName="SHA-512" hashValue="DqqeFhxHyV6W5cSV88MosBgaVWGHWydWk4tPmOPnURAfyYJjD99Xpf9Xpa3yZ+yIDhamuwutZH5Bo6wsLwxsDg==" saltValue="rnKv5WRppspzTKutLTwLq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A286"/>
  <sheetViews>
    <sheetView workbookViewId="0">
      <pane xSplit="3" ySplit="2" topLeftCell="BJ3" activePane="bottomRight" state="frozen"/>
      <selection pane="topRight" activeCell="D1" sqref="D1"/>
      <selection pane="bottomLeft" activeCell="A3" sqref="A3"/>
      <selection pane="bottomRight" activeCell="BJ33" sqref="BJ33"/>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79" x14ac:dyDescent="0.3">
      <c r="A1" s="183" t="s">
        <v>349</v>
      </c>
      <c r="B1" t="s">
        <v>349</v>
      </c>
      <c r="C1" t="s">
        <v>349</v>
      </c>
      <c r="D1" t="s">
        <v>433</v>
      </c>
      <c r="E1" t="s">
        <v>1240</v>
      </c>
      <c r="F1" t="s">
        <v>434</v>
      </c>
      <c r="G1" t="s">
        <v>1241</v>
      </c>
      <c r="H1" t="s">
        <v>1242</v>
      </c>
      <c r="I1" t="s">
        <v>1243</v>
      </c>
      <c r="J1" t="s">
        <v>1244</v>
      </c>
      <c r="K1" t="s">
        <v>1245</v>
      </c>
      <c r="L1" t="s">
        <v>1246</v>
      </c>
      <c r="M1" t="s">
        <v>1247</v>
      </c>
      <c r="N1" t="s">
        <v>1248</v>
      </c>
      <c r="O1" t="s">
        <v>1249</v>
      </c>
      <c r="P1" t="s">
        <v>1250</v>
      </c>
      <c r="Q1" t="s">
        <v>1251</v>
      </c>
      <c r="R1" t="s">
        <v>1252</v>
      </c>
      <c r="S1" t="s">
        <v>1253</v>
      </c>
      <c r="T1" t="s">
        <v>435</v>
      </c>
      <c r="U1" t="s">
        <v>1254</v>
      </c>
      <c r="V1" t="s">
        <v>1255</v>
      </c>
      <c r="W1" t="s">
        <v>1256</v>
      </c>
      <c r="X1" t="s">
        <v>1257</v>
      </c>
      <c r="Y1" t="s">
        <v>1258</v>
      </c>
      <c r="Z1" t="s">
        <v>1259</v>
      </c>
      <c r="AA1" t="s">
        <v>1260</v>
      </c>
      <c r="AB1" t="s">
        <v>1261</v>
      </c>
      <c r="AC1" t="s">
        <v>1262</v>
      </c>
      <c r="AD1" t="s">
        <v>1263</v>
      </c>
      <c r="AE1" t="s">
        <v>1264</v>
      </c>
      <c r="AF1" t="s">
        <v>1265</v>
      </c>
      <c r="AG1" t="s">
        <v>1266</v>
      </c>
      <c r="AH1" t="s">
        <v>1267</v>
      </c>
      <c r="AI1" t="s">
        <v>1268</v>
      </c>
      <c r="AJ1" t="s">
        <v>1269</v>
      </c>
      <c r="AK1" t="s">
        <v>1270</v>
      </c>
      <c r="AL1" t="s">
        <v>1271</v>
      </c>
      <c r="AM1" t="s">
        <v>1272</v>
      </c>
      <c r="AN1" t="s">
        <v>1273</v>
      </c>
      <c r="AO1" t="s">
        <v>1274</v>
      </c>
      <c r="AP1" t="s">
        <v>1275</v>
      </c>
      <c r="AQ1" t="s">
        <v>1276</v>
      </c>
      <c r="AR1" t="s">
        <v>1277</v>
      </c>
      <c r="AS1" t="s">
        <v>1278</v>
      </c>
      <c r="AT1" t="s">
        <v>1279</v>
      </c>
      <c r="AU1" t="s">
        <v>1280</v>
      </c>
      <c r="AV1" t="s">
        <v>1281</v>
      </c>
      <c r="AW1" t="s">
        <v>1282</v>
      </c>
      <c r="AX1" t="s">
        <v>1283</v>
      </c>
      <c r="AY1" t="s">
        <v>1284</v>
      </c>
      <c r="AZ1" t="s">
        <v>1285</v>
      </c>
      <c r="BA1" t="s">
        <v>436</v>
      </c>
      <c r="BB1" t="s">
        <v>1286</v>
      </c>
      <c r="BC1" t="s">
        <v>437</v>
      </c>
      <c r="BD1" t="s">
        <v>1287</v>
      </c>
      <c r="BE1" t="s">
        <v>438</v>
      </c>
      <c r="BF1" t="s">
        <v>439</v>
      </c>
      <c r="BG1" t="s">
        <v>390</v>
      </c>
      <c r="BH1" t="s">
        <v>1288</v>
      </c>
      <c r="BI1" t="s">
        <v>1289</v>
      </c>
      <c r="BJ1" t="s">
        <v>440</v>
      </c>
      <c r="BK1" t="s">
        <v>1290</v>
      </c>
      <c r="BL1" t="s">
        <v>1291</v>
      </c>
      <c r="BM1" t="s">
        <v>1292</v>
      </c>
      <c r="BN1" t="s">
        <v>1293</v>
      </c>
      <c r="BO1" t="s">
        <v>1294</v>
      </c>
      <c r="BP1" t="s">
        <v>1295</v>
      </c>
      <c r="BQ1" t="s">
        <v>1296</v>
      </c>
      <c r="BR1" t="s">
        <v>1297</v>
      </c>
      <c r="BS1" t="s">
        <v>1298</v>
      </c>
      <c r="BT1" t="s">
        <v>1299</v>
      </c>
      <c r="BU1" t="s">
        <v>1300</v>
      </c>
      <c r="BV1" t="s">
        <v>441</v>
      </c>
      <c r="BW1" t="s">
        <v>1301</v>
      </c>
      <c r="BX1" t="s">
        <v>1302</v>
      </c>
      <c r="BY1" t="s">
        <v>1303</v>
      </c>
      <c r="BZ1" t="s">
        <v>1304</v>
      </c>
      <c r="CA1" t="s">
        <v>1305</v>
      </c>
    </row>
    <row r="2" spans="1:79" x14ac:dyDescent="0.3">
      <c r="A2" s="155" t="s">
        <v>877</v>
      </c>
      <c r="B2" t="s">
        <v>41</v>
      </c>
      <c r="C2" t="s">
        <v>13</v>
      </c>
      <c r="D2" s="786">
        <v>50476</v>
      </c>
      <c r="E2" s="786">
        <v>50191</v>
      </c>
      <c r="F2" s="786">
        <v>50192</v>
      </c>
      <c r="G2" s="786">
        <v>50193</v>
      </c>
      <c r="H2" s="786">
        <v>50194</v>
      </c>
      <c r="I2" s="786">
        <v>50195</v>
      </c>
      <c r="J2" s="786">
        <v>50196</v>
      </c>
      <c r="K2" s="786">
        <v>50197</v>
      </c>
      <c r="L2" s="786">
        <v>50498</v>
      </c>
      <c r="M2" s="786">
        <v>50198</v>
      </c>
      <c r="N2" s="786">
        <v>50199</v>
      </c>
      <c r="O2" s="786">
        <v>50200</v>
      </c>
      <c r="P2" s="786">
        <v>50201</v>
      </c>
      <c r="Q2" s="786">
        <v>50202</v>
      </c>
      <c r="R2" s="786">
        <v>50493</v>
      </c>
      <c r="S2" s="786">
        <v>50203</v>
      </c>
      <c r="T2" s="786">
        <v>50518</v>
      </c>
      <c r="U2" s="786">
        <v>50204</v>
      </c>
      <c r="V2" s="786">
        <v>50205</v>
      </c>
      <c r="W2" s="786">
        <v>50206</v>
      </c>
      <c r="X2" s="786">
        <v>50207</v>
      </c>
      <c r="Y2" s="786">
        <v>50208</v>
      </c>
      <c r="Z2" s="786">
        <v>50209</v>
      </c>
      <c r="AA2" s="786">
        <v>50210</v>
      </c>
      <c r="AB2" s="786">
        <v>50519</v>
      </c>
      <c r="AC2" s="786">
        <v>50528</v>
      </c>
      <c r="AD2" s="786">
        <v>50211</v>
      </c>
      <c r="AE2" s="786">
        <v>50212</v>
      </c>
      <c r="AF2" s="786">
        <v>50213</v>
      </c>
      <c r="AG2" s="786">
        <v>50214</v>
      </c>
      <c r="AH2" s="786">
        <v>50215</v>
      </c>
      <c r="AI2" s="786">
        <v>50216</v>
      </c>
      <c r="AJ2" s="786">
        <v>50217</v>
      </c>
      <c r="AK2" s="786">
        <v>50218</v>
      </c>
      <c r="AL2" s="786">
        <v>50477</v>
      </c>
      <c r="AM2" s="786">
        <v>50520</v>
      </c>
      <c r="AN2" s="786">
        <v>50219</v>
      </c>
      <c r="AO2" s="786">
        <v>50220</v>
      </c>
      <c r="AP2" s="786">
        <v>50536</v>
      </c>
      <c r="AQ2" s="786">
        <v>50221</v>
      </c>
      <c r="AR2" s="786">
        <v>50222</v>
      </c>
      <c r="AS2" s="786">
        <v>50223</v>
      </c>
      <c r="AT2" s="786">
        <v>50224</v>
      </c>
      <c r="AU2" s="786">
        <v>50225</v>
      </c>
      <c r="AV2" s="786">
        <v>50226</v>
      </c>
      <c r="AW2" s="786">
        <v>50227</v>
      </c>
      <c r="AX2" s="786">
        <v>50455</v>
      </c>
      <c r="AY2" s="786">
        <v>50229</v>
      </c>
      <c r="AZ2" s="786">
        <v>50230</v>
      </c>
      <c r="BA2" s="786">
        <v>50231</v>
      </c>
      <c r="BB2" s="786">
        <v>50232</v>
      </c>
      <c r="BC2" s="786">
        <v>50233</v>
      </c>
      <c r="BD2" s="786">
        <v>50234</v>
      </c>
      <c r="BE2" s="786">
        <v>50235</v>
      </c>
      <c r="BF2" s="786">
        <v>50236</v>
      </c>
      <c r="BG2" s="786">
        <v>50237</v>
      </c>
      <c r="BH2" s="786">
        <v>50238</v>
      </c>
      <c r="BI2" s="786">
        <v>50444</v>
      </c>
      <c r="BJ2" s="786">
        <v>50239</v>
      </c>
      <c r="BK2" s="786">
        <v>50240</v>
      </c>
      <c r="BL2" s="786">
        <v>50241</v>
      </c>
      <c r="BM2" s="786">
        <v>50521</v>
      </c>
      <c r="BN2" s="786">
        <v>50242</v>
      </c>
      <c r="BO2" s="786">
        <v>50244</v>
      </c>
      <c r="BP2" s="786">
        <v>50243</v>
      </c>
      <c r="BQ2" s="786">
        <v>50245</v>
      </c>
      <c r="BR2" s="786">
        <v>50522</v>
      </c>
      <c r="BS2" s="786">
        <v>50246</v>
      </c>
      <c r="BT2" s="786">
        <v>50247</v>
      </c>
      <c r="BU2" s="786">
        <v>50248</v>
      </c>
      <c r="BV2" s="786">
        <v>50249</v>
      </c>
      <c r="BW2" s="786">
        <v>50250</v>
      </c>
      <c r="BX2" s="786">
        <v>50251</v>
      </c>
      <c r="BY2" s="786">
        <v>50252</v>
      </c>
      <c r="BZ2" s="786">
        <v>50253</v>
      </c>
      <c r="CA2" s="786">
        <v>50454</v>
      </c>
    </row>
    <row r="3" spans="1:79" x14ac:dyDescent="0.3">
      <c r="A3" s="155">
        <v>4</v>
      </c>
      <c r="B3" t="s">
        <v>111</v>
      </c>
      <c r="D3">
        <v>220999</v>
      </c>
      <c r="E3">
        <v>1396383</v>
      </c>
      <c r="F3">
        <v>98550</v>
      </c>
      <c r="G3">
        <v>1695340</v>
      </c>
      <c r="H3">
        <v>271578</v>
      </c>
      <c r="I3">
        <v>15890</v>
      </c>
      <c r="J3">
        <v>15585</v>
      </c>
      <c r="K3">
        <v>27680</v>
      </c>
      <c r="L3">
        <v>4386566</v>
      </c>
      <c r="M3">
        <v>22661</v>
      </c>
      <c r="N3">
        <v>24972</v>
      </c>
      <c r="P3">
        <v>1688786</v>
      </c>
      <c r="Q3">
        <v>1109861</v>
      </c>
      <c r="R3">
        <v>29002</v>
      </c>
      <c r="S3">
        <v>958041</v>
      </c>
      <c r="T3">
        <v>8815</v>
      </c>
      <c r="U3">
        <v>965568</v>
      </c>
      <c r="V3">
        <v>2859</v>
      </c>
      <c r="W3">
        <v>513347</v>
      </c>
      <c r="X3">
        <v>1184300</v>
      </c>
      <c r="Y3">
        <v>265081</v>
      </c>
      <c r="Z3">
        <v>196420</v>
      </c>
      <c r="AA3">
        <v>325726</v>
      </c>
      <c r="AB3">
        <v>74106</v>
      </c>
      <c r="AC3">
        <v>4905</v>
      </c>
      <c r="AD3">
        <v>32304</v>
      </c>
      <c r="AE3">
        <v>201120</v>
      </c>
      <c r="AF3">
        <v>3779</v>
      </c>
      <c r="AG3">
        <v>1204</v>
      </c>
      <c r="AH3">
        <v>440</v>
      </c>
      <c r="AI3">
        <v>97214</v>
      </c>
      <c r="AJ3">
        <v>194299</v>
      </c>
      <c r="AK3">
        <v>50185</v>
      </c>
      <c r="AL3">
        <v>4343</v>
      </c>
      <c r="AM3">
        <v>4685196</v>
      </c>
      <c r="AN3">
        <v>926132</v>
      </c>
      <c r="AP3">
        <v>527507</v>
      </c>
      <c r="AQ3">
        <v>1543584</v>
      </c>
      <c r="AR3">
        <v>199983</v>
      </c>
      <c r="AS3">
        <v>20881</v>
      </c>
      <c r="AT3">
        <v>165073</v>
      </c>
      <c r="AU3">
        <v>2648835</v>
      </c>
      <c r="AV3">
        <v>60722</v>
      </c>
      <c r="AX3">
        <v>2349558</v>
      </c>
      <c r="AY3">
        <v>53231</v>
      </c>
      <c r="AZ3">
        <v>1122050</v>
      </c>
      <c r="BA3">
        <v>0</v>
      </c>
      <c r="BB3">
        <v>264549</v>
      </c>
      <c r="BC3">
        <v>75605</v>
      </c>
      <c r="BD3">
        <v>1038</v>
      </c>
      <c r="BE3">
        <v>1900163</v>
      </c>
      <c r="BH3">
        <v>36153</v>
      </c>
      <c r="BI3">
        <v>185643</v>
      </c>
      <c r="BJ3">
        <v>51033</v>
      </c>
      <c r="BK3">
        <v>155207</v>
      </c>
      <c r="BL3">
        <v>178317</v>
      </c>
      <c r="BM3">
        <v>0</v>
      </c>
      <c r="BN3">
        <v>234167</v>
      </c>
      <c r="BO3">
        <v>72220</v>
      </c>
      <c r="BP3">
        <v>15166</v>
      </c>
      <c r="BQ3">
        <v>50598</v>
      </c>
      <c r="BR3">
        <v>84458</v>
      </c>
      <c r="BS3">
        <v>1127179</v>
      </c>
      <c r="BT3">
        <v>72876</v>
      </c>
      <c r="BU3">
        <v>98587</v>
      </c>
      <c r="BV3">
        <v>65606</v>
      </c>
      <c r="BW3">
        <v>108774</v>
      </c>
      <c r="BX3">
        <v>0</v>
      </c>
      <c r="BY3">
        <v>0</v>
      </c>
      <c r="BZ3">
        <v>2715809</v>
      </c>
      <c r="CA3">
        <v>332</v>
      </c>
    </row>
    <row r="4" spans="1:79" x14ac:dyDescent="0.3">
      <c r="A4" s="155">
        <v>5</v>
      </c>
      <c r="B4" t="s">
        <v>112</v>
      </c>
      <c r="D4">
        <v>0</v>
      </c>
      <c r="E4">
        <v>168094</v>
      </c>
      <c r="F4">
        <v>0</v>
      </c>
      <c r="G4">
        <v>54998</v>
      </c>
      <c r="H4">
        <v>1380</v>
      </c>
      <c r="I4">
        <v>25</v>
      </c>
      <c r="J4">
        <v>0</v>
      </c>
      <c r="K4">
        <v>0</v>
      </c>
      <c r="L4">
        <v>0</v>
      </c>
      <c r="M4">
        <v>0</v>
      </c>
      <c r="N4">
        <v>0</v>
      </c>
      <c r="P4">
        <v>0</v>
      </c>
      <c r="Q4">
        <v>0</v>
      </c>
      <c r="R4">
        <v>0</v>
      </c>
      <c r="S4">
        <v>0</v>
      </c>
      <c r="T4">
        <v>0</v>
      </c>
      <c r="U4">
        <v>10135</v>
      </c>
      <c r="V4">
        <v>14574</v>
      </c>
      <c r="W4">
        <v>0</v>
      </c>
      <c r="X4">
        <v>14926</v>
      </c>
      <c r="Y4">
        <v>0</v>
      </c>
      <c r="Z4">
        <v>4221</v>
      </c>
      <c r="AA4">
        <v>0</v>
      </c>
      <c r="AB4">
        <v>90</v>
      </c>
      <c r="AC4">
        <v>0</v>
      </c>
      <c r="AD4">
        <v>0</v>
      </c>
      <c r="AE4">
        <v>0</v>
      </c>
      <c r="AF4">
        <v>0</v>
      </c>
      <c r="AG4">
        <v>0</v>
      </c>
      <c r="AH4">
        <v>0</v>
      </c>
      <c r="AI4">
        <v>0</v>
      </c>
      <c r="AJ4">
        <v>58692</v>
      </c>
      <c r="AK4">
        <v>0</v>
      </c>
      <c r="AL4">
        <v>0</v>
      </c>
      <c r="AM4">
        <v>0</v>
      </c>
      <c r="AN4">
        <v>0</v>
      </c>
      <c r="AP4">
        <v>0</v>
      </c>
      <c r="AQ4">
        <v>0</v>
      </c>
      <c r="AR4">
        <v>0</v>
      </c>
      <c r="AS4">
        <v>0</v>
      </c>
      <c r="AT4">
        <v>0</v>
      </c>
      <c r="AU4">
        <v>1863</v>
      </c>
      <c r="AV4">
        <v>0</v>
      </c>
      <c r="AX4">
        <v>0</v>
      </c>
      <c r="AY4">
        <v>0</v>
      </c>
      <c r="AZ4">
        <v>0</v>
      </c>
      <c r="BA4">
        <v>0</v>
      </c>
      <c r="BB4">
        <v>0</v>
      </c>
      <c r="BC4">
        <v>411</v>
      </c>
      <c r="BD4">
        <v>14022</v>
      </c>
      <c r="BE4">
        <v>19970</v>
      </c>
      <c r="BH4">
        <v>0</v>
      </c>
      <c r="BI4">
        <v>7528</v>
      </c>
      <c r="BJ4">
        <v>80791</v>
      </c>
      <c r="BK4">
        <v>158</v>
      </c>
      <c r="BL4">
        <v>0</v>
      </c>
      <c r="BM4">
        <v>15750</v>
      </c>
      <c r="BN4">
        <v>12693</v>
      </c>
      <c r="BO4">
        <v>2866</v>
      </c>
      <c r="BP4">
        <v>0</v>
      </c>
      <c r="BQ4">
        <v>0</v>
      </c>
      <c r="BR4">
        <v>0</v>
      </c>
      <c r="BS4">
        <v>0</v>
      </c>
      <c r="BT4">
        <v>0</v>
      </c>
      <c r="BU4">
        <v>1000000</v>
      </c>
      <c r="BV4">
        <v>0</v>
      </c>
      <c r="BW4">
        <v>0</v>
      </c>
      <c r="BX4">
        <v>0</v>
      </c>
      <c r="BY4">
        <v>0</v>
      </c>
      <c r="BZ4">
        <v>0</v>
      </c>
      <c r="CA4">
        <v>0</v>
      </c>
    </row>
    <row r="5" spans="1:79" x14ac:dyDescent="0.3">
      <c r="A5" s="155">
        <v>6</v>
      </c>
      <c r="B5" t="s">
        <v>251</v>
      </c>
      <c r="D5">
        <v>0</v>
      </c>
      <c r="E5">
        <v>3425051</v>
      </c>
      <c r="F5">
        <v>0</v>
      </c>
      <c r="G5">
        <v>1169293</v>
      </c>
      <c r="H5">
        <v>0</v>
      </c>
      <c r="I5">
        <v>0</v>
      </c>
      <c r="J5">
        <v>0</v>
      </c>
      <c r="K5">
        <v>0</v>
      </c>
      <c r="L5">
        <v>0</v>
      </c>
      <c r="M5">
        <v>0</v>
      </c>
      <c r="N5">
        <v>0</v>
      </c>
      <c r="P5">
        <v>0</v>
      </c>
      <c r="Q5">
        <v>2096088</v>
      </c>
      <c r="R5">
        <v>0</v>
      </c>
      <c r="S5">
        <v>0</v>
      </c>
      <c r="T5">
        <v>0</v>
      </c>
      <c r="U5">
        <v>1878109</v>
      </c>
      <c r="V5">
        <v>0</v>
      </c>
      <c r="W5">
        <v>17537</v>
      </c>
      <c r="X5">
        <v>1094727</v>
      </c>
      <c r="Y5">
        <v>0</v>
      </c>
      <c r="Z5">
        <v>0</v>
      </c>
      <c r="AA5">
        <v>0</v>
      </c>
      <c r="AB5">
        <v>0</v>
      </c>
      <c r="AC5">
        <v>0</v>
      </c>
      <c r="AD5">
        <v>0</v>
      </c>
      <c r="AE5">
        <v>0</v>
      </c>
      <c r="AF5">
        <v>0</v>
      </c>
      <c r="AG5">
        <v>0</v>
      </c>
      <c r="AH5">
        <v>0</v>
      </c>
      <c r="AI5">
        <v>0</v>
      </c>
      <c r="AJ5">
        <v>0</v>
      </c>
      <c r="AK5">
        <v>0</v>
      </c>
      <c r="AL5">
        <v>0</v>
      </c>
      <c r="AM5">
        <v>0</v>
      </c>
      <c r="AN5">
        <v>0</v>
      </c>
      <c r="AP5">
        <v>0</v>
      </c>
      <c r="AQ5">
        <v>2996789</v>
      </c>
      <c r="AR5">
        <v>0</v>
      </c>
      <c r="AS5">
        <v>0</v>
      </c>
      <c r="AT5">
        <v>0</v>
      </c>
      <c r="AU5">
        <v>0</v>
      </c>
      <c r="AV5">
        <v>0</v>
      </c>
      <c r="AX5">
        <v>0</v>
      </c>
      <c r="AY5">
        <v>0</v>
      </c>
      <c r="AZ5">
        <v>0</v>
      </c>
      <c r="BA5">
        <v>0</v>
      </c>
      <c r="BB5">
        <v>0</v>
      </c>
      <c r="BC5">
        <v>0</v>
      </c>
      <c r="BD5">
        <v>0</v>
      </c>
      <c r="BE5">
        <v>0</v>
      </c>
      <c r="BH5">
        <v>0</v>
      </c>
      <c r="BI5">
        <v>98291</v>
      </c>
      <c r="BJ5">
        <v>0</v>
      </c>
      <c r="BK5">
        <v>0</v>
      </c>
      <c r="BL5">
        <v>0</v>
      </c>
      <c r="BM5">
        <v>0</v>
      </c>
      <c r="BN5">
        <v>562664</v>
      </c>
      <c r="BO5">
        <v>0</v>
      </c>
      <c r="BP5">
        <v>0</v>
      </c>
      <c r="BQ5">
        <v>0</v>
      </c>
      <c r="BR5">
        <v>0</v>
      </c>
      <c r="BS5">
        <v>0</v>
      </c>
      <c r="BT5">
        <v>0</v>
      </c>
      <c r="BU5">
        <v>0</v>
      </c>
      <c r="BV5">
        <v>0</v>
      </c>
      <c r="BW5">
        <v>320000</v>
      </c>
      <c r="BX5">
        <v>0</v>
      </c>
      <c r="BY5">
        <v>0</v>
      </c>
      <c r="BZ5">
        <v>1704457</v>
      </c>
      <c r="CA5">
        <v>0</v>
      </c>
    </row>
    <row r="6" spans="1:79" x14ac:dyDescent="0.3">
      <c r="A6" s="155">
        <v>7</v>
      </c>
      <c r="B6" t="s">
        <v>193</v>
      </c>
      <c r="D6">
        <v>13062</v>
      </c>
      <c r="E6">
        <v>3245</v>
      </c>
      <c r="F6">
        <v>0</v>
      </c>
      <c r="G6">
        <v>2095981</v>
      </c>
      <c r="H6">
        <v>0</v>
      </c>
      <c r="I6">
        <v>18018</v>
      </c>
      <c r="J6">
        <v>0</v>
      </c>
      <c r="K6">
        <v>0</v>
      </c>
      <c r="L6">
        <v>472487</v>
      </c>
      <c r="M6">
        <v>0</v>
      </c>
      <c r="N6">
        <v>0</v>
      </c>
      <c r="P6">
        <v>13888</v>
      </c>
      <c r="Q6">
        <v>204201</v>
      </c>
      <c r="R6">
        <v>1165</v>
      </c>
      <c r="S6">
        <v>61875</v>
      </c>
      <c r="T6">
        <v>169</v>
      </c>
      <c r="U6">
        <v>139328</v>
      </c>
      <c r="V6">
        <v>0</v>
      </c>
      <c r="W6">
        <v>22544</v>
      </c>
      <c r="X6">
        <v>14100</v>
      </c>
      <c r="Y6">
        <v>29473</v>
      </c>
      <c r="Z6">
        <v>64886</v>
      </c>
      <c r="AA6">
        <v>780</v>
      </c>
      <c r="AB6">
        <v>2500</v>
      </c>
      <c r="AC6">
        <v>0</v>
      </c>
      <c r="AD6">
        <v>0</v>
      </c>
      <c r="AE6">
        <v>3207</v>
      </c>
      <c r="AF6">
        <v>0</v>
      </c>
      <c r="AG6">
        <v>0</v>
      </c>
      <c r="AH6">
        <v>0</v>
      </c>
      <c r="AI6">
        <v>8395</v>
      </c>
      <c r="AJ6">
        <v>44042</v>
      </c>
      <c r="AK6">
        <v>4324</v>
      </c>
      <c r="AL6">
        <v>0</v>
      </c>
      <c r="AM6">
        <v>898</v>
      </c>
      <c r="AN6">
        <v>5596</v>
      </c>
      <c r="AP6">
        <v>0</v>
      </c>
      <c r="AQ6">
        <v>160863</v>
      </c>
      <c r="AR6">
        <v>398860</v>
      </c>
      <c r="AS6">
        <v>0</v>
      </c>
      <c r="AT6">
        <v>0</v>
      </c>
      <c r="AU6">
        <v>15210</v>
      </c>
      <c r="AV6">
        <v>0</v>
      </c>
      <c r="AX6">
        <v>82021</v>
      </c>
      <c r="AY6">
        <v>16058</v>
      </c>
      <c r="AZ6">
        <v>0</v>
      </c>
      <c r="BA6">
        <v>0</v>
      </c>
      <c r="BB6">
        <v>0</v>
      </c>
      <c r="BC6">
        <v>0</v>
      </c>
      <c r="BD6">
        <v>0</v>
      </c>
      <c r="BE6">
        <v>127401</v>
      </c>
      <c r="BH6">
        <v>0</v>
      </c>
      <c r="BI6">
        <v>15643</v>
      </c>
      <c r="BJ6">
        <v>0</v>
      </c>
      <c r="BK6">
        <v>0</v>
      </c>
      <c r="BL6">
        <v>0</v>
      </c>
      <c r="BM6">
        <v>0</v>
      </c>
      <c r="BN6">
        <v>3180</v>
      </c>
      <c r="BO6">
        <v>0</v>
      </c>
      <c r="BP6">
        <v>0</v>
      </c>
      <c r="BQ6">
        <v>0</v>
      </c>
      <c r="BR6">
        <v>1300</v>
      </c>
      <c r="BS6">
        <v>141084</v>
      </c>
      <c r="BT6">
        <v>0</v>
      </c>
      <c r="BU6">
        <v>26041</v>
      </c>
      <c r="BV6">
        <v>0</v>
      </c>
      <c r="BW6">
        <v>0</v>
      </c>
      <c r="BX6">
        <v>0</v>
      </c>
      <c r="BY6">
        <v>0</v>
      </c>
      <c r="BZ6">
        <v>32056</v>
      </c>
      <c r="CA6">
        <v>0</v>
      </c>
    </row>
    <row r="7" spans="1:79" x14ac:dyDescent="0.3">
      <c r="A7" s="155">
        <v>9</v>
      </c>
      <c r="B7" t="s">
        <v>195</v>
      </c>
      <c r="D7">
        <v>837318</v>
      </c>
      <c r="E7">
        <v>27362786</v>
      </c>
      <c r="F7">
        <v>628042</v>
      </c>
      <c r="G7">
        <v>40156758</v>
      </c>
      <c r="H7">
        <v>4375877</v>
      </c>
      <c r="I7">
        <v>605135</v>
      </c>
      <c r="J7">
        <v>2765344</v>
      </c>
      <c r="K7">
        <v>1660524</v>
      </c>
      <c r="L7">
        <v>54614971</v>
      </c>
      <c r="M7">
        <v>313295</v>
      </c>
      <c r="N7">
        <v>917175</v>
      </c>
      <c r="P7">
        <v>22747043</v>
      </c>
      <c r="Q7">
        <v>29116423</v>
      </c>
      <c r="R7">
        <v>3865365</v>
      </c>
      <c r="S7">
        <v>11669757</v>
      </c>
      <c r="T7">
        <v>484869</v>
      </c>
      <c r="U7">
        <v>13732131</v>
      </c>
      <c r="V7">
        <v>258822</v>
      </c>
      <c r="W7">
        <v>14272910</v>
      </c>
      <c r="X7">
        <v>13190998</v>
      </c>
      <c r="Y7">
        <v>7012003</v>
      </c>
      <c r="Z7">
        <v>2670774</v>
      </c>
      <c r="AA7">
        <v>5176381</v>
      </c>
      <c r="AB7">
        <v>1702875</v>
      </c>
      <c r="AC7">
        <v>333077</v>
      </c>
      <c r="AD7">
        <v>1846542</v>
      </c>
      <c r="AE7">
        <v>2660751</v>
      </c>
      <c r="AF7">
        <v>146347</v>
      </c>
      <c r="AG7">
        <v>88961</v>
      </c>
      <c r="AH7">
        <v>266645</v>
      </c>
      <c r="AI7">
        <v>2747859</v>
      </c>
      <c r="AJ7">
        <v>4195878</v>
      </c>
      <c r="AK7">
        <v>433010</v>
      </c>
      <c r="AL7">
        <v>126120</v>
      </c>
      <c r="AM7">
        <v>14487482</v>
      </c>
      <c r="AN7">
        <v>16965596</v>
      </c>
      <c r="AP7">
        <v>7943134</v>
      </c>
      <c r="AQ7">
        <v>13841458</v>
      </c>
      <c r="AR7">
        <v>2791015</v>
      </c>
      <c r="AS7">
        <v>630126</v>
      </c>
      <c r="AT7">
        <v>3129592</v>
      </c>
      <c r="AU7">
        <v>6985895</v>
      </c>
      <c r="AV7">
        <v>249240</v>
      </c>
      <c r="AX7">
        <v>4064669</v>
      </c>
      <c r="AY7">
        <v>3962342</v>
      </c>
      <c r="AZ7">
        <v>2356578</v>
      </c>
      <c r="BA7">
        <v>212546</v>
      </c>
      <c r="BB7">
        <v>2877239</v>
      </c>
      <c r="BC7">
        <v>1315174</v>
      </c>
      <c r="BD7">
        <v>408724</v>
      </c>
      <c r="BE7">
        <v>8045768</v>
      </c>
      <c r="BH7">
        <v>3524413</v>
      </c>
      <c r="BI7">
        <v>4935526</v>
      </c>
      <c r="BJ7">
        <v>749904</v>
      </c>
      <c r="BK7">
        <v>5172611</v>
      </c>
      <c r="BL7">
        <v>7515372</v>
      </c>
      <c r="BM7">
        <v>182665</v>
      </c>
      <c r="BN7">
        <v>5845682</v>
      </c>
      <c r="BO7">
        <v>5251727</v>
      </c>
      <c r="BP7">
        <v>1843760</v>
      </c>
      <c r="BQ7">
        <v>2459583</v>
      </c>
      <c r="BR7">
        <v>2745202</v>
      </c>
      <c r="BS7">
        <v>19119323</v>
      </c>
      <c r="BT7">
        <v>2543125</v>
      </c>
      <c r="BU7">
        <v>2716033</v>
      </c>
      <c r="BV7">
        <v>987519</v>
      </c>
      <c r="BW7">
        <v>1686411</v>
      </c>
      <c r="BX7">
        <v>219751</v>
      </c>
      <c r="BY7">
        <v>217101</v>
      </c>
      <c r="BZ7">
        <v>20728012</v>
      </c>
      <c r="CA7">
        <v>102255</v>
      </c>
    </row>
    <row r="8" spans="1:79" x14ac:dyDescent="0.3">
      <c r="A8" s="155">
        <v>11</v>
      </c>
      <c r="B8" t="s">
        <v>194</v>
      </c>
      <c r="D8">
        <v>0</v>
      </c>
      <c r="E8">
        <v>2442221</v>
      </c>
      <c r="F8">
        <v>40661</v>
      </c>
      <c r="G8">
        <v>855874</v>
      </c>
      <c r="H8">
        <v>343057</v>
      </c>
      <c r="I8">
        <v>105786</v>
      </c>
      <c r="J8">
        <v>68101</v>
      </c>
      <c r="K8">
        <v>40189</v>
      </c>
      <c r="L8">
        <v>2390324</v>
      </c>
      <c r="M8">
        <v>37847</v>
      </c>
      <c r="N8">
        <v>49293</v>
      </c>
      <c r="P8">
        <v>0</v>
      </c>
      <c r="Q8">
        <v>80977</v>
      </c>
      <c r="R8">
        <v>26124</v>
      </c>
      <c r="S8">
        <v>245099</v>
      </c>
      <c r="T8">
        <v>139841</v>
      </c>
      <c r="U8">
        <v>0</v>
      </c>
      <c r="V8">
        <v>92052</v>
      </c>
      <c r="W8">
        <v>224121</v>
      </c>
      <c r="X8">
        <v>1046330</v>
      </c>
      <c r="Y8">
        <v>38138</v>
      </c>
      <c r="Z8">
        <v>286580</v>
      </c>
      <c r="AA8">
        <v>0</v>
      </c>
      <c r="AB8">
        <v>229754</v>
      </c>
      <c r="AC8">
        <v>59</v>
      </c>
      <c r="AD8">
        <v>61084</v>
      </c>
      <c r="AE8">
        <v>451987</v>
      </c>
      <c r="AF8">
        <v>18441</v>
      </c>
      <c r="AG8">
        <v>9304</v>
      </c>
      <c r="AH8">
        <v>91570</v>
      </c>
      <c r="AI8">
        <v>0</v>
      </c>
      <c r="AJ8">
        <v>105603</v>
      </c>
      <c r="AK8">
        <v>61984</v>
      </c>
      <c r="AL8">
        <v>0</v>
      </c>
      <c r="AM8">
        <v>974014</v>
      </c>
      <c r="AN8">
        <v>0</v>
      </c>
      <c r="AP8">
        <v>0</v>
      </c>
      <c r="AQ8">
        <v>0</v>
      </c>
      <c r="AR8">
        <v>227603</v>
      </c>
      <c r="AS8">
        <v>18894</v>
      </c>
      <c r="AT8">
        <v>215607</v>
      </c>
      <c r="AU8">
        <v>314798</v>
      </c>
      <c r="AV8">
        <v>8965</v>
      </c>
      <c r="AX8">
        <v>2266</v>
      </c>
      <c r="AY8">
        <v>534155</v>
      </c>
      <c r="AZ8">
        <v>81634</v>
      </c>
      <c r="BA8">
        <v>4060</v>
      </c>
      <c r="BB8">
        <v>526424</v>
      </c>
      <c r="BC8">
        <v>263638</v>
      </c>
      <c r="BD8">
        <v>1217</v>
      </c>
      <c r="BE8">
        <v>45845</v>
      </c>
      <c r="BH8">
        <v>0</v>
      </c>
      <c r="BI8">
        <v>54163</v>
      </c>
      <c r="BJ8">
        <v>126035</v>
      </c>
      <c r="BK8">
        <v>243095</v>
      </c>
      <c r="BL8">
        <v>104031</v>
      </c>
      <c r="BM8">
        <v>0</v>
      </c>
      <c r="BN8">
        <v>190906</v>
      </c>
      <c r="BO8">
        <v>183925</v>
      </c>
      <c r="BP8">
        <v>181693</v>
      </c>
      <c r="BQ8">
        <v>161448</v>
      </c>
      <c r="BR8">
        <v>85114</v>
      </c>
      <c r="BS8">
        <v>407174</v>
      </c>
      <c r="BT8">
        <v>79766</v>
      </c>
      <c r="BU8">
        <v>267997</v>
      </c>
      <c r="BV8">
        <v>0</v>
      </c>
      <c r="BW8">
        <v>81441</v>
      </c>
      <c r="BX8">
        <v>20429</v>
      </c>
      <c r="BY8">
        <v>22370</v>
      </c>
      <c r="BZ8">
        <v>0</v>
      </c>
      <c r="CA8">
        <v>11313</v>
      </c>
    </row>
    <row r="9" spans="1:79" x14ac:dyDescent="0.3">
      <c r="A9" s="155">
        <v>16</v>
      </c>
      <c r="B9" t="s">
        <v>197</v>
      </c>
      <c r="D9">
        <v>2277887</v>
      </c>
      <c r="E9">
        <v>18220049</v>
      </c>
      <c r="F9">
        <v>406417</v>
      </c>
      <c r="G9">
        <v>50698570</v>
      </c>
      <c r="H9">
        <v>5528131</v>
      </c>
      <c r="I9">
        <v>348100</v>
      </c>
      <c r="J9">
        <v>1648458</v>
      </c>
      <c r="K9">
        <v>2173568</v>
      </c>
      <c r="L9">
        <v>62954673</v>
      </c>
      <c r="M9">
        <v>148456</v>
      </c>
      <c r="N9">
        <v>1023902</v>
      </c>
      <c r="P9">
        <v>39652206</v>
      </c>
      <c r="Q9">
        <v>25230510</v>
      </c>
      <c r="R9">
        <v>7855065</v>
      </c>
      <c r="S9">
        <v>16208178</v>
      </c>
      <c r="T9">
        <v>205340</v>
      </c>
      <c r="U9">
        <v>22343171</v>
      </c>
      <c r="V9">
        <v>28858</v>
      </c>
      <c r="W9">
        <v>12623056</v>
      </c>
      <c r="X9">
        <v>23005339</v>
      </c>
      <c r="Y9">
        <v>7800428</v>
      </c>
      <c r="Z9">
        <v>1851038</v>
      </c>
      <c r="AA9">
        <v>8967397</v>
      </c>
      <c r="AB9">
        <v>1513233</v>
      </c>
      <c r="AC9">
        <v>453272</v>
      </c>
      <c r="AD9">
        <v>1424431</v>
      </c>
      <c r="AE9">
        <v>4361457</v>
      </c>
      <c r="AF9">
        <v>178970</v>
      </c>
      <c r="AG9">
        <v>61799</v>
      </c>
      <c r="AH9">
        <v>88293</v>
      </c>
      <c r="AI9">
        <v>3308432</v>
      </c>
      <c r="AJ9">
        <v>7968490</v>
      </c>
      <c r="AK9">
        <v>480147</v>
      </c>
      <c r="AL9">
        <v>28421</v>
      </c>
      <c r="AM9">
        <v>27589534</v>
      </c>
      <c r="AN9">
        <v>21256482</v>
      </c>
      <c r="AP9">
        <v>5377653</v>
      </c>
      <c r="AQ9">
        <v>25317527</v>
      </c>
      <c r="AR9">
        <v>3034490</v>
      </c>
      <c r="AS9">
        <v>732419</v>
      </c>
      <c r="AT9">
        <v>5317115</v>
      </c>
      <c r="AU9">
        <v>13836545</v>
      </c>
      <c r="AV9">
        <v>143322</v>
      </c>
      <c r="AX9">
        <v>5089725</v>
      </c>
      <c r="AY9">
        <v>4736308</v>
      </c>
      <c r="AZ9">
        <v>3804980</v>
      </c>
      <c r="BA9">
        <v>108251</v>
      </c>
      <c r="BB9">
        <v>3039273</v>
      </c>
      <c r="BC9">
        <v>486989</v>
      </c>
      <c r="BD9">
        <v>82422</v>
      </c>
      <c r="BE9">
        <v>25758489</v>
      </c>
      <c r="BH9">
        <v>3466950</v>
      </c>
      <c r="BI9">
        <v>3504242</v>
      </c>
      <c r="BJ9">
        <v>764152</v>
      </c>
      <c r="BK9">
        <v>11299936</v>
      </c>
      <c r="BL9">
        <v>5443144</v>
      </c>
      <c r="BM9">
        <v>48396</v>
      </c>
      <c r="BN9">
        <v>8119121</v>
      </c>
      <c r="BO9">
        <v>2791076</v>
      </c>
      <c r="BP9">
        <v>1188377</v>
      </c>
      <c r="BQ9">
        <v>2976222</v>
      </c>
      <c r="BR9">
        <v>2001586</v>
      </c>
      <c r="BS9">
        <v>26745677</v>
      </c>
      <c r="BT9">
        <v>2203996</v>
      </c>
      <c r="BU9">
        <v>3330931</v>
      </c>
      <c r="BV9">
        <v>970954</v>
      </c>
      <c r="BW9">
        <v>977122</v>
      </c>
      <c r="BX9">
        <v>43637</v>
      </c>
      <c r="BY9">
        <v>48086</v>
      </c>
      <c r="BZ9">
        <v>24603405</v>
      </c>
      <c r="CA9">
        <v>72243</v>
      </c>
    </row>
    <row r="10" spans="1:79" x14ac:dyDescent="0.3">
      <c r="A10" s="155">
        <v>17</v>
      </c>
      <c r="B10" t="s">
        <v>200</v>
      </c>
      <c r="D10">
        <v>0</v>
      </c>
      <c r="E10">
        <v>2519015</v>
      </c>
      <c r="F10">
        <v>0</v>
      </c>
      <c r="G10">
        <v>3357683</v>
      </c>
      <c r="H10">
        <v>0</v>
      </c>
      <c r="I10">
        <v>0</v>
      </c>
      <c r="J10">
        <v>0</v>
      </c>
      <c r="K10">
        <v>5205</v>
      </c>
      <c r="L10">
        <v>17165149</v>
      </c>
      <c r="M10">
        <v>0</v>
      </c>
      <c r="N10">
        <v>0</v>
      </c>
      <c r="P10">
        <v>63461</v>
      </c>
      <c r="Q10">
        <v>533970</v>
      </c>
      <c r="R10">
        <v>227662</v>
      </c>
      <c r="S10">
        <v>2749968</v>
      </c>
      <c r="T10">
        <v>0</v>
      </c>
      <c r="U10">
        <v>3812072</v>
      </c>
      <c r="V10">
        <v>0</v>
      </c>
      <c r="W10">
        <v>0</v>
      </c>
      <c r="X10">
        <v>674035</v>
      </c>
      <c r="Y10">
        <v>0</v>
      </c>
      <c r="Z10">
        <v>0</v>
      </c>
      <c r="AA10">
        <v>0</v>
      </c>
      <c r="AB10">
        <v>0</v>
      </c>
      <c r="AC10">
        <v>0</v>
      </c>
      <c r="AD10">
        <v>0</v>
      </c>
      <c r="AE10">
        <v>0</v>
      </c>
      <c r="AF10">
        <v>24380</v>
      </c>
      <c r="AG10">
        <v>0</v>
      </c>
      <c r="AH10">
        <v>26550</v>
      </c>
      <c r="AI10">
        <v>894504</v>
      </c>
      <c r="AJ10">
        <v>1021571</v>
      </c>
      <c r="AK10">
        <v>0</v>
      </c>
      <c r="AL10">
        <v>0</v>
      </c>
      <c r="AM10">
        <v>1425000</v>
      </c>
      <c r="AN10">
        <v>0</v>
      </c>
      <c r="AP10">
        <v>1208168</v>
      </c>
      <c r="AQ10">
        <v>2764377</v>
      </c>
      <c r="AR10">
        <v>0</v>
      </c>
      <c r="AS10">
        <v>4000</v>
      </c>
      <c r="AT10">
        <v>0</v>
      </c>
      <c r="AU10">
        <v>1157027</v>
      </c>
      <c r="AV10">
        <v>20000</v>
      </c>
      <c r="AX10">
        <v>0</v>
      </c>
      <c r="AY10">
        <v>60000</v>
      </c>
      <c r="AZ10">
        <v>405068</v>
      </c>
      <c r="BA10">
        <v>225</v>
      </c>
      <c r="BB10">
        <v>145000</v>
      </c>
      <c r="BC10">
        <v>0</v>
      </c>
      <c r="BD10">
        <v>0</v>
      </c>
      <c r="BE10">
        <v>3393845</v>
      </c>
      <c r="BH10">
        <v>16</v>
      </c>
      <c r="BI10">
        <v>0</v>
      </c>
      <c r="BJ10">
        <v>0</v>
      </c>
      <c r="BK10">
        <v>548638</v>
      </c>
      <c r="BL10">
        <v>0</v>
      </c>
      <c r="BM10">
        <v>0</v>
      </c>
      <c r="BN10">
        <v>1292493</v>
      </c>
      <c r="BO10">
        <v>0</v>
      </c>
      <c r="BP10">
        <v>0</v>
      </c>
      <c r="BQ10">
        <v>35917</v>
      </c>
      <c r="BR10">
        <v>0</v>
      </c>
      <c r="BS10">
        <v>4978635</v>
      </c>
      <c r="BT10">
        <v>0</v>
      </c>
      <c r="BU10">
        <v>27931</v>
      </c>
      <c r="BV10">
        <v>0</v>
      </c>
      <c r="BW10">
        <v>0</v>
      </c>
      <c r="BX10">
        <v>0</v>
      </c>
      <c r="BY10">
        <v>0</v>
      </c>
      <c r="BZ10">
        <v>566851</v>
      </c>
      <c r="CA10">
        <v>0</v>
      </c>
    </row>
    <row r="11" spans="1:79" x14ac:dyDescent="0.3">
      <c r="A11" s="155">
        <v>20</v>
      </c>
      <c r="B11" t="s">
        <v>201</v>
      </c>
      <c r="D11">
        <v>0</v>
      </c>
      <c r="E11">
        <v>3666652</v>
      </c>
      <c r="F11">
        <v>0</v>
      </c>
      <c r="G11">
        <v>8693622</v>
      </c>
      <c r="H11">
        <v>494075</v>
      </c>
      <c r="I11">
        <v>0</v>
      </c>
      <c r="J11">
        <v>16000</v>
      </c>
      <c r="K11">
        <v>0</v>
      </c>
      <c r="L11">
        <v>97542</v>
      </c>
      <c r="M11">
        <v>0</v>
      </c>
      <c r="N11">
        <v>0</v>
      </c>
      <c r="P11">
        <v>4627558</v>
      </c>
      <c r="Q11">
        <v>0</v>
      </c>
      <c r="R11">
        <v>0</v>
      </c>
      <c r="S11">
        <v>1251837</v>
      </c>
      <c r="T11">
        <v>0</v>
      </c>
      <c r="U11">
        <v>0</v>
      </c>
      <c r="V11">
        <v>0</v>
      </c>
      <c r="W11">
        <v>3000000</v>
      </c>
      <c r="X11">
        <v>1400728</v>
      </c>
      <c r="Y11">
        <v>0</v>
      </c>
      <c r="Z11">
        <v>40650</v>
      </c>
      <c r="AA11">
        <v>1600000</v>
      </c>
      <c r="AB11">
        <v>0</v>
      </c>
      <c r="AC11">
        <v>0</v>
      </c>
      <c r="AD11">
        <v>3500</v>
      </c>
      <c r="AE11">
        <v>286766</v>
      </c>
      <c r="AF11">
        <v>0</v>
      </c>
      <c r="AG11">
        <v>0</v>
      </c>
      <c r="AH11">
        <v>0</v>
      </c>
      <c r="AI11">
        <v>1000000</v>
      </c>
      <c r="AJ11">
        <v>369999</v>
      </c>
      <c r="AK11">
        <v>0</v>
      </c>
      <c r="AL11">
        <v>0</v>
      </c>
      <c r="AM11">
        <v>7564000</v>
      </c>
      <c r="AN11">
        <v>358760</v>
      </c>
      <c r="AP11">
        <v>235000</v>
      </c>
      <c r="AQ11">
        <v>466485</v>
      </c>
      <c r="AR11">
        <v>0</v>
      </c>
      <c r="AS11">
        <v>13000</v>
      </c>
      <c r="AT11">
        <v>40000</v>
      </c>
      <c r="AU11">
        <v>0</v>
      </c>
      <c r="AV11">
        <v>0</v>
      </c>
      <c r="AX11">
        <v>0</v>
      </c>
      <c r="AY11">
        <v>0</v>
      </c>
      <c r="AZ11">
        <v>0</v>
      </c>
      <c r="BA11">
        <v>0</v>
      </c>
      <c r="BB11">
        <v>0</v>
      </c>
      <c r="BC11">
        <v>0</v>
      </c>
      <c r="BD11">
        <v>0</v>
      </c>
      <c r="BE11">
        <v>0</v>
      </c>
      <c r="BH11">
        <v>0</v>
      </c>
      <c r="BI11">
        <v>0</v>
      </c>
      <c r="BJ11">
        <v>0</v>
      </c>
      <c r="BK11">
        <v>133703</v>
      </c>
      <c r="BL11">
        <v>0</v>
      </c>
      <c r="BM11">
        <v>0</v>
      </c>
      <c r="BN11">
        <v>1232791</v>
      </c>
      <c r="BO11">
        <v>0</v>
      </c>
      <c r="BP11">
        <v>0</v>
      </c>
      <c r="BQ11">
        <v>0</v>
      </c>
      <c r="BR11">
        <v>0</v>
      </c>
      <c r="BS11">
        <v>473139</v>
      </c>
      <c r="BT11">
        <v>3258</v>
      </c>
      <c r="BU11">
        <v>7500</v>
      </c>
      <c r="BV11">
        <v>0</v>
      </c>
      <c r="BW11">
        <v>0</v>
      </c>
      <c r="BX11">
        <v>0</v>
      </c>
      <c r="BY11">
        <v>0</v>
      </c>
      <c r="BZ11">
        <v>129423</v>
      </c>
      <c r="CA11">
        <v>0</v>
      </c>
    </row>
    <row r="12" spans="1:79" x14ac:dyDescent="0.3">
      <c r="A12" s="155">
        <v>22</v>
      </c>
      <c r="B12" t="s">
        <v>203</v>
      </c>
      <c r="D12">
        <v>36245</v>
      </c>
      <c r="E12">
        <v>31222</v>
      </c>
      <c r="F12">
        <v>0</v>
      </c>
      <c r="G12">
        <v>1195270</v>
      </c>
      <c r="H12">
        <v>13800</v>
      </c>
      <c r="I12">
        <v>0</v>
      </c>
      <c r="J12">
        <v>0</v>
      </c>
      <c r="K12">
        <v>0</v>
      </c>
      <c r="L12">
        <v>0</v>
      </c>
      <c r="M12">
        <v>0</v>
      </c>
      <c r="N12">
        <v>0</v>
      </c>
      <c r="P12">
        <v>106337</v>
      </c>
      <c r="Q12">
        <v>1524446</v>
      </c>
      <c r="R12">
        <v>85915</v>
      </c>
      <c r="S12">
        <v>0</v>
      </c>
      <c r="T12">
        <v>0</v>
      </c>
      <c r="U12">
        <v>0</v>
      </c>
      <c r="V12">
        <v>0</v>
      </c>
      <c r="W12">
        <v>0</v>
      </c>
      <c r="X12">
        <v>644342</v>
      </c>
      <c r="Y12">
        <v>0</v>
      </c>
      <c r="Z12">
        <v>0</v>
      </c>
      <c r="AA12">
        <v>0</v>
      </c>
      <c r="AB12">
        <v>0</v>
      </c>
      <c r="AC12">
        <v>0</v>
      </c>
      <c r="AD12">
        <v>0</v>
      </c>
      <c r="AE12">
        <v>0</v>
      </c>
      <c r="AF12">
        <v>0</v>
      </c>
      <c r="AG12">
        <v>0</v>
      </c>
      <c r="AH12">
        <v>0</v>
      </c>
      <c r="AI12">
        <v>0</v>
      </c>
      <c r="AJ12">
        <v>114454</v>
      </c>
      <c r="AK12">
        <v>15700</v>
      </c>
      <c r="AL12">
        <v>0</v>
      </c>
      <c r="AM12">
        <v>165011</v>
      </c>
      <c r="AN12">
        <v>0</v>
      </c>
      <c r="AP12">
        <v>0</v>
      </c>
      <c r="AQ12">
        <v>256217</v>
      </c>
      <c r="AR12">
        <v>334191</v>
      </c>
      <c r="AS12">
        <v>3600</v>
      </c>
      <c r="AT12">
        <v>0</v>
      </c>
      <c r="AU12">
        <v>0</v>
      </c>
      <c r="AV12">
        <v>0</v>
      </c>
      <c r="AX12">
        <v>0</v>
      </c>
      <c r="AY12">
        <v>0</v>
      </c>
      <c r="AZ12">
        <v>286112</v>
      </c>
      <c r="BA12">
        <v>0</v>
      </c>
      <c r="BB12">
        <v>0</v>
      </c>
      <c r="BC12">
        <v>0</v>
      </c>
      <c r="BD12">
        <v>0</v>
      </c>
      <c r="BE12">
        <v>0</v>
      </c>
      <c r="BH12">
        <v>0</v>
      </c>
      <c r="BI12">
        <v>0</v>
      </c>
      <c r="BJ12">
        <v>0</v>
      </c>
      <c r="BK12">
        <v>344158</v>
      </c>
      <c r="BL12">
        <v>0</v>
      </c>
      <c r="BM12">
        <v>0</v>
      </c>
      <c r="BN12">
        <v>107130</v>
      </c>
      <c r="BO12">
        <v>5606</v>
      </c>
      <c r="BP12">
        <v>0</v>
      </c>
      <c r="BQ12">
        <v>8260</v>
      </c>
      <c r="BR12">
        <v>0</v>
      </c>
      <c r="BS12">
        <v>379847</v>
      </c>
      <c r="BT12">
        <v>0</v>
      </c>
      <c r="BU12">
        <v>0</v>
      </c>
      <c r="BV12">
        <v>34638</v>
      </c>
      <c r="BW12">
        <v>0</v>
      </c>
      <c r="BX12">
        <v>0</v>
      </c>
      <c r="BY12">
        <v>0</v>
      </c>
      <c r="BZ12">
        <v>0</v>
      </c>
      <c r="CA12">
        <v>0</v>
      </c>
    </row>
    <row r="13" spans="1:79" x14ac:dyDescent="0.3">
      <c r="A13" s="155">
        <v>23</v>
      </c>
      <c r="B13" t="s">
        <v>206</v>
      </c>
      <c r="D13">
        <v>49336</v>
      </c>
      <c r="E13">
        <v>2242192</v>
      </c>
      <c r="F13">
        <v>81292</v>
      </c>
      <c r="G13">
        <v>1312806</v>
      </c>
      <c r="H13">
        <v>-299225</v>
      </c>
      <c r="I13">
        <v>20275</v>
      </c>
      <c r="J13">
        <v>100832</v>
      </c>
      <c r="K13">
        <v>27564</v>
      </c>
      <c r="L13">
        <v>24263702</v>
      </c>
      <c r="M13">
        <v>30482</v>
      </c>
      <c r="N13">
        <v>27343</v>
      </c>
      <c r="P13">
        <v>6840041</v>
      </c>
      <c r="Q13">
        <v>7128377</v>
      </c>
      <c r="R13">
        <v>644525</v>
      </c>
      <c r="S13">
        <v>1736586</v>
      </c>
      <c r="T13">
        <v>84805</v>
      </c>
      <c r="U13">
        <v>5174121</v>
      </c>
      <c r="V13">
        <v>-10244</v>
      </c>
      <c r="W13">
        <v>-203224</v>
      </c>
      <c r="X13">
        <v>2620883</v>
      </c>
      <c r="Y13">
        <v>844708</v>
      </c>
      <c r="Z13">
        <v>75316</v>
      </c>
      <c r="AA13">
        <v>84655</v>
      </c>
      <c r="AB13">
        <v>207267</v>
      </c>
      <c r="AC13">
        <v>109978</v>
      </c>
      <c r="AD13">
        <v>136753</v>
      </c>
      <c r="AE13">
        <v>225053</v>
      </c>
      <c r="AF13">
        <v>38666</v>
      </c>
      <c r="AG13">
        <v>2439</v>
      </c>
      <c r="AH13">
        <v>3447</v>
      </c>
      <c r="AI13">
        <v>-180751</v>
      </c>
      <c r="AJ13">
        <v>418233</v>
      </c>
      <c r="AK13">
        <v>63798</v>
      </c>
      <c r="AL13">
        <v>1110</v>
      </c>
      <c r="AM13">
        <v>-657478</v>
      </c>
      <c r="AN13">
        <v>2438875</v>
      </c>
      <c r="AP13">
        <v>1775270</v>
      </c>
      <c r="AQ13">
        <v>1347111</v>
      </c>
      <c r="AR13">
        <v>-264672</v>
      </c>
      <c r="AS13">
        <v>19396</v>
      </c>
      <c r="AT13">
        <v>407453</v>
      </c>
      <c r="AU13">
        <v>1277690</v>
      </c>
      <c r="AV13">
        <v>43386</v>
      </c>
      <c r="AX13">
        <v>95595</v>
      </c>
      <c r="AY13">
        <v>524773</v>
      </c>
      <c r="AZ13">
        <v>-50177</v>
      </c>
      <c r="BA13">
        <v>57275</v>
      </c>
      <c r="BB13">
        <v>366553</v>
      </c>
      <c r="BC13">
        <v>-201608</v>
      </c>
      <c r="BD13">
        <v>7898</v>
      </c>
      <c r="BE13">
        <v>2212854</v>
      </c>
      <c r="BH13">
        <v>-106064</v>
      </c>
      <c r="BI13">
        <v>869365</v>
      </c>
      <c r="BJ13">
        <v>49363</v>
      </c>
      <c r="BK13">
        <v>920085</v>
      </c>
      <c r="BL13">
        <v>223400</v>
      </c>
      <c r="BM13">
        <v>16315</v>
      </c>
      <c r="BN13">
        <v>754723</v>
      </c>
      <c r="BO13">
        <v>727788</v>
      </c>
      <c r="BP13">
        <v>133658</v>
      </c>
      <c r="BQ13">
        <v>1523463</v>
      </c>
      <c r="BR13">
        <v>437732</v>
      </c>
      <c r="BS13">
        <v>6302610</v>
      </c>
      <c r="BT13">
        <v>-60585</v>
      </c>
      <c r="BU13">
        <v>306535</v>
      </c>
      <c r="BV13">
        <v>90110</v>
      </c>
      <c r="BW13">
        <v>133809</v>
      </c>
      <c r="BX13">
        <v>21357</v>
      </c>
      <c r="BY13">
        <v>3788</v>
      </c>
      <c r="BZ13">
        <v>5008192</v>
      </c>
      <c r="CA13">
        <v>4330</v>
      </c>
    </row>
    <row r="14" spans="1:79" x14ac:dyDescent="0.3">
      <c r="A14" s="155">
        <v>44</v>
      </c>
      <c r="B14" t="s">
        <v>878</v>
      </c>
      <c r="D14">
        <v>0</v>
      </c>
      <c r="E14">
        <v>0</v>
      </c>
      <c r="F14">
        <v>298227</v>
      </c>
      <c r="G14">
        <v>59157562</v>
      </c>
      <c r="H14">
        <v>10239148</v>
      </c>
      <c r="I14">
        <v>253619</v>
      </c>
      <c r="J14">
        <v>6558780</v>
      </c>
      <c r="K14">
        <v>1195527</v>
      </c>
      <c r="L14">
        <v>19843565</v>
      </c>
      <c r="M14">
        <v>0</v>
      </c>
      <c r="N14">
        <v>1788319</v>
      </c>
      <c r="P14">
        <v>0</v>
      </c>
      <c r="Q14">
        <v>9264382</v>
      </c>
      <c r="R14">
        <v>8804312</v>
      </c>
      <c r="S14">
        <v>8346745</v>
      </c>
      <c r="T14">
        <v>74484</v>
      </c>
      <c r="U14">
        <v>14864001</v>
      </c>
      <c r="V14">
        <v>0</v>
      </c>
      <c r="W14">
        <v>0</v>
      </c>
      <c r="X14">
        <v>0</v>
      </c>
      <c r="Y14">
        <v>4078395</v>
      </c>
      <c r="Z14">
        <v>1585180</v>
      </c>
      <c r="AA14">
        <v>2328448</v>
      </c>
      <c r="AB14">
        <v>0</v>
      </c>
      <c r="AC14">
        <v>115006</v>
      </c>
      <c r="AD14">
        <v>2429679</v>
      </c>
      <c r="AE14">
        <v>2703829</v>
      </c>
      <c r="AF14">
        <v>51072</v>
      </c>
      <c r="AG14">
        <v>0</v>
      </c>
      <c r="AH14">
        <v>0</v>
      </c>
      <c r="AI14">
        <v>0</v>
      </c>
      <c r="AJ14">
        <v>4154565</v>
      </c>
      <c r="AK14">
        <v>187058</v>
      </c>
      <c r="AL14">
        <v>0</v>
      </c>
      <c r="AM14">
        <v>0</v>
      </c>
      <c r="AN14">
        <v>12464696</v>
      </c>
      <c r="AP14">
        <v>0</v>
      </c>
      <c r="AQ14">
        <v>8228952</v>
      </c>
      <c r="AR14">
        <v>1149915</v>
      </c>
      <c r="AS14">
        <v>293404</v>
      </c>
      <c r="AT14">
        <v>1443695</v>
      </c>
      <c r="AU14">
        <v>8450301</v>
      </c>
      <c r="AV14">
        <v>1401667</v>
      </c>
      <c r="AX14">
        <v>3008673</v>
      </c>
      <c r="AY14">
        <v>1583112</v>
      </c>
      <c r="AZ14">
        <v>2499818</v>
      </c>
      <c r="BA14">
        <v>5335</v>
      </c>
      <c r="BB14">
        <v>827628</v>
      </c>
      <c r="BC14">
        <v>314107</v>
      </c>
      <c r="BD14">
        <v>0</v>
      </c>
      <c r="BE14">
        <v>9822629</v>
      </c>
      <c r="BH14">
        <v>992460</v>
      </c>
      <c r="BI14">
        <v>2666211</v>
      </c>
      <c r="BJ14">
        <v>272056</v>
      </c>
      <c r="BK14">
        <v>6255378</v>
      </c>
      <c r="BL14">
        <v>8981882</v>
      </c>
      <c r="BM14">
        <v>0</v>
      </c>
      <c r="BN14">
        <v>3291999</v>
      </c>
      <c r="BO14">
        <v>4121378</v>
      </c>
      <c r="BP14">
        <v>1644161</v>
      </c>
      <c r="BQ14">
        <v>3057112</v>
      </c>
      <c r="BR14">
        <v>0</v>
      </c>
      <c r="BS14">
        <v>0</v>
      </c>
      <c r="BT14">
        <v>1199833</v>
      </c>
      <c r="BU14">
        <v>2790993</v>
      </c>
      <c r="BV14">
        <v>789500</v>
      </c>
      <c r="BW14">
        <v>1800953</v>
      </c>
      <c r="BX14">
        <v>0</v>
      </c>
      <c r="BY14">
        <v>0</v>
      </c>
      <c r="BZ14">
        <v>11173521</v>
      </c>
      <c r="CA14">
        <v>0</v>
      </c>
    </row>
    <row r="15" spans="1:79" x14ac:dyDescent="0.3">
      <c r="A15" s="155">
        <v>45</v>
      </c>
      <c r="B15" t="s">
        <v>879</v>
      </c>
      <c r="D15">
        <v>0</v>
      </c>
      <c r="E15">
        <v>0</v>
      </c>
      <c r="F15">
        <v>9862</v>
      </c>
      <c r="G15">
        <v>15591761</v>
      </c>
      <c r="H15">
        <v>322128</v>
      </c>
      <c r="I15">
        <v>36243</v>
      </c>
      <c r="J15">
        <v>9779</v>
      </c>
      <c r="K15">
        <v>349315</v>
      </c>
      <c r="L15">
        <v>6241525</v>
      </c>
      <c r="M15">
        <v>0</v>
      </c>
      <c r="N15">
        <v>20340</v>
      </c>
      <c r="P15">
        <v>0</v>
      </c>
      <c r="Q15">
        <v>1049367</v>
      </c>
      <c r="R15">
        <v>952021</v>
      </c>
      <c r="S15">
        <v>1996257</v>
      </c>
      <c r="T15">
        <v>134173</v>
      </c>
      <c r="U15">
        <v>2381679</v>
      </c>
      <c r="V15">
        <v>0</v>
      </c>
      <c r="W15">
        <v>0</v>
      </c>
      <c r="X15">
        <v>0</v>
      </c>
      <c r="Y15">
        <v>797620</v>
      </c>
      <c r="Z15">
        <v>55362</v>
      </c>
      <c r="AA15">
        <v>991283</v>
      </c>
      <c r="AB15">
        <v>0</v>
      </c>
      <c r="AC15">
        <v>32477</v>
      </c>
      <c r="AD15">
        <v>192210</v>
      </c>
      <c r="AE15">
        <v>304805</v>
      </c>
      <c r="AF15">
        <v>7475</v>
      </c>
      <c r="AG15">
        <v>0</v>
      </c>
      <c r="AH15">
        <v>0</v>
      </c>
      <c r="AI15">
        <v>0</v>
      </c>
      <c r="AJ15">
        <v>1491008</v>
      </c>
      <c r="AK15">
        <v>62817</v>
      </c>
      <c r="AL15">
        <v>0</v>
      </c>
      <c r="AM15">
        <v>0</v>
      </c>
      <c r="AN15">
        <v>1924131</v>
      </c>
      <c r="AP15">
        <v>0</v>
      </c>
      <c r="AQ15">
        <v>1067235</v>
      </c>
      <c r="AR15">
        <v>150784</v>
      </c>
      <c r="AS15">
        <v>23358</v>
      </c>
      <c r="AT15">
        <v>83670</v>
      </c>
      <c r="AU15">
        <v>1251336</v>
      </c>
      <c r="AV15">
        <v>35777</v>
      </c>
      <c r="AX15">
        <v>70894</v>
      </c>
      <c r="AY15">
        <v>87804</v>
      </c>
      <c r="AZ15">
        <v>484268</v>
      </c>
      <c r="BA15">
        <v>37846</v>
      </c>
      <c r="BB15">
        <v>160025</v>
      </c>
      <c r="BC15">
        <v>253481</v>
      </c>
      <c r="BD15">
        <v>0</v>
      </c>
      <c r="BE15">
        <v>3776011</v>
      </c>
      <c r="BH15">
        <v>396433</v>
      </c>
      <c r="BI15">
        <v>192495</v>
      </c>
      <c r="BJ15">
        <v>172872</v>
      </c>
      <c r="BK15">
        <v>170835</v>
      </c>
      <c r="BL15">
        <v>525246</v>
      </c>
      <c r="BM15">
        <v>0</v>
      </c>
      <c r="BN15">
        <v>386801</v>
      </c>
      <c r="BO15">
        <v>49524</v>
      </c>
      <c r="BP15">
        <v>40539</v>
      </c>
      <c r="BQ15">
        <v>213564</v>
      </c>
      <c r="BR15">
        <v>0</v>
      </c>
      <c r="BS15">
        <v>0</v>
      </c>
      <c r="BT15">
        <v>130735</v>
      </c>
      <c r="BU15">
        <v>349358</v>
      </c>
      <c r="BV15">
        <v>96441</v>
      </c>
      <c r="BW15">
        <v>129085</v>
      </c>
      <c r="BX15">
        <v>0</v>
      </c>
      <c r="BY15">
        <v>0</v>
      </c>
      <c r="BZ15">
        <v>3753181</v>
      </c>
      <c r="CA15">
        <v>0</v>
      </c>
    </row>
    <row r="16" spans="1:79" x14ac:dyDescent="0.3">
      <c r="A16" s="155">
        <v>47</v>
      </c>
      <c r="B16" t="s">
        <v>880</v>
      </c>
      <c r="D16">
        <v>0</v>
      </c>
      <c r="E16">
        <v>0</v>
      </c>
      <c r="F16">
        <v>0</v>
      </c>
      <c r="G16">
        <v>0</v>
      </c>
      <c r="H16">
        <v>0</v>
      </c>
      <c r="I16">
        <v>0</v>
      </c>
      <c r="J16">
        <v>0</v>
      </c>
      <c r="K16">
        <v>0</v>
      </c>
      <c r="L16">
        <v>0</v>
      </c>
      <c r="M16">
        <v>0</v>
      </c>
      <c r="N16">
        <v>0</v>
      </c>
      <c r="P16">
        <v>0</v>
      </c>
      <c r="Q16">
        <v>0</v>
      </c>
      <c r="R16">
        <v>0</v>
      </c>
      <c r="S16">
        <v>4722443</v>
      </c>
      <c r="T16">
        <v>0</v>
      </c>
      <c r="U16">
        <v>42419749</v>
      </c>
      <c r="V16">
        <v>0</v>
      </c>
      <c r="W16">
        <v>0</v>
      </c>
      <c r="X16">
        <v>0</v>
      </c>
      <c r="Y16">
        <v>0</v>
      </c>
      <c r="Z16">
        <v>1282182</v>
      </c>
      <c r="AA16">
        <v>0</v>
      </c>
      <c r="AB16">
        <v>0</v>
      </c>
      <c r="AC16">
        <v>0</v>
      </c>
      <c r="AD16">
        <v>0</v>
      </c>
      <c r="AE16">
        <v>2937560</v>
      </c>
      <c r="AF16">
        <v>0</v>
      </c>
      <c r="AG16">
        <v>0</v>
      </c>
      <c r="AH16">
        <v>0</v>
      </c>
      <c r="AI16">
        <v>0</v>
      </c>
      <c r="AJ16">
        <v>4954291</v>
      </c>
      <c r="AK16">
        <v>0</v>
      </c>
      <c r="AL16">
        <v>0</v>
      </c>
      <c r="AM16">
        <v>0</v>
      </c>
      <c r="AN16">
        <v>0</v>
      </c>
      <c r="AP16">
        <v>0</v>
      </c>
      <c r="AQ16">
        <v>24443460</v>
      </c>
      <c r="AR16">
        <v>0</v>
      </c>
      <c r="AS16">
        <v>0</v>
      </c>
      <c r="AT16">
        <v>0</v>
      </c>
      <c r="AU16">
        <v>3335706</v>
      </c>
      <c r="AV16">
        <v>0</v>
      </c>
      <c r="AX16">
        <v>0</v>
      </c>
      <c r="AY16">
        <v>0</v>
      </c>
      <c r="AZ16">
        <v>1746569</v>
      </c>
      <c r="BA16">
        <v>0</v>
      </c>
      <c r="BB16">
        <v>0</v>
      </c>
      <c r="BC16">
        <v>7461657</v>
      </c>
      <c r="BD16">
        <v>0</v>
      </c>
      <c r="BE16">
        <v>14463323</v>
      </c>
      <c r="BH16">
        <v>0</v>
      </c>
      <c r="BI16">
        <v>0</v>
      </c>
      <c r="BJ16">
        <v>0</v>
      </c>
      <c r="BK16">
        <v>3989422</v>
      </c>
      <c r="BL16">
        <v>0</v>
      </c>
      <c r="BM16">
        <v>0</v>
      </c>
      <c r="BN16">
        <v>0</v>
      </c>
      <c r="BO16">
        <v>0</v>
      </c>
      <c r="BP16">
        <v>0</v>
      </c>
      <c r="BQ16">
        <v>0</v>
      </c>
      <c r="BR16">
        <v>0</v>
      </c>
      <c r="BS16">
        <v>0</v>
      </c>
      <c r="BT16">
        <v>0</v>
      </c>
      <c r="BU16">
        <v>0</v>
      </c>
      <c r="BV16">
        <v>0</v>
      </c>
      <c r="BW16">
        <v>0</v>
      </c>
      <c r="BX16">
        <v>0</v>
      </c>
      <c r="BY16">
        <v>0</v>
      </c>
      <c r="BZ16">
        <v>0</v>
      </c>
      <c r="CA16">
        <v>0</v>
      </c>
    </row>
    <row r="17" spans="1:79" x14ac:dyDescent="0.3">
      <c r="A17" s="155">
        <v>48</v>
      </c>
      <c r="B17" t="s">
        <v>115</v>
      </c>
      <c r="D17">
        <v>0</v>
      </c>
      <c r="E17">
        <v>0</v>
      </c>
      <c r="F17">
        <v>0</v>
      </c>
      <c r="G17">
        <v>0</v>
      </c>
      <c r="H17">
        <v>0</v>
      </c>
      <c r="I17">
        <v>0</v>
      </c>
      <c r="J17">
        <v>0</v>
      </c>
      <c r="K17">
        <v>0</v>
      </c>
      <c r="L17">
        <v>0</v>
      </c>
      <c r="M17">
        <v>0</v>
      </c>
      <c r="N17">
        <v>0</v>
      </c>
      <c r="P17">
        <v>0</v>
      </c>
      <c r="Q17">
        <v>0</v>
      </c>
      <c r="R17">
        <v>0</v>
      </c>
      <c r="S17">
        <v>1580297</v>
      </c>
      <c r="T17">
        <v>0</v>
      </c>
      <c r="U17">
        <v>1837837</v>
      </c>
      <c r="V17">
        <v>0</v>
      </c>
      <c r="W17">
        <v>0</v>
      </c>
      <c r="X17">
        <v>0</v>
      </c>
      <c r="Y17">
        <v>0</v>
      </c>
      <c r="Z17">
        <v>760916</v>
      </c>
      <c r="AA17">
        <v>333900</v>
      </c>
      <c r="AB17">
        <v>0</v>
      </c>
      <c r="AC17">
        <v>0</v>
      </c>
      <c r="AD17">
        <v>0</v>
      </c>
      <c r="AE17">
        <v>477797</v>
      </c>
      <c r="AF17">
        <v>0</v>
      </c>
      <c r="AG17">
        <v>0</v>
      </c>
      <c r="AH17">
        <v>0</v>
      </c>
      <c r="AI17">
        <v>0</v>
      </c>
      <c r="AJ17">
        <v>2082589</v>
      </c>
      <c r="AK17">
        <v>0</v>
      </c>
      <c r="AL17">
        <v>0</v>
      </c>
      <c r="AM17">
        <v>0</v>
      </c>
      <c r="AN17">
        <v>0</v>
      </c>
      <c r="AP17">
        <v>0</v>
      </c>
      <c r="AQ17">
        <v>4768395</v>
      </c>
      <c r="AR17">
        <v>0</v>
      </c>
      <c r="AS17">
        <v>0</v>
      </c>
      <c r="AT17">
        <v>0</v>
      </c>
      <c r="AU17">
        <v>638525</v>
      </c>
      <c r="AV17">
        <v>0</v>
      </c>
      <c r="AX17">
        <v>0</v>
      </c>
      <c r="AY17">
        <v>0</v>
      </c>
      <c r="AZ17">
        <v>690592</v>
      </c>
      <c r="BA17">
        <v>0</v>
      </c>
      <c r="BB17">
        <v>0</v>
      </c>
      <c r="BC17">
        <v>191872</v>
      </c>
      <c r="BD17">
        <v>0</v>
      </c>
      <c r="BE17">
        <v>2536908</v>
      </c>
      <c r="BH17">
        <v>0</v>
      </c>
      <c r="BI17">
        <v>0</v>
      </c>
      <c r="BJ17">
        <v>0</v>
      </c>
      <c r="BK17">
        <v>20894</v>
      </c>
      <c r="BL17">
        <v>0</v>
      </c>
      <c r="BM17">
        <v>0</v>
      </c>
      <c r="BN17">
        <v>0</v>
      </c>
      <c r="BO17">
        <v>0</v>
      </c>
      <c r="BP17">
        <v>0</v>
      </c>
      <c r="BQ17">
        <v>0</v>
      </c>
      <c r="BR17">
        <v>0</v>
      </c>
      <c r="BS17">
        <v>0</v>
      </c>
      <c r="BT17">
        <v>0</v>
      </c>
      <c r="BU17">
        <v>0</v>
      </c>
      <c r="BV17">
        <v>0</v>
      </c>
      <c r="BW17">
        <v>0</v>
      </c>
      <c r="BX17">
        <v>0</v>
      </c>
      <c r="BY17">
        <v>0</v>
      </c>
      <c r="BZ17">
        <v>0</v>
      </c>
      <c r="CA17">
        <v>0</v>
      </c>
    </row>
    <row r="18" spans="1:79" x14ac:dyDescent="0.3">
      <c r="A18" s="155">
        <v>49</v>
      </c>
      <c r="B18" t="s">
        <v>219</v>
      </c>
      <c r="D18">
        <v>0</v>
      </c>
      <c r="E18">
        <v>0</v>
      </c>
      <c r="F18">
        <v>71881</v>
      </c>
      <c r="G18">
        <v>8551442</v>
      </c>
      <c r="H18">
        <v>715830</v>
      </c>
      <c r="I18">
        <v>28022</v>
      </c>
      <c r="J18">
        <v>230766</v>
      </c>
      <c r="K18">
        <v>165175</v>
      </c>
      <c r="L18">
        <v>3637780</v>
      </c>
      <c r="M18">
        <v>0</v>
      </c>
      <c r="N18">
        <v>134602</v>
      </c>
      <c r="P18">
        <v>0</v>
      </c>
      <c r="Q18">
        <v>711210</v>
      </c>
      <c r="R18">
        <v>1039679</v>
      </c>
      <c r="S18">
        <v>2918472</v>
      </c>
      <c r="T18">
        <v>89418</v>
      </c>
      <c r="U18">
        <v>2865414</v>
      </c>
      <c r="V18">
        <v>0</v>
      </c>
      <c r="W18">
        <v>0</v>
      </c>
      <c r="X18">
        <v>0</v>
      </c>
      <c r="Y18">
        <v>386377</v>
      </c>
      <c r="Z18">
        <v>334919</v>
      </c>
      <c r="AA18">
        <v>339340</v>
      </c>
      <c r="AB18">
        <v>0</v>
      </c>
      <c r="AC18">
        <v>6741</v>
      </c>
      <c r="AD18">
        <v>307898</v>
      </c>
      <c r="AE18">
        <v>557393</v>
      </c>
      <c r="AF18">
        <v>26927</v>
      </c>
      <c r="AG18">
        <v>0</v>
      </c>
      <c r="AH18">
        <v>0</v>
      </c>
      <c r="AI18">
        <v>0</v>
      </c>
      <c r="AJ18">
        <v>1635201</v>
      </c>
      <c r="AK18">
        <v>44598</v>
      </c>
      <c r="AL18">
        <v>0</v>
      </c>
      <c r="AM18">
        <v>0</v>
      </c>
      <c r="AN18">
        <v>1637246</v>
      </c>
      <c r="AP18">
        <v>0</v>
      </c>
      <c r="AQ18">
        <v>1469398</v>
      </c>
      <c r="AR18">
        <v>258063</v>
      </c>
      <c r="AS18">
        <v>122886</v>
      </c>
      <c r="AT18">
        <v>309895</v>
      </c>
      <c r="AU18">
        <v>2016779</v>
      </c>
      <c r="AV18">
        <v>56469</v>
      </c>
      <c r="AX18">
        <v>348164</v>
      </c>
      <c r="AY18">
        <v>345947</v>
      </c>
      <c r="AZ18">
        <v>636790</v>
      </c>
      <c r="BA18">
        <v>0</v>
      </c>
      <c r="BB18">
        <v>171085</v>
      </c>
      <c r="BC18">
        <v>116615</v>
      </c>
      <c r="BD18">
        <v>0</v>
      </c>
      <c r="BE18">
        <v>1981667</v>
      </c>
      <c r="BH18">
        <v>296163</v>
      </c>
      <c r="BI18">
        <v>186431</v>
      </c>
      <c r="BJ18">
        <v>280805</v>
      </c>
      <c r="BK18">
        <v>402034</v>
      </c>
      <c r="BL18">
        <v>339171</v>
      </c>
      <c r="BM18">
        <v>0</v>
      </c>
      <c r="BN18">
        <v>900711</v>
      </c>
      <c r="BO18">
        <v>330553</v>
      </c>
      <c r="BP18">
        <v>317135</v>
      </c>
      <c r="BQ18">
        <v>418948</v>
      </c>
      <c r="BR18">
        <v>0</v>
      </c>
      <c r="BS18">
        <v>0</v>
      </c>
      <c r="BT18">
        <v>236452</v>
      </c>
      <c r="BU18">
        <v>547701</v>
      </c>
      <c r="BV18">
        <v>186738</v>
      </c>
      <c r="BW18">
        <v>45281</v>
      </c>
      <c r="BX18">
        <v>0</v>
      </c>
      <c r="BY18">
        <v>0</v>
      </c>
      <c r="BZ18">
        <v>1710866</v>
      </c>
      <c r="CA18">
        <v>0</v>
      </c>
    </row>
    <row r="19" spans="1:79" x14ac:dyDescent="0.3">
      <c r="A19" s="155">
        <v>50</v>
      </c>
      <c r="B19" t="s">
        <v>92</v>
      </c>
      <c r="D19">
        <v>0</v>
      </c>
      <c r="E19">
        <v>0</v>
      </c>
      <c r="F19">
        <v>-26003</v>
      </c>
      <c r="G19">
        <v>4987861</v>
      </c>
      <c r="H19">
        <v>930317</v>
      </c>
      <c r="I19">
        <v>123542</v>
      </c>
      <c r="J19">
        <v>-107723</v>
      </c>
      <c r="K19">
        <v>1442567</v>
      </c>
      <c r="L19">
        <v>6190668</v>
      </c>
      <c r="M19">
        <v>0</v>
      </c>
      <c r="N19">
        <v>-166483</v>
      </c>
      <c r="P19">
        <v>0</v>
      </c>
      <c r="Q19">
        <v>1593947</v>
      </c>
      <c r="R19">
        <v>611103</v>
      </c>
      <c r="S19">
        <v>145157</v>
      </c>
      <c r="T19">
        <v>94077</v>
      </c>
      <c r="U19">
        <v>2632397</v>
      </c>
      <c r="V19">
        <v>0</v>
      </c>
      <c r="W19">
        <v>0</v>
      </c>
      <c r="X19">
        <v>-38450</v>
      </c>
      <c r="Y19">
        <v>384182</v>
      </c>
      <c r="Z19">
        <v>582151</v>
      </c>
      <c r="AA19">
        <v>1195936</v>
      </c>
      <c r="AB19">
        <v>0</v>
      </c>
      <c r="AC19">
        <v>37880</v>
      </c>
      <c r="AD19">
        <v>358576</v>
      </c>
      <c r="AE19">
        <v>420585</v>
      </c>
      <c r="AF19">
        <v>-31663</v>
      </c>
      <c r="AG19">
        <v>0</v>
      </c>
      <c r="AH19">
        <v>0</v>
      </c>
      <c r="AI19">
        <v>-927871</v>
      </c>
      <c r="AJ19">
        <v>-199514</v>
      </c>
      <c r="AK19">
        <v>-68032</v>
      </c>
      <c r="AL19">
        <v>0</v>
      </c>
      <c r="AM19">
        <v>0</v>
      </c>
      <c r="AN19">
        <v>1568225</v>
      </c>
      <c r="AP19">
        <v>0</v>
      </c>
      <c r="AQ19">
        <v>569982</v>
      </c>
      <c r="AR19">
        <v>1080290</v>
      </c>
      <c r="AS19">
        <v>-52811</v>
      </c>
      <c r="AT19">
        <v>598001</v>
      </c>
      <c r="AU19">
        <v>913738</v>
      </c>
      <c r="AV19">
        <v>67536</v>
      </c>
      <c r="AX19">
        <v>1220552</v>
      </c>
      <c r="AY19">
        <v>-142976</v>
      </c>
      <c r="AZ19">
        <v>509636</v>
      </c>
      <c r="BA19">
        <v>-4335</v>
      </c>
      <c r="BB19">
        <v>83826</v>
      </c>
      <c r="BC19">
        <v>1121491</v>
      </c>
      <c r="BD19">
        <v>0</v>
      </c>
      <c r="BE19">
        <v>5877048</v>
      </c>
      <c r="BH19">
        <v>70345</v>
      </c>
      <c r="BI19">
        <v>298494</v>
      </c>
      <c r="BJ19">
        <v>816087</v>
      </c>
      <c r="BK19">
        <v>-336645</v>
      </c>
      <c r="BL19">
        <v>9496</v>
      </c>
      <c r="BM19">
        <v>0</v>
      </c>
      <c r="BN19">
        <v>498355</v>
      </c>
      <c r="BO19">
        <v>159485</v>
      </c>
      <c r="BP19">
        <v>87531</v>
      </c>
      <c r="BQ19">
        <v>-9802</v>
      </c>
      <c r="BR19">
        <v>0</v>
      </c>
      <c r="BS19">
        <v>0</v>
      </c>
      <c r="BT19">
        <v>-15393</v>
      </c>
      <c r="BU19">
        <v>1096182</v>
      </c>
      <c r="BV19">
        <v>253216</v>
      </c>
      <c r="BW19">
        <v>216565</v>
      </c>
      <c r="BX19">
        <v>0</v>
      </c>
      <c r="BY19">
        <v>0</v>
      </c>
      <c r="BZ19">
        <v>8002436</v>
      </c>
      <c r="CA19">
        <v>0</v>
      </c>
    </row>
    <row r="20" spans="1:79" x14ac:dyDescent="0.3">
      <c r="A20" s="155">
        <v>51</v>
      </c>
      <c r="B20" t="s">
        <v>237</v>
      </c>
      <c r="D20">
        <v>0</v>
      </c>
      <c r="E20">
        <v>0</v>
      </c>
      <c r="F20">
        <v>55830</v>
      </c>
      <c r="G20">
        <v>17257746</v>
      </c>
      <c r="H20">
        <v>1382970</v>
      </c>
      <c r="I20">
        <v>170055</v>
      </c>
      <c r="J20">
        <v>105131</v>
      </c>
      <c r="K20">
        <v>68694</v>
      </c>
      <c r="L20">
        <v>9678970</v>
      </c>
      <c r="M20">
        <v>0</v>
      </c>
      <c r="N20">
        <v>-15438</v>
      </c>
      <c r="P20">
        <v>0</v>
      </c>
      <c r="Q20">
        <v>2575277</v>
      </c>
      <c r="R20">
        <v>1510276</v>
      </c>
      <c r="S20">
        <v>1237535</v>
      </c>
      <c r="T20">
        <v>-166339</v>
      </c>
      <c r="U20">
        <v>4915148</v>
      </c>
      <c r="V20">
        <v>0</v>
      </c>
      <c r="W20">
        <v>0</v>
      </c>
      <c r="X20">
        <v>0</v>
      </c>
      <c r="Y20">
        <v>1153309</v>
      </c>
      <c r="Z20">
        <v>336334</v>
      </c>
      <c r="AA20">
        <v>425498</v>
      </c>
      <c r="AB20">
        <v>0</v>
      </c>
      <c r="AC20">
        <v>32228</v>
      </c>
      <c r="AD20">
        <v>538146</v>
      </c>
      <c r="AE20">
        <v>787710</v>
      </c>
      <c r="AF20">
        <v>-2277</v>
      </c>
      <c r="AG20">
        <v>0</v>
      </c>
      <c r="AH20">
        <v>0</v>
      </c>
      <c r="AI20">
        <v>18724</v>
      </c>
      <c r="AJ20">
        <v>563788</v>
      </c>
      <c r="AK20">
        <v>-100506</v>
      </c>
      <c r="AL20">
        <v>0</v>
      </c>
      <c r="AM20">
        <v>0</v>
      </c>
      <c r="AN20">
        <v>3746404</v>
      </c>
      <c r="AP20">
        <v>0</v>
      </c>
      <c r="AQ20">
        <v>1123190</v>
      </c>
      <c r="AR20">
        <v>-257012</v>
      </c>
      <c r="AS20">
        <v>40755</v>
      </c>
      <c r="AT20">
        <v>215589</v>
      </c>
      <c r="AU20">
        <v>3528075</v>
      </c>
      <c r="AV20">
        <v>132590</v>
      </c>
      <c r="AX20">
        <v>1773228</v>
      </c>
      <c r="AY20">
        <v>243506</v>
      </c>
      <c r="AZ20">
        <v>725615</v>
      </c>
      <c r="BA20">
        <v>-6335</v>
      </c>
      <c r="BB20">
        <v>220367</v>
      </c>
      <c r="BC20">
        <v>10830</v>
      </c>
      <c r="BD20">
        <v>0</v>
      </c>
      <c r="BE20">
        <v>3491484</v>
      </c>
      <c r="BH20">
        <v>76916</v>
      </c>
      <c r="BI20">
        <v>534489</v>
      </c>
      <c r="BJ20">
        <v>159431</v>
      </c>
      <c r="BK20">
        <v>150764</v>
      </c>
      <c r="BL20">
        <v>618012</v>
      </c>
      <c r="BM20">
        <v>0</v>
      </c>
      <c r="BN20">
        <v>497901</v>
      </c>
      <c r="BO20">
        <v>432869</v>
      </c>
      <c r="BP20">
        <v>299201</v>
      </c>
      <c r="BQ20">
        <v>370109</v>
      </c>
      <c r="BR20">
        <v>0</v>
      </c>
      <c r="BS20">
        <v>0</v>
      </c>
      <c r="BT20">
        <v>-25314</v>
      </c>
      <c r="BU20">
        <v>591206</v>
      </c>
      <c r="BV20">
        <v>-212839</v>
      </c>
      <c r="BW20">
        <v>103667</v>
      </c>
      <c r="BX20">
        <v>0</v>
      </c>
      <c r="BY20">
        <v>0</v>
      </c>
      <c r="BZ20">
        <v>5461786</v>
      </c>
      <c r="CA20">
        <v>0</v>
      </c>
    </row>
    <row r="21" spans="1:79" x14ac:dyDescent="0.3">
      <c r="A21" s="155">
        <v>52</v>
      </c>
      <c r="B21" t="s">
        <v>230</v>
      </c>
      <c r="D21">
        <v>0</v>
      </c>
      <c r="E21">
        <v>0</v>
      </c>
      <c r="F21">
        <v>0</v>
      </c>
      <c r="G21">
        <v>0</v>
      </c>
      <c r="H21">
        <v>0</v>
      </c>
      <c r="I21">
        <v>0</v>
      </c>
      <c r="J21">
        <v>0</v>
      </c>
      <c r="K21">
        <v>0</v>
      </c>
      <c r="L21">
        <v>0</v>
      </c>
      <c r="M21">
        <v>0</v>
      </c>
      <c r="N21">
        <v>0</v>
      </c>
      <c r="P21">
        <v>0</v>
      </c>
      <c r="Q21">
        <v>0</v>
      </c>
      <c r="R21">
        <v>0</v>
      </c>
      <c r="S21">
        <v>676314</v>
      </c>
      <c r="T21">
        <v>0</v>
      </c>
      <c r="U21">
        <v>1100135</v>
      </c>
      <c r="V21">
        <v>0</v>
      </c>
      <c r="W21">
        <v>0</v>
      </c>
      <c r="X21">
        <v>0</v>
      </c>
      <c r="Y21">
        <v>0</v>
      </c>
      <c r="Z21">
        <v>64406</v>
      </c>
      <c r="AA21">
        <v>96436</v>
      </c>
      <c r="AB21">
        <v>0</v>
      </c>
      <c r="AC21">
        <v>0</v>
      </c>
      <c r="AD21">
        <v>0</v>
      </c>
      <c r="AE21">
        <v>192332</v>
      </c>
      <c r="AF21">
        <v>0</v>
      </c>
      <c r="AG21">
        <v>0</v>
      </c>
      <c r="AH21">
        <v>0</v>
      </c>
      <c r="AI21">
        <v>0</v>
      </c>
      <c r="AJ21">
        <v>509867</v>
      </c>
      <c r="AK21">
        <v>0</v>
      </c>
      <c r="AL21">
        <v>0</v>
      </c>
      <c r="AM21">
        <v>0</v>
      </c>
      <c r="AN21">
        <v>0</v>
      </c>
      <c r="AP21">
        <v>0</v>
      </c>
      <c r="AQ21">
        <v>1353136</v>
      </c>
      <c r="AR21">
        <v>0</v>
      </c>
      <c r="AS21">
        <v>0</v>
      </c>
      <c r="AT21">
        <v>0</v>
      </c>
      <c r="AU21">
        <v>260189</v>
      </c>
      <c r="AV21">
        <v>0</v>
      </c>
      <c r="AX21">
        <v>0</v>
      </c>
      <c r="AY21">
        <v>0</v>
      </c>
      <c r="AZ21">
        <v>217265</v>
      </c>
      <c r="BA21">
        <v>0</v>
      </c>
      <c r="BB21">
        <v>0</v>
      </c>
      <c r="BC21">
        <v>42412</v>
      </c>
      <c r="BD21">
        <v>0</v>
      </c>
      <c r="BE21">
        <v>1412552</v>
      </c>
      <c r="BH21">
        <v>0</v>
      </c>
      <c r="BI21">
        <v>0</v>
      </c>
      <c r="BJ21">
        <v>0</v>
      </c>
      <c r="BK21">
        <v>141151</v>
      </c>
      <c r="BL21">
        <v>0</v>
      </c>
      <c r="BM21">
        <v>0</v>
      </c>
      <c r="BN21">
        <v>0</v>
      </c>
      <c r="BO21">
        <v>0</v>
      </c>
      <c r="BP21">
        <v>0</v>
      </c>
      <c r="BQ21">
        <v>0</v>
      </c>
      <c r="BR21">
        <v>0</v>
      </c>
      <c r="BS21">
        <v>0</v>
      </c>
      <c r="BT21">
        <v>0</v>
      </c>
      <c r="BU21">
        <v>0</v>
      </c>
      <c r="BV21">
        <v>0</v>
      </c>
      <c r="BW21">
        <v>0</v>
      </c>
      <c r="BX21">
        <v>0</v>
      </c>
      <c r="BY21">
        <v>0</v>
      </c>
      <c r="BZ21">
        <v>0</v>
      </c>
      <c r="CA21">
        <v>0</v>
      </c>
    </row>
    <row r="22" spans="1:79" x14ac:dyDescent="0.3">
      <c r="A22" s="155">
        <v>53</v>
      </c>
      <c r="B22" t="s">
        <v>93</v>
      </c>
      <c r="D22">
        <v>0</v>
      </c>
      <c r="E22">
        <v>0</v>
      </c>
      <c r="F22">
        <v>0</v>
      </c>
      <c r="G22">
        <v>0</v>
      </c>
      <c r="H22">
        <v>0</v>
      </c>
      <c r="I22">
        <v>0</v>
      </c>
      <c r="J22">
        <v>0</v>
      </c>
      <c r="K22">
        <v>0</v>
      </c>
      <c r="L22">
        <v>0</v>
      </c>
      <c r="M22">
        <v>0</v>
      </c>
      <c r="N22">
        <v>0</v>
      </c>
      <c r="P22">
        <v>0</v>
      </c>
      <c r="Q22">
        <v>0</v>
      </c>
      <c r="R22">
        <v>0</v>
      </c>
      <c r="S22">
        <v>-2149759</v>
      </c>
      <c r="T22">
        <v>0</v>
      </c>
      <c r="U22">
        <v>6882491</v>
      </c>
      <c r="V22">
        <v>0</v>
      </c>
      <c r="W22">
        <v>0</v>
      </c>
      <c r="X22">
        <v>0</v>
      </c>
      <c r="Y22">
        <v>0</v>
      </c>
      <c r="Z22">
        <v>56443</v>
      </c>
      <c r="AA22">
        <v>-182640</v>
      </c>
      <c r="AB22">
        <v>0</v>
      </c>
      <c r="AC22">
        <v>0</v>
      </c>
      <c r="AD22">
        <v>0</v>
      </c>
      <c r="AE22">
        <v>390554</v>
      </c>
      <c r="AF22">
        <v>0</v>
      </c>
      <c r="AG22">
        <v>0</v>
      </c>
      <c r="AH22">
        <v>0</v>
      </c>
      <c r="AI22">
        <v>0</v>
      </c>
      <c r="AJ22">
        <v>213489</v>
      </c>
      <c r="AK22">
        <v>0</v>
      </c>
      <c r="AL22">
        <v>0</v>
      </c>
      <c r="AM22">
        <v>0</v>
      </c>
      <c r="AN22">
        <v>0</v>
      </c>
      <c r="AP22">
        <v>0</v>
      </c>
      <c r="AQ22">
        <v>653391</v>
      </c>
      <c r="AR22">
        <v>0</v>
      </c>
      <c r="AS22">
        <v>0</v>
      </c>
      <c r="AT22">
        <v>0</v>
      </c>
      <c r="AU22">
        <v>2894</v>
      </c>
      <c r="AV22">
        <v>0</v>
      </c>
      <c r="AX22">
        <v>0</v>
      </c>
      <c r="AY22">
        <v>0</v>
      </c>
      <c r="AZ22">
        <v>-395942</v>
      </c>
      <c r="BA22">
        <v>0</v>
      </c>
      <c r="BB22">
        <v>0</v>
      </c>
      <c r="BC22">
        <v>-237686</v>
      </c>
      <c r="BD22">
        <v>0</v>
      </c>
      <c r="BE22">
        <v>1491040</v>
      </c>
      <c r="BH22">
        <v>0</v>
      </c>
      <c r="BI22">
        <v>0</v>
      </c>
      <c r="BJ22">
        <v>0</v>
      </c>
      <c r="BK22">
        <v>-611578</v>
      </c>
      <c r="BL22">
        <v>0</v>
      </c>
      <c r="BM22">
        <v>0</v>
      </c>
      <c r="BN22">
        <v>0</v>
      </c>
      <c r="BO22">
        <v>0</v>
      </c>
      <c r="BP22">
        <v>0</v>
      </c>
      <c r="BQ22">
        <v>0</v>
      </c>
      <c r="BR22">
        <v>0</v>
      </c>
      <c r="BS22">
        <v>0</v>
      </c>
      <c r="BT22">
        <v>0</v>
      </c>
      <c r="BU22">
        <v>0</v>
      </c>
      <c r="BV22">
        <v>0</v>
      </c>
      <c r="BW22">
        <v>0</v>
      </c>
      <c r="BX22">
        <v>0</v>
      </c>
      <c r="BY22">
        <v>0</v>
      </c>
      <c r="BZ22">
        <v>0</v>
      </c>
      <c r="CA22">
        <v>0</v>
      </c>
    </row>
    <row r="23" spans="1:79" x14ac:dyDescent="0.3">
      <c r="A23" s="155">
        <v>55</v>
      </c>
      <c r="B23" t="s">
        <v>240</v>
      </c>
      <c r="D23">
        <v>0</v>
      </c>
      <c r="E23">
        <v>0</v>
      </c>
      <c r="F23">
        <v>0</v>
      </c>
      <c r="G23">
        <v>0</v>
      </c>
      <c r="H23">
        <v>0</v>
      </c>
      <c r="I23">
        <v>0</v>
      </c>
      <c r="J23">
        <v>0</v>
      </c>
      <c r="K23">
        <v>0</v>
      </c>
      <c r="L23">
        <v>0</v>
      </c>
      <c r="M23">
        <v>0</v>
      </c>
      <c r="N23">
        <v>0</v>
      </c>
      <c r="P23">
        <v>0</v>
      </c>
      <c r="Q23">
        <v>0</v>
      </c>
      <c r="R23">
        <v>0</v>
      </c>
      <c r="S23">
        <v>1009008</v>
      </c>
      <c r="T23">
        <v>0</v>
      </c>
      <c r="U23">
        <v>9947488</v>
      </c>
      <c r="V23">
        <v>0</v>
      </c>
      <c r="W23">
        <v>0</v>
      </c>
      <c r="X23">
        <v>0</v>
      </c>
      <c r="Y23">
        <v>0</v>
      </c>
      <c r="Z23">
        <v>119956</v>
      </c>
      <c r="AA23">
        <v>-115567</v>
      </c>
      <c r="AB23">
        <v>0</v>
      </c>
      <c r="AC23">
        <v>0</v>
      </c>
      <c r="AD23">
        <v>0</v>
      </c>
      <c r="AE23">
        <v>518804</v>
      </c>
      <c r="AF23">
        <v>0</v>
      </c>
      <c r="AG23">
        <v>0</v>
      </c>
      <c r="AH23">
        <v>0</v>
      </c>
      <c r="AI23">
        <v>0</v>
      </c>
      <c r="AJ23">
        <v>1686096</v>
      </c>
      <c r="AK23">
        <v>0</v>
      </c>
      <c r="AL23">
        <v>0</v>
      </c>
      <c r="AM23">
        <v>0</v>
      </c>
      <c r="AN23">
        <v>0</v>
      </c>
      <c r="AP23">
        <v>0</v>
      </c>
      <c r="AQ23">
        <v>1102407</v>
      </c>
      <c r="AR23">
        <v>0</v>
      </c>
      <c r="AS23">
        <v>0</v>
      </c>
      <c r="AT23">
        <v>0</v>
      </c>
      <c r="AU23">
        <v>504238</v>
      </c>
      <c r="AV23">
        <v>0</v>
      </c>
      <c r="AX23">
        <v>0</v>
      </c>
      <c r="AY23">
        <v>0</v>
      </c>
      <c r="AZ23">
        <v>345611</v>
      </c>
      <c r="BA23">
        <v>0</v>
      </c>
      <c r="BB23">
        <v>0</v>
      </c>
      <c r="BC23">
        <v>-119458</v>
      </c>
      <c r="BD23">
        <v>0</v>
      </c>
      <c r="BE23">
        <v>1585645</v>
      </c>
      <c r="BH23">
        <v>0</v>
      </c>
      <c r="BI23">
        <v>0</v>
      </c>
      <c r="BJ23">
        <v>0</v>
      </c>
      <c r="BK23">
        <v>-580210</v>
      </c>
      <c r="BL23">
        <v>0</v>
      </c>
      <c r="BM23">
        <v>0</v>
      </c>
      <c r="BN23">
        <v>0</v>
      </c>
      <c r="BO23">
        <v>0</v>
      </c>
      <c r="BP23">
        <v>0</v>
      </c>
      <c r="BQ23">
        <v>0</v>
      </c>
      <c r="BR23">
        <v>0</v>
      </c>
      <c r="BS23">
        <v>0</v>
      </c>
      <c r="BT23">
        <v>0</v>
      </c>
      <c r="BU23">
        <v>0</v>
      </c>
      <c r="BV23">
        <v>0</v>
      </c>
      <c r="BW23">
        <v>0</v>
      </c>
      <c r="BX23">
        <v>0</v>
      </c>
      <c r="BY23">
        <v>0</v>
      </c>
      <c r="BZ23">
        <v>0</v>
      </c>
      <c r="CA23">
        <v>0</v>
      </c>
    </row>
    <row r="24" spans="1:79" x14ac:dyDescent="0.3">
      <c r="A24" s="155">
        <v>61</v>
      </c>
      <c r="B24" t="s">
        <v>254</v>
      </c>
      <c r="D24">
        <v>99.56</v>
      </c>
      <c r="E24">
        <v>99.87</v>
      </c>
      <c r="F24">
        <v>94.13</v>
      </c>
      <c r="G24">
        <v>99.2</v>
      </c>
      <c r="H24">
        <v>99.75</v>
      </c>
      <c r="I24">
        <v>90.13</v>
      </c>
      <c r="J24">
        <v>97.78</v>
      </c>
      <c r="K24">
        <v>97.68</v>
      </c>
      <c r="L24">
        <v>98.95</v>
      </c>
      <c r="M24">
        <v>94.35</v>
      </c>
      <c r="N24">
        <v>98.58</v>
      </c>
      <c r="P24">
        <v>99.42</v>
      </c>
      <c r="Q24">
        <v>99.74</v>
      </c>
      <c r="R24">
        <v>99.03</v>
      </c>
      <c r="S24">
        <v>99.21</v>
      </c>
      <c r="T24">
        <v>89.78</v>
      </c>
      <c r="U24">
        <v>97.84</v>
      </c>
      <c r="V24">
        <v>97.45</v>
      </c>
      <c r="W24">
        <v>99.43</v>
      </c>
      <c r="X24">
        <v>99.76</v>
      </c>
      <c r="Y24">
        <v>99.67</v>
      </c>
      <c r="Z24">
        <v>95.38</v>
      </c>
      <c r="AA24">
        <v>99.34</v>
      </c>
      <c r="AB24">
        <v>100</v>
      </c>
      <c r="AC24">
        <v>98.73</v>
      </c>
      <c r="AD24">
        <v>98.9</v>
      </c>
      <c r="AE24">
        <v>97.48</v>
      </c>
      <c r="AF24">
        <v>90.29</v>
      </c>
      <c r="AG24">
        <v>96.28</v>
      </c>
      <c r="AH24">
        <v>98.75</v>
      </c>
      <c r="AI24">
        <v>99.85</v>
      </c>
      <c r="AJ24">
        <v>95.22</v>
      </c>
      <c r="AK24">
        <v>96.36</v>
      </c>
      <c r="AL24">
        <v>97.76</v>
      </c>
      <c r="AM24">
        <v>99.57</v>
      </c>
      <c r="AN24">
        <v>97.17</v>
      </c>
      <c r="AP24">
        <v>99.68</v>
      </c>
      <c r="AQ24">
        <v>97.77</v>
      </c>
      <c r="AR24">
        <v>99.11</v>
      </c>
      <c r="AS24">
        <v>94.87</v>
      </c>
      <c r="AT24">
        <v>99.67</v>
      </c>
      <c r="AU24">
        <v>99.14</v>
      </c>
      <c r="AV24">
        <v>98.82</v>
      </c>
      <c r="AX24">
        <v>99.25</v>
      </c>
      <c r="AY24">
        <v>97.8</v>
      </c>
      <c r="AZ24">
        <v>98.97</v>
      </c>
      <c r="BA24">
        <v>93.24</v>
      </c>
      <c r="BB24">
        <v>98.94</v>
      </c>
      <c r="BC24">
        <v>97.5</v>
      </c>
      <c r="BD24">
        <v>97.26</v>
      </c>
      <c r="BE24">
        <v>93.39</v>
      </c>
      <c r="BH24">
        <v>98.73</v>
      </c>
      <c r="BI24">
        <v>98.52</v>
      </c>
      <c r="BJ24">
        <v>94.08</v>
      </c>
      <c r="BK24">
        <v>99.88</v>
      </c>
      <c r="BL24">
        <v>99.68</v>
      </c>
      <c r="BM24">
        <v>0</v>
      </c>
      <c r="BN24">
        <v>99.53</v>
      </c>
      <c r="BO24">
        <v>93.77</v>
      </c>
      <c r="BP24">
        <v>98.09</v>
      </c>
      <c r="BQ24">
        <v>99.4</v>
      </c>
      <c r="BR24">
        <v>99.97</v>
      </c>
      <c r="BS24">
        <v>99.52</v>
      </c>
      <c r="BT24">
        <v>84.41</v>
      </c>
      <c r="BU24">
        <v>99.12</v>
      </c>
      <c r="BV24">
        <v>95.14</v>
      </c>
      <c r="BW24">
        <v>99.7</v>
      </c>
      <c r="BX24">
        <v>97.36</v>
      </c>
      <c r="BY24">
        <v>99.27</v>
      </c>
      <c r="BZ24">
        <v>99.76</v>
      </c>
      <c r="CA24">
        <v>93.89</v>
      </c>
    </row>
    <row r="25" spans="1:79" x14ac:dyDescent="0.3">
      <c r="A25" s="155">
        <v>80</v>
      </c>
      <c r="B25" t="s">
        <v>209</v>
      </c>
      <c r="D25">
        <v>0</v>
      </c>
      <c r="E25">
        <v>0</v>
      </c>
      <c r="F25">
        <v>252338</v>
      </c>
      <c r="G25">
        <v>55540848</v>
      </c>
      <c r="H25">
        <v>9550687</v>
      </c>
      <c r="I25">
        <v>229515</v>
      </c>
      <c r="J25">
        <v>6497405</v>
      </c>
      <c r="K25">
        <v>716449</v>
      </c>
      <c r="L25">
        <v>14385134</v>
      </c>
      <c r="M25">
        <v>0</v>
      </c>
      <c r="N25">
        <v>1708328</v>
      </c>
      <c r="P25">
        <v>0</v>
      </c>
      <c r="Q25">
        <v>8063107</v>
      </c>
      <c r="R25">
        <v>7155256</v>
      </c>
      <c r="S25">
        <v>7288181</v>
      </c>
      <c r="T25">
        <v>28098</v>
      </c>
      <c r="U25">
        <v>12161738</v>
      </c>
      <c r="V25">
        <v>0</v>
      </c>
      <c r="W25">
        <v>0</v>
      </c>
      <c r="X25">
        <v>0</v>
      </c>
      <c r="Y25">
        <v>3327113</v>
      </c>
      <c r="Z25">
        <v>958372</v>
      </c>
      <c r="AA25">
        <v>1049354</v>
      </c>
      <c r="AB25">
        <v>0</v>
      </c>
      <c r="AC25">
        <v>83004</v>
      </c>
      <c r="AD25">
        <v>2257700</v>
      </c>
      <c r="AE25">
        <v>2238119</v>
      </c>
      <c r="AF25">
        <v>39268</v>
      </c>
      <c r="AG25">
        <v>0</v>
      </c>
      <c r="AH25">
        <v>0</v>
      </c>
      <c r="AI25">
        <v>0</v>
      </c>
      <c r="AJ25">
        <v>2668236</v>
      </c>
      <c r="AK25">
        <v>100651</v>
      </c>
      <c r="AL25">
        <v>0</v>
      </c>
      <c r="AM25">
        <v>0</v>
      </c>
      <c r="AN25">
        <v>10909415</v>
      </c>
      <c r="AP25">
        <v>0</v>
      </c>
      <c r="AQ25">
        <v>5517103</v>
      </c>
      <c r="AR25">
        <v>889111</v>
      </c>
      <c r="AS25">
        <v>263869</v>
      </c>
      <c r="AT25">
        <v>1104928</v>
      </c>
      <c r="AU25">
        <v>7805955</v>
      </c>
      <c r="AV25">
        <v>1302798</v>
      </c>
      <c r="AX25">
        <v>949613</v>
      </c>
      <c r="AY25">
        <v>1188711</v>
      </c>
      <c r="AZ25">
        <v>1735887</v>
      </c>
      <c r="BA25">
        <v>5335</v>
      </c>
      <c r="BB25">
        <v>466699</v>
      </c>
      <c r="BC25">
        <v>48595</v>
      </c>
      <c r="BD25">
        <v>0</v>
      </c>
      <c r="BE25">
        <v>4325187</v>
      </c>
      <c r="BH25">
        <v>697700</v>
      </c>
      <c r="BI25">
        <v>2493203</v>
      </c>
      <c r="BJ25">
        <v>0</v>
      </c>
      <c r="BK25">
        <v>5836048</v>
      </c>
      <c r="BL25">
        <v>3553312</v>
      </c>
      <c r="BM25">
        <v>0</v>
      </c>
      <c r="BN25">
        <v>2556527</v>
      </c>
      <c r="BO25">
        <v>3928745</v>
      </c>
      <c r="BP25">
        <v>1563787</v>
      </c>
      <c r="BQ25">
        <v>2817493</v>
      </c>
      <c r="BR25">
        <v>0</v>
      </c>
      <c r="BS25">
        <v>0</v>
      </c>
      <c r="BT25">
        <v>1024178</v>
      </c>
      <c r="BU25">
        <v>1948068</v>
      </c>
      <c r="BV25">
        <v>720068</v>
      </c>
      <c r="BW25">
        <v>1606939</v>
      </c>
      <c r="BX25">
        <v>0</v>
      </c>
      <c r="BY25">
        <v>0</v>
      </c>
      <c r="BZ25">
        <v>10061364</v>
      </c>
      <c r="CA25">
        <v>0</v>
      </c>
    </row>
    <row r="26" spans="1:79" x14ac:dyDescent="0.3">
      <c r="A26" s="155">
        <v>81</v>
      </c>
      <c r="B26" t="s">
        <v>210</v>
      </c>
      <c r="D26">
        <v>0</v>
      </c>
      <c r="E26">
        <v>0</v>
      </c>
      <c r="F26">
        <v>45889</v>
      </c>
      <c r="G26">
        <v>3040060</v>
      </c>
      <c r="H26">
        <v>284973</v>
      </c>
      <c r="I26">
        <v>24104</v>
      </c>
      <c r="J26">
        <v>58246</v>
      </c>
      <c r="K26">
        <v>206581</v>
      </c>
      <c r="L26">
        <v>5252954</v>
      </c>
      <c r="M26">
        <v>0</v>
      </c>
      <c r="N26">
        <v>79991</v>
      </c>
      <c r="P26">
        <v>0</v>
      </c>
      <c r="Q26">
        <v>1038068</v>
      </c>
      <c r="R26">
        <v>492399</v>
      </c>
      <c r="S26">
        <v>653102</v>
      </c>
      <c r="T26">
        <v>35080</v>
      </c>
      <c r="U26">
        <v>2141092</v>
      </c>
      <c r="V26">
        <v>0</v>
      </c>
      <c r="W26">
        <v>0</v>
      </c>
      <c r="X26">
        <v>0</v>
      </c>
      <c r="Y26">
        <v>400526</v>
      </c>
      <c r="Z26">
        <v>60404</v>
      </c>
      <c r="AA26">
        <v>223516</v>
      </c>
      <c r="AB26">
        <v>0</v>
      </c>
      <c r="AC26">
        <v>32002</v>
      </c>
      <c r="AD26">
        <v>165675</v>
      </c>
      <c r="AE26">
        <v>451673</v>
      </c>
      <c r="AF26">
        <v>11804</v>
      </c>
      <c r="AG26">
        <v>0</v>
      </c>
      <c r="AH26">
        <v>0</v>
      </c>
      <c r="AI26">
        <v>0</v>
      </c>
      <c r="AJ26">
        <v>697764</v>
      </c>
      <c r="AK26">
        <v>16584</v>
      </c>
      <c r="AL26">
        <v>0</v>
      </c>
      <c r="AM26">
        <v>0</v>
      </c>
      <c r="AN26">
        <v>401210</v>
      </c>
      <c r="AP26">
        <v>0</v>
      </c>
      <c r="AQ26">
        <v>1590689</v>
      </c>
      <c r="AR26">
        <v>260804</v>
      </c>
      <c r="AS26">
        <v>29535</v>
      </c>
      <c r="AT26">
        <v>295257</v>
      </c>
      <c r="AU26">
        <v>670213</v>
      </c>
      <c r="AV26">
        <v>43140</v>
      </c>
      <c r="AX26">
        <v>159961</v>
      </c>
      <c r="AY26">
        <v>182393</v>
      </c>
      <c r="AZ26">
        <v>402301</v>
      </c>
      <c r="BA26">
        <v>0</v>
      </c>
      <c r="BB26">
        <v>162284</v>
      </c>
      <c r="BC26">
        <v>109173</v>
      </c>
      <c r="BD26">
        <v>0</v>
      </c>
      <c r="BE26">
        <v>4671442</v>
      </c>
      <c r="BH26">
        <v>161540</v>
      </c>
      <c r="BI26">
        <v>171698</v>
      </c>
      <c r="BJ26">
        <v>60253</v>
      </c>
      <c r="BK26">
        <v>219639</v>
      </c>
      <c r="BL26">
        <v>259555</v>
      </c>
      <c r="BM26">
        <v>0</v>
      </c>
      <c r="BN26">
        <v>578015</v>
      </c>
      <c r="BO26">
        <v>109255</v>
      </c>
      <c r="BP26">
        <v>71373</v>
      </c>
      <c r="BQ26">
        <v>166814</v>
      </c>
      <c r="BR26">
        <v>0</v>
      </c>
      <c r="BS26">
        <v>0</v>
      </c>
      <c r="BT26">
        <v>153209</v>
      </c>
      <c r="BU26">
        <v>454823</v>
      </c>
      <c r="BV26">
        <v>41683</v>
      </c>
      <c r="BW26">
        <v>93837</v>
      </c>
      <c r="BX26">
        <v>0</v>
      </c>
      <c r="BY26">
        <v>0</v>
      </c>
      <c r="BZ26">
        <v>1107036</v>
      </c>
      <c r="CA26">
        <v>0</v>
      </c>
    </row>
    <row r="27" spans="1:79" x14ac:dyDescent="0.3">
      <c r="A27" s="155">
        <v>82</v>
      </c>
      <c r="B27" t="s">
        <v>307</v>
      </c>
      <c r="D27">
        <v>0</v>
      </c>
      <c r="E27">
        <v>0</v>
      </c>
      <c r="F27">
        <v>0</v>
      </c>
      <c r="G27">
        <v>50328714</v>
      </c>
      <c r="H27">
        <v>1152161</v>
      </c>
      <c r="I27">
        <v>36000</v>
      </c>
      <c r="J27">
        <v>0</v>
      </c>
      <c r="K27">
        <v>2320527</v>
      </c>
      <c r="L27">
        <v>60861029</v>
      </c>
      <c r="M27">
        <v>0</v>
      </c>
      <c r="N27">
        <v>0</v>
      </c>
      <c r="P27">
        <v>0</v>
      </c>
      <c r="Q27">
        <v>24635</v>
      </c>
      <c r="R27">
        <v>9444755</v>
      </c>
      <c r="S27">
        <v>20320041</v>
      </c>
      <c r="T27">
        <v>0</v>
      </c>
      <c r="U27">
        <v>11426475</v>
      </c>
      <c r="V27">
        <v>0</v>
      </c>
      <c r="W27">
        <v>0</v>
      </c>
      <c r="X27">
        <v>0</v>
      </c>
      <c r="Y27">
        <v>1985600</v>
      </c>
      <c r="Z27">
        <v>496969</v>
      </c>
      <c r="AA27">
        <v>799724</v>
      </c>
      <c r="AB27">
        <v>0</v>
      </c>
      <c r="AC27">
        <v>171667</v>
      </c>
      <c r="AD27">
        <v>1326211</v>
      </c>
      <c r="AE27">
        <v>4656977</v>
      </c>
      <c r="AF27">
        <v>0</v>
      </c>
      <c r="AG27">
        <v>0</v>
      </c>
      <c r="AH27">
        <v>0</v>
      </c>
      <c r="AI27">
        <v>0</v>
      </c>
      <c r="AJ27">
        <v>2663947</v>
      </c>
      <c r="AK27">
        <v>0</v>
      </c>
      <c r="AL27">
        <v>0</v>
      </c>
      <c r="AM27">
        <v>0</v>
      </c>
      <c r="AN27">
        <v>21115739</v>
      </c>
      <c r="AP27">
        <v>0</v>
      </c>
      <c r="AQ27">
        <v>5472448</v>
      </c>
      <c r="AR27">
        <v>42450</v>
      </c>
      <c r="AS27">
        <v>281500</v>
      </c>
      <c r="AT27">
        <v>0</v>
      </c>
      <c r="AU27">
        <v>2428750</v>
      </c>
      <c r="AV27">
        <v>125103</v>
      </c>
      <c r="AX27">
        <v>0</v>
      </c>
      <c r="AY27">
        <v>267699</v>
      </c>
      <c r="AZ27">
        <v>3068202</v>
      </c>
      <c r="BA27">
        <v>0</v>
      </c>
      <c r="BB27">
        <v>688684</v>
      </c>
      <c r="BC27">
        <v>873527</v>
      </c>
      <c r="BD27">
        <v>0</v>
      </c>
      <c r="BE27">
        <v>4824512</v>
      </c>
      <c r="BH27">
        <v>674642</v>
      </c>
      <c r="BI27">
        <v>977766</v>
      </c>
      <c r="BJ27">
        <v>0</v>
      </c>
      <c r="BK27">
        <v>382680</v>
      </c>
      <c r="BL27">
        <v>731059</v>
      </c>
      <c r="BM27">
        <v>0</v>
      </c>
      <c r="BN27">
        <v>1057146</v>
      </c>
      <c r="BO27">
        <v>513456</v>
      </c>
      <c r="BP27">
        <v>643242</v>
      </c>
      <c r="BQ27">
        <v>1494213</v>
      </c>
      <c r="BR27">
        <v>0</v>
      </c>
      <c r="BS27">
        <v>0</v>
      </c>
      <c r="BT27">
        <v>206822</v>
      </c>
      <c r="BU27">
        <v>772456</v>
      </c>
      <c r="BV27">
        <v>630162</v>
      </c>
      <c r="BW27">
        <v>0</v>
      </c>
      <c r="BX27">
        <v>0</v>
      </c>
      <c r="BY27">
        <v>0</v>
      </c>
      <c r="BZ27">
        <v>16928873</v>
      </c>
      <c r="CA27">
        <v>0</v>
      </c>
    </row>
    <row r="28" spans="1:79" x14ac:dyDescent="0.3">
      <c r="A28" s="155">
        <v>83</v>
      </c>
      <c r="B28" t="s">
        <v>94</v>
      </c>
      <c r="D28">
        <v>0</v>
      </c>
      <c r="E28">
        <v>0</v>
      </c>
      <c r="F28">
        <v>801804</v>
      </c>
      <c r="G28">
        <v>78080864</v>
      </c>
      <c r="H28">
        <v>24798266</v>
      </c>
      <c r="I28">
        <v>382879</v>
      </c>
      <c r="J28">
        <v>11283967</v>
      </c>
      <c r="K28">
        <v>5586148</v>
      </c>
      <c r="L28">
        <v>83458913</v>
      </c>
      <c r="M28">
        <v>0</v>
      </c>
      <c r="N28">
        <v>2901247</v>
      </c>
      <c r="P28">
        <v>0</v>
      </c>
      <c r="Q28">
        <v>24562497</v>
      </c>
      <c r="R28">
        <v>25206030</v>
      </c>
      <c r="S28">
        <v>35732802</v>
      </c>
      <c r="T28">
        <v>2200723</v>
      </c>
      <c r="U28">
        <v>78391432</v>
      </c>
      <c r="V28">
        <v>0</v>
      </c>
      <c r="W28">
        <v>0</v>
      </c>
      <c r="X28">
        <v>0</v>
      </c>
      <c r="Y28">
        <v>8112107</v>
      </c>
      <c r="Z28">
        <v>8843702</v>
      </c>
      <c r="AA28">
        <v>7473842</v>
      </c>
      <c r="AB28">
        <v>0</v>
      </c>
      <c r="AC28">
        <v>249910</v>
      </c>
      <c r="AD28">
        <v>9062923</v>
      </c>
      <c r="AE28">
        <v>9651771</v>
      </c>
      <c r="AF28">
        <v>626155</v>
      </c>
      <c r="AG28">
        <v>0</v>
      </c>
      <c r="AH28">
        <v>0</v>
      </c>
      <c r="AI28">
        <v>0</v>
      </c>
      <c r="AJ28">
        <v>38723322</v>
      </c>
      <c r="AK28">
        <v>1667181</v>
      </c>
      <c r="AL28">
        <v>0</v>
      </c>
      <c r="AM28">
        <v>0</v>
      </c>
      <c r="AN28">
        <v>59007738</v>
      </c>
      <c r="AP28">
        <v>0</v>
      </c>
      <c r="AQ28">
        <v>45216543</v>
      </c>
      <c r="AR28">
        <v>6345763</v>
      </c>
      <c r="AS28">
        <v>4122684</v>
      </c>
      <c r="AT28">
        <v>5689199</v>
      </c>
      <c r="AU28">
        <v>28907508</v>
      </c>
      <c r="AV28">
        <v>1738046</v>
      </c>
      <c r="AX28">
        <v>12824838</v>
      </c>
      <c r="AY28">
        <v>8724561</v>
      </c>
      <c r="AZ28">
        <v>13041863</v>
      </c>
      <c r="BA28">
        <v>-32511</v>
      </c>
      <c r="BB28">
        <v>3064601</v>
      </c>
      <c r="BC28">
        <v>2157951</v>
      </c>
      <c r="BD28">
        <v>0</v>
      </c>
      <c r="BE28">
        <v>54525737</v>
      </c>
      <c r="BH28">
        <v>5532935</v>
      </c>
      <c r="BI28">
        <v>6702478</v>
      </c>
      <c r="BJ28">
        <v>6493984</v>
      </c>
      <c r="BK28">
        <v>13611847</v>
      </c>
      <c r="BL28">
        <v>7171675</v>
      </c>
      <c r="BM28">
        <v>0</v>
      </c>
      <c r="BN28">
        <v>19443184</v>
      </c>
      <c r="BO28">
        <v>11916074</v>
      </c>
      <c r="BP28">
        <v>8168138</v>
      </c>
      <c r="BQ28">
        <v>6875481</v>
      </c>
      <c r="BR28">
        <v>0</v>
      </c>
      <c r="BS28">
        <v>0</v>
      </c>
      <c r="BT28">
        <v>6435158</v>
      </c>
      <c r="BU28">
        <v>13528582</v>
      </c>
      <c r="BV28">
        <v>5419594</v>
      </c>
      <c r="BW28">
        <v>3062385</v>
      </c>
      <c r="BX28">
        <v>0</v>
      </c>
      <c r="BY28">
        <v>0</v>
      </c>
      <c r="BZ28">
        <v>65364887</v>
      </c>
      <c r="CA28">
        <v>0</v>
      </c>
    </row>
    <row r="29" spans="1:79" x14ac:dyDescent="0.3">
      <c r="A29" s="155">
        <v>84</v>
      </c>
      <c r="B29" t="s">
        <v>218</v>
      </c>
      <c r="D29">
        <v>0</v>
      </c>
      <c r="E29">
        <v>0</v>
      </c>
      <c r="F29">
        <v>285911</v>
      </c>
      <c r="G29">
        <v>25423026</v>
      </c>
      <c r="H29">
        <v>3956659</v>
      </c>
      <c r="I29">
        <v>341799</v>
      </c>
      <c r="J29">
        <v>862766</v>
      </c>
      <c r="K29">
        <v>928155</v>
      </c>
      <c r="L29">
        <v>23548298</v>
      </c>
      <c r="M29">
        <v>0</v>
      </c>
      <c r="N29">
        <v>596284</v>
      </c>
      <c r="P29">
        <v>0</v>
      </c>
      <c r="Q29">
        <v>6028722</v>
      </c>
      <c r="R29">
        <v>6628922</v>
      </c>
      <c r="S29">
        <v>7021868</v>
      </c>
      <c r="T29">
        <v>152703</v>
      </c>
      <c r="U29">
        <v>18279233</v>
      </c>
      <c r="V29">
        <v>0</v>
      </c>
      <c r="W29">
        <v>0</v>
      </c>
      <c r="X29">
        <v>0</v>
      </c>
      <c r="Y29">
        <v>2442991</v>
      </c>
      <c r="Z29">
        <v>1333768</v>
      </c>
      <c r="AA29">
        <v>1612864</v>
      </c>
      <c r="AB29">
        <v>0</v>
      </c>
      <c r="AC29">
        <v>131668</v>
      </c>
      <c r="AD29">
        <v>1134301</v>
      </c>
      <c r="AE29">
        <v>2327422</v>
      </c>
      <c r="AF29">
        <v>48021</v>
      </c>
      <c r="AG29">
        <v>0</v>
      </c>
      <c r="AH29">
        <v>0</v>
      </c>
      <c r="AI29">
        <v>0</v>
      </c>
      <c r="AJ29">
        <v>6519623</v>
      </c>
      <c r="AK29">
        <v>116266</v>
      </c>
      <c r="AL29">
        <v>0</v>
      </c>
      <c r="AM29">
        <v>0</v>
      </c>
      <c r="AN29">
        <v>9676170</v>
      </c>
      <c r="AP29">
        <v>0</v>
      </c>
      <c r="AQ29">
        <v>11998946</v>
      </c>
      <c r="AR29">
        <v>992751</v>
      </c>
      <c r="AS29">
        <v>331922</v>
      </c>
      <c r="AT29">
        <v>2453024</v>
      </c>
      <c r="AU29">
        <v>8284548</v>
      </c>
      <c r="AV29">
        <v>433447</v>
      </c>
      <c r="AX29">
        <v>2656257</v>
      </c>
      <c r="AY29">
        <v>1998338</v>
      </c>
      <c r="AZ29">
        <v>3465257</v>
      </c>
      <c r="BA29">
        <v>7789</v>
      </c>
      <c r="BB29">
        <v>1439502</v>
      </c>
      <c r="BC29">
        <v>459466</v>
      </c>
      <c r="BD29">
        <v>0</v>
      </c>
      <c r="BE29">
        <v>12936696</v>
      </c>
      <c r="BH29">
        <v>1706655</v>
      </c>
      <c r="BI29">
        <v>1165645</v>
      </c>
      <c r="BJ29">
        <v>363088</v>
      </c>
      <c r="BK29">
        <v>2435200</v>
      </c>
      <c r="BL29">
        <v>1894229</v>
      </c>
      <c r="BM29">
        <v>0</v>
      </c>
      <c r="BN29">
        <v>4154438</v>
      </c>
      <c r="BO29">
        <v>1195664</v>
      </c>
      <c r="BP29">
        <v>795943</v>
      </c>
      <c r="BQ29">
        <v>1610163</v>
      </c>
      <c r="BR29">
        <v>0</v>
      </c>
      <c r="BS29">
        <v>0</v>
      </c>
      <c r="BT29">
        <v>726859</v>
      </c>
      <c r="BU29">
        <v>3135200</v>
      </c>
      <c r="BV29">
        <v>515236</v>
      </c>
      <c r="BW29">
        <v>879568</v>
      </c>
      <c r="BX29">
        <v>0</v>
      </c>
      <c r="BY29">
        <v>0</v>
      </c>
      <c r="BZ29">
        <v>9709101</v>
      </c>
      <c r="CA29">
        <v>0</v>
      </c>
    </row>
    <row r="30" spans="1:79" x14ac:dyDescent="0.3">
      <c r="A30" s="155">
        <v>85</v>
      </c>
      <c r="B30" t="s">
        <v>220</v>
      </c>
      <c r="D30">
        <v>0</v>
      </c>
      <c r="E30">
        <v>0</v>
      </c>
      <c r="F30">
        <v>312069</v>
      </c>
      <c r="G30">
        <v>21741415</v>
      </c>
      <c r="H30">
        <v>3185142</v>
      </c>
      <c r="I30">
        <v>218815</v>
      </c>
      <c r="J30">
        <v>970489</v>
      </c>
      <c r="K30">
        <v>900660</v>
      </c>
      <c r="L30">
        <v>18366628</v>
      </c>
      <c r="M30">
        <v>0</v>
      </c>
      <c r="N30">
        <v>767026</v>
      </c>
      <c r="P30">
        <v>0</v>
      </c>
      <c r="Q30">
        <v>4122059</v>
      </c>
      <c r="R30">
        <v>6064048</v>
      </c>
      <c r="S30">
        <v>7937391</v>
      </c>
      <c r="T30">
        <v>236632</v>
      </c>
      <c r="U30">
        <v>15571564</v>
      </c>
      <c r="V30">
        <v>0</v>
      </c>
      <c r="W30">
        <v>0</v>
      </c>
      <c r="X30">
        <v>0</v>
      </c>
      <c r="Y30">
        <v>2009479</v>
      </c>
      <c r="Z30">
        <v>1317891</v>
      </c>
      <c r="AA30">
        <v>1619433</v>
      </c>
      <c r="AB30">
        <v>0</v>
      </c>
      <c r="AC30">
        <v>88914</v>
      </c>
      <c r="AD30">
        <v>780835</v>
      </c>
      <c r="AE30">
        <v>2046454</v>
      </c>
      <c r="AF30">
        <v>79684</v>
      </c>
      <c r="AG30">
        <v>0</v>
      </c>
      <c r="AH30">
        <v>0</v>
      </c>
      <c r="AI30">
        <v>1497</v>
      </c>
      <c r="AJ30">
        <v>6948176</v>
      </c>
      <c r="AK30">
        <v>250077</v>
      </c>
      <c r="AL30">
        <v>0</v>
      </c>
      <c r="AM30">
        <v>0</v>
      </c>
      <c r="AN30">
        <v>7841591</v>
      </c>
      <c r="AP30">
        <v>0</v>
      </c>
      <c r="AQ30">
        <v>11760246</v>
      </c>
      <c r="AR30">
        <v>1400897</v>
      </c>
      <c r="AS30">
        <v>429651</v>
      </c>
      <c r="AT30">
        <v>2475534</v>
      </c>
      <c r="AU30">
        <v>6959879</v>
      </c>
      <c r="AV30">
        <v>343959</v>
      </c>
      <c r="AX30">
        <v>1437399</v>
      </c>
      <c r="AY30">
        <v>2075126</v>
      </c>
      <c r="AZ30">
        <v>3434178</v>
      </c>
      <c r="BA30">
        <v>14124</v>
      </c>
      <c r="BB30">
        <v>1386824</v>
      </c>
      <c r="BC30">
        <v>556613</v>
      </c>
      <c r="BD30">
        <v>0</v>
      </c>
      <c r="BE30">
        <v>11209299</v>
      </c>
      <c r="BH30">
        <v>1942785</v>
      </c>
      <c r="BI30">
        <v>848571</v>
      </c>
      <c r="BJ30">
        <v>635017</v>
      </c>
      <c r="BK30">
        <v>2777360</v>
      </c>
      <c r="BL30">
        <v>1894983</v>
      </c>
      <c r="BM30">
        <v>0</v>
      </c>
      <c r="BN30">
        <v>4605349</v>
      </c>
      <c r="BO30">
        <v>1084267</v>
      </c>
      <c r="BP30">
        <v>823541</v>
      </c>
      <c r="BQ30">
        <v>1620142</v>
      </c>
      <c r="BR30">
        <v>0</v>
      </c>
      <c r="BS30">
        <v>0</v>
      </c>
      <c r="BT30">
        <v>992864</v>
      </c>
      <c r="BU30">
        <v>2114914</v>
      </c>
      <c r="BV30">
        <v>650845</v>
      </c>
      <c r="BW30">
        <v>675331</v>
      </c>
      <c r="BX30">
        <v>0</v>
      </c>
      <c r="BY30">
        <v>0</v>
      </c>
      <c r="BZ30">
        <v>7460966</v>
      </c>
      <c r="CA30">
        <v>0</v>
      </c>
    </row>
    <row r="31" spans="1:79" x14ac:dyDescent="0.3">
      <c r="A31" s="155">
        <v>88</v>
      </c>
      <c r="B31" t="s">
        <v>217</v>
      </c>
      <c r="D31">
        <v>0</v>
      </c>
      <c r="E31">
        <v>0</v>
      </c>
      <c r="F31">
        <v>285911</v>
      </c>
      <c r="G31">
        <v>25423026</v>
      </c>
      <c r="H31">
        <v>3893488</v>
      </c>
      <c r="I31">
        <v>231695</v>
      </c>
      <c r="J31">
        <v>796631</v>
      </c>
      <c r="K31">
        <v>761308</v>
      </c>
      <c r="L31">
        <v>21398846</v>
      </c>
      <c r="M31">
        <v>0</v>
      </c>
      <c r="N31">
        <v>570635</v>
      </c>
      <c r="P31">
        <v>0</v>
      </c>
      <c r="Q31">
        <v>4926994</v>
      </c>
      <c r="R31">
        <v>6345913</v>
      </c>
      <c r="S31">
        <v>6971385</v>
      </c>
      <c r="T31">
        <v>152703</v>
      </c>
      <c r="U31">
        <v>17270788</v>
      </c>
      <c r="V31">
        <v>0</v>
      </c>
      <c r="W31">
        <v>0</v>
      </c>
      <c r="X31">
        <v>0</v>
      </c>
      <c r="Y31">
        <v>2437216</v>
      </c>
      <c r="Z31">
        <v>1314848</v>
      </c>
      <c r="AA31">
        <v>1564834</v>
      </c>
      <c r="AB31">
        <v>0</v>
      </c>
      <c r="AC31">
        <v>131668</v>
      </c>
      <c r="AD31">
        <v>1101721</v>
      </c>
      <c r="AE31">
        <v>2119495</v>
      </c>
      <c r="AF31">
        <v>48021</v>
      </c>
      <c r="AG31">
        <v>0</v>
      </c>
      <c r="AH31">
        <v>0</v>
      </c>
      <c r="AI31">
        <v>0</v>
      </c>
      <c r="AJ31">
        <v>5908827</v>
      </c>
      <c r="AK31">
        <v>116266</v>
      </c>
      <c r="AL31">
        <v>0</v>
      </c>
      <c r="AM31">
        <v>0</v>
      </c>
      <c r="AN31">
        <v>9662010</v>
      </c>
      <c r="AP31">
        <v>0</v>
      </c>
      <c r="AQ31">
        <v>11372978</v>
      </c>
      <c r="AR31">
        <v>950634</v>
      </c>
      <c r="AS31">
        <v>331922</v>
      </c>
      <c r="AT31">
        <v>2418304</v>
      </c>
      <c r="AU31">
        <v>7680542</v>
      </c>
      <c r="AV31">
        <v>423306</v>
      </c>
      <c r="AX31">
        <v>1343641</v>
      </c>
      <c r="AY31">
        <v>1998338</v>
      </c>
      <c r="AZ31">
        <v>3290168</v>
      </c>
      <c r="BA31">
        <v>789</v>
      </c>
      <c r="BB31">
        <v>1338044</v>
      </c>
      <c r="BC31">
        <v>459466</v>
      </c>
      <c r="BD31">
        <v>0</v>
      </c>
      <c r="BE31">
        <v>9982086</v>
      </c>
      <c r="BH31">
        <v>1651913</v>
      </c>
      <c r="BI31">
        <v>921454</v>
      </c>
      <c r="BJ31">
        <v>335363</v>
      </c>
      <c r="BK31">
        <v>2259862</v>
      </c>
      <c r="BL31">
        <v>1789422</v>
      </c>
      <c r="BM31">
        <v>0</v>
      </c>
      <c r="BN31">
        <v>3950648</v>
      </c>
      <c r="BO31">
        <v>1168046</v>
      </c>
      <c r="BP31">
        <v>774005</v>
      </c>
      <c r="BQ31">
        <v>1508153</v>
      </c>
      <c r="BR31">
        <v>0</v>
      </c>
      <c r="BS31">
        <v>0</v>
      </c>
      <c r="BT31">
        <v>726859</v>
      </c>
      <c r="BU31">
        <v>2878153</v>
      </c>
      <c r="BV31">
        <v>515236</v>
      </c>
      <c r="BW31">
        <v>872693</v>
      </c>
      <c r="BX31">
        <v>0</v>
      </c>
      <c r="BY31">
        <v>0</v>
      </c>
      <c r="BZ31">
        <v>7616776</v>
      </c>
      <c r="CA31">
        <v>0</v>
      </c>
    </row>
    <row r="32" spans="1:79" x14ac:dyDescent="0.3">
      <c r="A32" s="155">
        <v>89</v>
      </c>
      <c r="B32" t="s">
        <v>221</v>
      </c>
      <c r="D32">
        <v>0</v>
      </c>
      <c r="E32">
        <v>0</v>
      </c>
      <c r="F32">
        <v>0</v>
      </c>
      <c r="G32">
        <v>1636328</v>
      </c>
      <c r="H32">
        <v>24546</v>
      </c>
      <c r="I32">
        <v>0</v>
      </c>
      <c r="J32">
        <v>0</v>
      </c>
      <c r="K32">
        <v>63638</v>
      </c>
      <c r="L32">
        <v>1126140</v>
      </c>
      <c r="M32">
        <v>0</v>
      </c>
      <c r="N32">
        <v>0</v>
      </c>
      <c r="P32">
        <v>0</v>
      </c>
      <c r="Q32">
        <v>0</v>
      </c>
      <c r="R32">
        <v>35824</v>
      </c>
      <c r="S32">
        <v>12662</v>
      </c>
      <c r="T32">
        <v>0</v>
      </c>
      <c r="U32">
        <v>83018</v>
      </c>
      <c r="V32">
        <v>0</v>
      </c>
      <c r="W32">
        <v>0</v>
      </c>
      <c r="X32">
        <v>0</v>
      </c>
      <c r="Y32">
        <v>51685</v>
      </c>
      <c r="Z32">
        <v>13276</v>
      </c>
      <c r="AA32">
        <v>6449</v>
      </c>
      <c r="AB32">
        <v>0</v>
      </c>
      <c r="AC32">
        <v>5459</v>
      </c>
      <c r="AD32">
        <v>39145</v>
      </c>
      <c r="AE32">
        <v>157994</v>
      </c>
      <c r="AF32">
        <v>0</v>
      </c>
      <c r="AG32">
        <v>0</v>
      </c>
      <c r="AH32">
        <v>0</v>
      </c>
      <c r="AI32">
        <v>0</v>
      </c>
      <c r="AJ32">
        <v>68689</v>
      </c>
      <c r="AK32">
        <v>0</v>
      </c>
      <c r="AL32">
        <v>0</v>
      </c>
      <c r="AM32">
        <v>0</v>
      </c>
      <c r="AN32">
        <v>320511</v>
      </c>
      <c r="AP32">
        <v>0</v>
      </c>
      <c r="AQ32">
        <v>64023</v>
      </c>
      <c r="AR32">
        <v>0</v>
      </c>
      <c r="AS32">
        <v>6545</v>
      </c>
      <c r="AT32">
        <v>0</v>
      </c>
      <c r="AU32">
        <v>85747</v>
      </c>
      <c r="AV32">
        <v>2388</v>
      </c>
      <c r="AX32">
        <v>0</v>
      </c>
      <c r="AY32">
        <v>8640</v>
      </c>
      <c r="AZ32">
        <v>96265</v>
      </c>
      <c r="BA32">
        <v>0</v>
      </c>
      <c r="BB32">
        <v>25973</v>
      </c>
      <c r="BC32">
        <v>26710</v>
      </c>
      <c r="BD32">
        <v>0</v>
      </c>
      <c r="BE32">
        <v>42585</v>
      </c>
      <c r="BH32">
        <v>31437</v>
      </c>
      <c r="BI32">
        <v>23955</v>
      </c>
      <c r="BJ32">
        <v>0</v>
      </c>
      <c r="BK32">
        <v>0</v>
      </c>
      <c r="BL32">
        <v>9117</v>
      </c>
      <c r="BM32">
        <v>0</v>
      </c>
      <c r="BN32">
        <v>11200</v>
      </c>
      <c r="BO32">
        <v>17742</v>
      </c>
      <c r="BP32">
        <v>23754</v>
      </c>
      <c r="BQ32">
        <v>0</v>
      </c>
      <c r="BR32">
        <v>0</v>
      </c>
      <c r="BS32">
        <v>0</v>
      </c>
      <c r="BT32">
        <v>6357</v>
      </c>
      <c r="BU32">
        <v>29497</v>
      </c>
      <c r="BV32">
        <v>0</v>
      </c>
      <c r="BW32">
        <v>0</v>
      </c>
      <c r="BX32">
        <v>0</v>
      </c>
      <c r="BY32">
        <v>0</v>
      </c>
      <c r="BZ32">
        <v>196006</v>
      </c>
      <c r="CA32">
        <v>0</v>
      </c>
    </row>
    <row r="33" spans="1:79" x14ac:dyDescent="0.3">
      <c r="A33" s="155">
        <v>90</v>
      </c>
      <c r="B33" t="s">
        <v>214</v>
      </c>
      <c r="D33">
        <v>0</v>
      </c>
      <c r="E33">
        <v>0</v>
      </c>
      <c r="F33">
        <v>0</v>
      </c>
      <c r="G33">
        <v>0</v>
      </c>
      <c r="H33">
        <v>0</v>
      </c>
      <c r="I33">
        <v>0</v>
      </c>
      <c r="J33">
        <v>0</v>
      </c>
      <c r="K33">
        <v>0</v>
      </c>
      <c r="L33">
        <v>0</v>
      </c>
      <c r="M33">
        <v>0</v>
      </c>
      <c r="N33">
        <v>0</v>
      </c>
      <c r="P33">
        <v>0</v>
      </c>
      <c r="Q33">
        <v>0</v>
      </c>
      <c r="R33">
        <v>0</v>
      </c>
      <c r="S33">
        <v>2927349</v>
      </c>
      <c r="T33">
        <v>0</v>
      </c>
      <c r="U33">
        <v>34878868</v>
      </c>
      <c r="V33">
        <v>0</v>
      </c>
      <c r="W33">
        <v>0</v>
      </c>
      <c r="X33">
        <v>0</v>
      </c>
      <c r="Y33">
        <v>0</v>
      </c>
      <c r="Z33">
        <v>722309</v>
      </c>
      <c r="AA33">
        <v>0</v>
      </c>
      <c r="AB33">
        <v>0</v>
      </c>
      <c r="AC33">
        <v>0</v>
      </c>
      <c r="AD33">
        <v>0</v>
      </c>
      <c r="AE33">
        <v>1843660</v>
      </c>
      <c r="AF33">
        <v>0</v>
      </c>
      <c r="AG33">
        <v>0</v>
      </c>
      <c r="AH33">
        <v>0</v>
      </c>
      <c r="AI33">
        <v>0</v>
      </c>
      <c r="AJ33">
        <v>1772411</v>
      </c>
      <c r="AK33">
        <v>0</v>
      </c>
      <c r="AL33">
        <v>0</v>
      </c>
      <c r="AM33">
        <v>0</v>
      </c>
      <c r="AN33">
        <v>0</v>
      </c>
      <c r="AP33">
        <v>0</v>
      </c>
      <c r="AQ33">
        <v>15280493</v>
      </c>
      <c r="AR33">
        <v>0</v>
      </c>
      <c r="AS33">
        <v>0</v>
      </c>
      <c r="AT33">
        <v>0</v>
      </c>
      <c r="AU33">
        <v>4830785</v>
      </c>
      <c r="AV33">
        <v>0</v>
      </c>
      <c r="AX33">
        <v>0</v>
      </c>
      <c r="AY33">
        <v>0</v>
      </c>
      <c r="AZ33">
        <v>996239</v>
      </c>
      <c r="BA33">
        <v>0</v>
      </c>
      <c r="BB33">
        <v>0</v>
      </c>
      <c r="BC33">
        <v>7192002</v>
      </c>
      <c r="BD33">
        <v>0</v>
      </c>
      <c r="BE33">
        <v>2687780</v>
      </c>
      <c r="BH33">
        <v>0</v>
      </c>
      <c r="BI33">
        <v>0</v>
      </c>
      <c r="BJ33">
        <v>0</v>
      </c>
      <c r="BK33">
        <v>2918403</v>
      </c>
      <c r="BL33">
        <v>0</v>
      </c>
      <c r="BM33">
        <v>0</v>
      </c>
      <c r="BN33">
        <v>0</v>
      </c>
      <c r="BO33">
        <v>0</v>
      </c>
      <c r="BP33">
        <v>0</v>
      </c>
      <c r="BQ33">
        <v>0</v>
      </c>
      <c r="BR33">
        <v>0</v>
      </c>
      <c r="BS33">
        <v>0</v>
      </c>
      <c r="BT33">
        <v>0</v>
      </c>
      <c r="BU33">
        <v>0</v>
      </c>
      <c r="BV33">
        <v>0</v>
      </c>
      <c r="BW33">
        <v>0</v>
      </c>
      <c r="BX33">
        <v>0</v>
      </c>
      <c r="BY33">
        <v>0</v>
      </c>
      <c r="BZ33">
        <v>0</v>
      </c>
      <c r="CA33">
        <v>0</v>
      </c>
    </row>
    <row r="34" spans="1:79" x14ac:dyDescent="0.3">
      <c r="A34" s="155">
        <v>91</v>
      </c>
      <c r="B34" t="s">
        <v>215</v>
      </c>
      <c r="D34">
        <v>0</v>
      </c>
      <c r="E34">
        <v>0</v>
      </c>
      <c r="F34">
        <v>0</v>
      </c>
      <c r="G34">
        <v>0</v>
      </c>
      <c r="H34">
        <v>0</v>
      </c>
      <c r="I34">
        <v>0</v>
      </c>
      <c r="J34">
        <v>0</v>
      </c>
      <c r="K34">
        <v>0</v>
      </c>
      <c r="L34">
        <v>0</v>
      </c>
      <c r="M34">
        <v>0</v>
      </c>
      <c r="N34">
        <v>0</v>
      </c>
      <c r="P34">
        <v>0</v>
      </c>
      <c r="Q34">
        <v>0</v>
      </c>
      <c r="R34">
        <v>0</v>
      </c>
      <c r="S34">
        <v>1408094</v>
      </c>
      <c r="T34">
        <v>0</v>
      </c>
      <c r="U34">
        <v>5709147</v>
      </c>
      <c r="V34">
        <v>0</v>
      </c>
      <c r="W34">
        <v>0</v>
      </c>
      <c r="X34">
        <v>0</v>
      </c>
      <c r="Y34">
        <v>0</v>
      </c>
      <c r="Z34">
        <v>133938</v>
      </c>
      <c r="AA34">
        <v>0</v>
      </c>
      <c r="AB34">
        <v>0</v>
      </c>
      <c r="AC34">
        <v>0</v>
      </c>
      <c r="AD34">
        <v>0</v>
      </c>
      <c r="AE34">
        <v>1076905</v>
      </c>
      <c r="AF34">
        <v>0</v>
      </c>
      <c r="AG34">
        <v>0</v>
      </c>
      <c r="AH34">
        <v>0</v>
      </c>
      <c r="AI34">
        <v>0</v>
      </c>
      <c r="AJ34">
        <v>1220634</v>
      </c>
      <c r="AK34">
        <v>0</v>
      </c>
      <c r="AL34">
        <v>0</v>
      </c>
      <c r="AM34">
        <v>0</v>
      </c>
      <c r="AN34">
        <v>0</v>
      </c>
      <c r="AP34">
        <v>0</v>
      </c>
      <c r="AQ34">
        <v>6351930</v>
      </c>
      <c r="AR34">
        <v>0</v>
      </c>
      <c r="AS34">
        <v>0</v>
      </c>
      <c r="AT34">
        <v>0</v>
      </c>
      <c r="AU34">
        <v>559574</v>
      </c>
      <c r="AV34">
        <v>0</v>
      </c>
      <c r="AX34">
        <v>0</v>
      </c>
      <c r="AY34">
        <v>0</v>
      </c>
      <c r="AZ34">
        <v>750330</v>
      </c>
      <c r="BA34">
        <v>0</v>
      </c>
      <c r="BB34">
        <v>0</v>
      </c>
      <c r="BC34">
        <v>269019</v>
      </c>
      <c r="BD34">
        <v>0</v>
      </c>
      <c r="BE34">
        <v>8338913</v>
      </c>
      <c r="BH34">
        <v>0</v>
      </c>
      <c r="BI34">
        <v>0</v>
      </c>
      <c r="BJ34">
        <v>0</v>
      </c>
      <c r="BK34">
        <v>568082</v>
      </c>
      <c r="BL34">
        <v>0</v>
      </c>
      <c r="BM34">
        <v>0</v>
      </c>
      <c r="BN34">
        <v>0</v>
      </c>
      <c r="BO34">
        <v>0</v>
      </c>
      <c r="BP34">
        <v>0</v>
      </c>
      <c r="BQ34">
        <v>0</v>
      </c>
      <c r="BR34">
        <v>0</v>
      </c>
      <c r="BS34">
        <v>0</v>
      </c>
      <c r="BT34">
        <v>0</v>
      </c>
      <c r="BU34">
        <v>0</v>
      </c>
      <c r="BV34">
        <v>0</v>
      </c>
      <c r="BW34">
        <v>0</v>
      </c>
      <c r="BX34">
        <v>0</v>
      </c>
      <c r="BY34">
        <v>0</v>
      </c>
      <c r="BZ34">
        <v>0</v>
      </c>
      <c r="CA34">
        <v>0</v>
      </c>
    </row>
    <row r="35" spans="1:79" x14ac:dyDescent="0.3">
      <c r="A35" s="155">
        <v>93</v>
      </c>
      <c r="B35" t="s">
        <v>228</v>
      </c>
      <c r="D35">
        <v>0</v>
      </c>
      <c r="E35">
        <v>0</v>
      </c>
      <c r="F35">
        <v>0</v>
      </c>
      <c r="G35">
        <v>0</v>
      </c>
      <c r="H35">
        <v>0</v>
      </c>
      <c r="I35">
        <v>0</v>
      </c>
      <c r="J35">
        <v>0</v>
      </c>
      <c r="K35">
        <v>0</v>
      </c>
      <c r="L35">
        <v>0</v>
      </c>
      <c r="M35">
        <v>0</v>
      </c>
      <c r="N35">
        <v>0</v>
      </c>
      <c r="P35">
        <v>0</v>
      </c>
      <c r="Q35">
        <v>0</v>
      </c>
      <c r="R35">
        <v>0</v>
      </c>
      <c r="S35">
        <v>14498908</v>
      </c>
      <c r="T35">
        <v>0</v>
      </c>
      <c r="U35">
        <v>47433657</v>
      </c>
      <c r="V35">
        <v>0</v>
      </c>
      <c r="W35">
        <v>0</v>
      </c>
      <c r="X35">
        <v>0</v>
      </c>
      <c r="Y35">
        <v>0</v>
      </c>
      <c r="Z35">
        <v>3506641</v>
      </c>
      <c r="AA35">
        <v>321999</v>
      </c>
      <c r="AB35">
        <v>0</v>
      </c>
      <c r="AC35">
        <v>0</v>
      </c>
      <c r="AD35">
        <v>0</v>
      </c>
      <c r="AE35">
        <v>5920638</v>
      </c>
      <c r="AF35">
        <v>0</v>
      </c>
      <c r="AG35">
        <v>0</v>
      </c>
      <c r="AH35">
        <v>0</v>
      </c>
      <c r="AI35">
        <v>0</v>
      </c>
      <c r="AJ35">
        <v>14783934</v>
      </c>
      <c r="AK35">
        <v>0</v>
      </c>
      <c r="AL35">
        <v>0</v>
      </c>
      <c r="AM35">
        <v>0</v>
      </c>
      <c r="AN35">
        <v>0</v>
      </c>
      <c r="AP35">
        <v>0</v>
      </c>
      <c r="AQ35">
        <v>46362739</v>
      </c>
      <c r="AR35">
        <v>0</v>
      </c>
      <c r="AS35">
        <v>0</v>
      </c>
      <c r="AT35">
        <v>0</v>
      </c>
      <c r="AU35">
        <v>7497646</v>
      </c>
      <c r="AV35">
        <v>0</v>
      </c>
      <c r="AX35">
        <v>0</v>
      </c>
      <c r="AY35">
        <v>0</v>
      </c>
      <c r="AZ35">
        <v>6712011</v>
      </c>
      <c r="BA35">
        <v>0</v>
      </c>
      <c r="BB35">
        <v>0</v>
      </c>
      <c r="BC35">
        <v>2002846</v>
      </c>
      <c r="BD35">
        <v>0</v>
      </c>
      <c r="BE35">
        <v>32672896</v>
      </c>
      <c r="BH35">
        <v>0</v>
      </c>
      <c r="BI35">
        <v>0</v>
      </c>
      <c r="BJ35">
        <v>0</v>
      </c>
      <c r="BK35">
        <v>6873922</v>
      </c>
      <c r="BL35">
        <v>0</v>
      </c>
      <c r="BM35">
        <v>0</v>
      </c>
      <c r="BN35">
        <v>0</v>
      </c>
      <c r="BO35">
        <v>0</v>
      </c>
      <c r="BP35">
        <v>0</v>
      </c>
      <c r="BQ35">
        <v>0</v>
      </c>
      <c r="BR35">
        <v>0</v>
      </c>
      <c r="BS35">
        <v>0</v>
      </c>
      <c r="BT35">
        <v>0</v>
      </c>
      <c r="BU35">
        <v>0</v>
      </c>
      <c r="BV35">
        <v>0</v>
      </c>
      <c r="BW35">
        <v>0</v>
      </c>
      <c r="BX35">
        <v>0</v>
      </c>
      <c r="BY35">
        <v>0</v>
      </c>
      <c r="BZ35">
        <v>0</v>
      </c>
      <c r="CA35">
        <v>0</v>
      </c>
    </row>
    <row r="36" spans="1:79" x14ac:dyDescent="0.3">
      <c r="A36" s="155">
        <v>94</v>
      </c>
      <c r="B36" t="s">
        <v>231</v>
      </c>
      <c r="D36">
        <v>0</v>
      </c>
      <c r="E36">
        <v>0</v>
      </c>
      <c r="F36">
        <v>0</v>
      </c>
      <c r="G36">
        <v>0</v>
      </c>
      <c r="H36">
        <v>0</v>
      </c>
      <c r="I36">
        <v>0</v>
      </c>
      <c r="J36">
        <v>0</v>
      </c>
      <c r="K36">
        <v>0</v>
      </c>
      <c r="L36">
        <v>0</v>
      </c>
      <c r="M36">
        <v>0</v>
      </c>
      <c r="N36">
        <v>0</v>
      </c>
      <c r="P36">
        <v>0</v>
      </c>
      <c r="Q36">
        <v>0</v>
      </c>
      <c r="R36">
        <v>0</v>
      </c>
      <c r="S36">
        <v>14625330</v>
      </c>
      <c r="T36">
        <v>0</v>
      </c>
      <c r="U36">
        <v>38287417</v>
      </c>
      <c r="V36">
        <v>0</v>
      </c>
      <c r="W36">
        <v>0</v>
      </c>
      <c r="X36">
        <v>0</v>
      </c>
      <c r="Y36">
        <v>0</v>
      </c>
      <c r="Z36">
        <v>3475528</v>
      </c>
      <c r="AA36">
        <v>504721</v>
      </c>
      <c r="AB36">
        <v>0</v>
      </c>
      <c r="AC36">
        <v>0</v>
      </c>
      <c r="AD36">
        <v>0</v>
      </c>
      <c r="AE36">
        <v>5532708</v>
      </c>
      <c r="AF36">
        <v>0</v>
      </c>
      <c r="AG36">
        <v>0</v>
      </c>
      <c r="AH36">
        <v>0</v>
      </c>
      <c r="AI36">
        <v>0</v>
      </c>
      <c r="AJ36">
        <v>13873273</v>
      </c>
      <c r="AK36">
        <v>0</v>
      </c>
      <c r="AL36">
        <v>0</v>
      </c>
      <c r="AM36">
        <v>0</v>
      </c>
      <c r="AN36">
        <v>0</v>
      </c>
      <c r="AP36">
        <v>0</v>
      </c>
      <c r="AQ36">
        <v>44529063</v>
      </c>
      <c r="AR36">
        <v>0</v>
      </c>
      <c r="AS36">
        <v>0</v>
      </c>
      <c r="AT36">
        <v>0</v>
      </c>
      <c r="AU36">
        <v>7514098</v>
      </c>
      <c r="AV36">
        <v>0</v>
      </c>
      <c r="AX36">
        <v>0</v>
      </c>
      <c r="AY36">
        <v>0</v>
      </c>
      <c r="AZ36">
        <v>6697823</v>
      </c>
      <c r="BA36">
        <v>0</v>
      </c>
      <c r="BB36">
        <v>0</v>
      </c>
      <c r="BC36">
        <v>2277571</v>
      </c>
      <c r="BD36">
        <v>0</v>
      </c>
      <c r="BE36">
        <v>30438324</v>
      </c>
      <c r="BH36">
        <v>0</v>
      </c>
      <c r="BI36">
        <v>0</v>
      </c>
      <c r="BJ36">
        <v>0</v>
      </c>
      <c r="BK36">
        <v>7505387</v>
      </c>
      <c r="BL36">
        <v>0</v>
      </c>
      <c r="BM36">
        <v>0</v>
      </c>
      <c r="BN36">
        <v>0</v>
      </c>
      <c r="BO36">
        <v>0</v>
      </c>
      <c r="BP36">
        <v>0</v>
      </c>
      <c r="BQ36">
        <v>0</v>
      </c>
      <c r="BR36">
        <v>0</v>
      </c>
      <c r="BS36">
        <v>0</v>
      </c>
      <c r="BT36">
        <v>0</v>
      </c>
      <c r="BU36">
        <v>0</v>
      </c>
      <c r="BV36">
        <v>0</v>
      </c>
      <c r="BW36">
        <v>0</v>
      </c>
      <c r="BX36">
        <v>0</v>
      </c>
      <c r="BY36">
        <v>0</v>
      </c>
      <c r="BZ36">
        <v>0</v>
      </c>
      <c r="CA36">
        <v>0</v>
      </c>
    </row>
    <row r="37" spans="1:79" x14ac:dyDescent="0.3">
      <c r="A37" s="155">
        <v>97</v>
      </c>
      <c r="B37" t="s">
        <v>227</v>
      </c>
      <c r="D37">
        <v>0</v>
      </c>
      <c r="E37">
        <v>0</v>
      </c>
      <c r="F37">
        <v>0</v>
      </c>
      <c r="G37">
        <v>0</v>
      </c>
      <c r="H37">
        <v>0</v>
      </c>
      <c r="I37">
        <v>0</v>
      </c>
      <c r="J37">
        <v>0</v>
      </c>
      <c r="K37">
        <v>0</v>
      </c>
      <c r="L37">
        <v>0</v>
      </c>
      <c r="M37">
        <v>0</v>
      </c>
      <c r="N37">
        <v>0</v>
      </c>
      <c r="P37">
        <v>0</v>
      </c>
      <c r="Q37">
        <v>0</v>
      </c>
      <c r="R37">
        <v>0</v>
      </c>
      <c r="S37">
        <v>14020654</v>
      </c>
      <c r="T37">
        <v>0</v>
      </c>
      <c r="U37">
        <v>47366821</v>
      </c>
      <c r="V37">
        <v>0</v>
      </c>
      <c r="W37">
        <v>0</v>
      </c>
      <c r="X37">
        <v>0</v>
      </c>
      <c r="Y37">
        <v>0</v>
      </c>
      <c r="Z37">
        <v>3505941</v>
      </c>
      <c r="AA37">
        <v>321999</v>
      </c>
      <c r="AB37">
        <v>0</v>
      </c>
      <c r="AC37">
        <v>0</v>
      </c>
      <c r="AD37">
        <v>0</v>
      </c>
      <c r="AE37">
        <v>5709274</v>
      </c>
      <c r="AF37">
        <v>0</v>
      </c>
      <c r="AG37">
        <v>0</v>
      </c>
      <c r="AH37">
        <v>0</v>
      </c>
      <c r="AI37">
        <v>0</v>
      </c>
      <c r="AJ37">
        <v>14088822</v>
      </c>
      <c r="AK37">
        <v>0</v>
      </c>
      <c r="AL37">
        <v>0</v>
      </c>
      <c r="AM37">
        <v>0</v>
      </c>
      <c r="AN37">
        <v>0</v>
      </c>
      <c r="AP37">
        <v>0</v>
      </c>
      <c r="AQ37">
        <v>46084870</v>
      </c>
      <c r="AR37">
        <v>0</v>
      </c>
      <c r="AS37">
        <v>0</v>
      </c>
      <c r="AT37">
        <v>0</v>
      </c>
      <c r="AU37">
        <v>6582812</v>
      </c>
      <c r="AV37">
        <v>0</v>
      </c>
      <c r="AX37">
        <v>0</v>
      </c>
      <c r="AY37">
        <v>0</v>
      </c>
      <c r="AZ37">
        <v>6634625</v>
      </c>
      <c r="BA37">
        <v>0</v>
      </c>
      <c r="BB37">
        <v>0</v>
      </c>
      <c r="BC37">
        <v>1994641</v>
      </c>
      <c r="BD37">
        <v>0</v>
      </c>
      <c r="BE37">
        <v>28765015</v>
      </c>
      <c r="BH37">
        <v>0</v>
      </c>
      <c r="BI37">
        <v>0</v>
      </c>
      <c r="BJ37">
        <v>0</v>
      </c>
      <c r="BK37">
        <v>6873922</v>
      </c>
      <c r="BL37">
        <v>0</v>
      </c>
      <c r="BM37">
        <v>0</v>
      </c>
      <c r="BN37">
        <v>0</v>
      </c>
      <c r="BO37">
        <v>0</v>
      </c>
      <c r="BP37">
        <v>0</v>
      </c>
      <c r="BQ37">
        <v>0</v>
      </c>
      <c r="BR37">
        <v>0</v>
      </c>
      <c r="BS37">
        <v>0</v>
      </c>
      <c r="BT37">
        <v>0</v>
      </c>
      <c r="BU37">
        <v>0</v>
      </c>
      <c r="BV37">
        <v>0</v>
      </c>
      <c r="BW37">
        <v>0</v>
      </c>
      <c r="BX37">
        <v>0</v>
      </c>
      <c r="BY37">
        <v>0</v>
      </c>
      <c r="BZ37">
        <v>0</v>
      </c>
      <c r="CA37">
        <v>0</v>
      </c>
    </row>
    <row r="38" spans="1:79" x14ac:dyDescent="0.3">
      <c r="A38" s="155">
        <v>98</v>
      </c>
      <c r="B38" t="s">
        <v>232</v>
      </c>
      <c r="D38">
        <v>0</v>
      </c>
      <c r="E38">
        <v>0</v>
      </c>
      <c r="F38">
        <v>0</v>
      </c>
      <c r="G38">
        <v>0</v>
      </c>
      <c r="H38">
        <v>0</v>
      </c>
      <c r="I38">
        <v>0</v>
      </c>
      <c r="J38">
        <v>0</v>
      </c>
      <c r="K38">
        <v>0</v>
      </c>
      <c r="L38">
        <v>0</v>
      </c>
      <c r="M38">
        <v>0</v>
      </c>
      <c r="N38">
        <v>0</v>
      </c>
      <c r="P38">
        <v>0</v>
      </c>
      <c r="Q38">
        <v>0</v>
      </c>
      <c r="R38">
        <v>0</v>
      </c>
      <c r="S38">
        <v>4347</v>
      </c>
      <c r="T38">
        <v>0</v>
      </c>
      <c r="U38">
        <v>7475</v>
      </c>
      <c r="V38">
        <v>0</v>
      </c>
      <c r="W38">
        <v>0</v>
      </c>
      <c r="X38">
        <v>0</v>
      </c>
      <c r="Y38">
        <v>0</v>
      </c>
      <c r="Z38">
        <v>273</v>
      </c>
      <c r="AA38">
        <v>0</v>
      </c>
      <c r="AB38">
        <v>0</v>
      </c>
      <c r="AC38">
        <v>0</v>
      </c>
      <c r="AD38">
        <v>0</v>
      </c>
      <c r="AE38">
        <v>2321</v>
      </c>
      <c r="AF38">
        <v>0</v>
      </c>
      <c r="AG38">
        <v>0</v>
      </c>
      <c r="AH38">
        <v>0</v>
      </c>
      <c r="AI38">
        <v>0</v>
      </c>
      <c r="AJ38">
        <v>32715</v>
      </c>
      <c r="AK38">
        <v>0</v>
      </c>
      <c r="AL38">
        <v>0</v>
      </c>
      <c r="AM38">
        <v>0</v>
      </c>
      <c r="AN38">
        <v>0</v>
      </c>
      <c r="AP38">
        <v>0</v>
      </c>
      <c r="AQ38">
        <v>86591</v>
      </c>
      <c r="AR38">
        <v>0</v>
      </c>
      <c r="AS38">
        <v>0</v>
      </c>
      <c r="AT38">
        <v>0</v>
      </c>
      <c r="AU38">
        <v>0</v>
      </c>
      <c r="AV38">
        <v>0</v>
      </c>
      <c r="AX38">
        <v>0</v>
      </c>
      <c r="AY38">
        <v>0</v>
      </c>
      <c r="AZ38">
        <v>6702</v>
      </c>
      <c r="BA38">
        <v>0</v>
      </c>
      <c r="BB38">
        <v>0</v>
      </c>
      <c r="BC38">
        <v>0</v>
      </c>
      <c r="BD38">
        <v>0</v>
      </c>
      <c r="BE38">
        <v>2425</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row>
    <row r="39" spans="1:79" x14ac:dyDescent="0.3">
      <c r="A39" s="155">
        <v>99</v>
      </c>
      <c r="B39" t="s">
        <v>229</v>
      </c>
      <c r="D39">
        <v>0</v>
      </c>
      <c r="E39">
        <v>0</v>
      </c>
      <c r="F39">
        <v>0</v>
      </c>
      <c r="G39">
        <v>0</v>
      </c>
      <c r="H39">
        <v>0</v>
      </c>
      <c r="I39">
        <v>0</v>
      </c>
      <c r="J39">
        <v>0</v>
      </c>
      <c r="K39">
        <v>0</v>
      </c>
      <c r="L39">
        <v>0</v>
      </c>
      <c r="M39">
        <v>0</v>
      </c>
      <c r="N39">
        <v>0</v>
      </c>
      <c r="P39">
        <v>0</v>
      </c>
      <c r="Q39">
        <v>0</v>
      </c>
      <c r="R39">
        <v>0</v>
      </c>
      <c r="S39">
        <v>10285382</v>
      </c>
      <c r="T39">
        <v>0</v>
      </c>
      <c r="U39">
        <v>37187282</v>
      </c>
      <c r="V39">
        <v>0</v>
      </c>
      <c r="W39">
        <v>0</v>
      </c>
      <c r="X39">
        <v>0</v>
      </c>
      <c r="Y39">
        <v>0</v>
      </c>
      <c r="Z39">
        <v>2363580</v>
      </c>
      <c r="AA39">
        <v>0</v>
      </c>
      <c r="AB39">
        <v>0</v>
      </c>
      <c r="AC39">
        <v>0</v>
      </c>
      <c r="AD39">
        <v>0</v>
      </c>
      <c r="AE39">
        <v>3876660</v>
      </c>
      <c r="AF39">
        <v>0</v>
      </c>
      <c r="AG39">
        <v>0</v>
      </c>
      <c r="AH39">
        <v>0</v>
      </c>
      <c r="AI39">
        <v>0</v>
      </c>
      <c r="AJ39">
        <v>10592540</v>
      </c>
      <c r="AK39">
        <v>0</v>
      </c>
      <c r="AL39">
        <v>0</v>
      </c>
      <c r="AM39">
        <v>0</v>
      </c>
      <c r="AN39">
        <v>0</v>
      </c>
      <c r="AP39">
        <v>0</v>
      </c>
      <c r="AQ39">
        <v>32054288</v>
      </c>
      <c r="AR39">
        <v>0</v>
      </c>
      <c r="AS39">
        <v>0</v>
      </c>
      <c r="AT39">
        <v>0</v>
      </c>
      <c r="AU39">
        <v>4979686</v>
      </c>
      <c r="AV39">
        <v>0</v>
      </c>
      <c r="AX39">
        <v>0</v>
      </c>
      <c r="AY39">
        <v>0</v>
      </c>
      <c r="AZ39">
        <v>4155652</v>
      </c>
      <c r="BA39">
        <v>0</v>
      </c>
      <c r="BB39">
        <v>0</v>
      </c>
      <c r="BC39">
        <v>1470180</v>
      </c>
      <c r="BD39">
        <v>0</v>
      </c>
      <c r="BE39">
        <v>23521660</v>
      </c>
      <c r="BH39">
        <v>0</v>
      </c>
      <c r="BI39">
        <v>0</v>
      </c>
      <c r="BJ39">
        <v>0</v>
      </c>
      <c r="BK39">
        <v>7364235</v>
      </c>
      <c r="BL39">
        <v>0</v>
      </c>
      <c r="BM39">
        <v>0</v>
      </c>
      <c r="BN39">
        <v>0</v>
      </c>
      <c r="BO39">
        <v>0</v>
      </c>
      <c r="BP39">
        <v>0</v>
      </c>
      <c r="BQ39">
        <v>0</v>
      </c>
      <c r="BR39">
        <v>0</v>
      </c>
      <c r="BS39">
        <v>0</v>
      </c>
      <c r="BT39">
        <v>0</v>
      </c>
      <c r="BU39">
        <v>0</v>
      </c>
      <c r="BV39">
        <v>0</v>
      </c>
      <c r="BW39">
        <v>0</v>
      </c>
      <c r="BX39">
        <v>0</v>
      </c>
      <c r="BY39">
        <v>0</v>
      </c>
      <c r="BZ39">
        <v>0</v>
      </c>
      <c r="CA39">
        <v>0</v>
      </c>
    </row>
    <row r="40" spans="1:79" x14ac:dyDescent="0.3">
      <c r="A40" s="155">
        <v>100</v>
      </c>
      <c r="B40" t="s">
        <v>242</v>
      </c>
      <c r="D40">
        <v>0</v>
      </c>
      <c r="E40">
        <v>0</v>
      </c>
      <c r="F40">
        <v>0</v>
      </c>
      <c r="G40">
        <v>0</v>
      </c>
      <c r="H40">
        <v>0</v>
      </c>
      <c r="I40">
        <v>0</v>
      </c>
      <c r="J40">
        <v>0</v>
      </c>
      <c r="K40">
        <v>0</v>
      </c>
      <c r="L40">
        <v>0</v>
      </c>
      <c r="M40">
        <v>0</v>
      </c>
      <c r="N40">
        <v>0</v>
      </c>
      <c r="P40">
        <v>0</v>
      </c>
      <c r="Q40">
        <v>0</v>
      </c>
      <c r="R40">
        <v>0</v>
      </c>
      <c r="S40">
        <v>214153</v>
      </c>
      <c r="T40">
        <v>0</v>
      </c>
      <c r="U40">
        <v>214120</v>
      </c>
      <c r="V40">
        <v>0</v>
      </c>
      <c r="W40">
        <v>0</v>
      </c>
      <c r="X40">
        <v>0</v>
      </c>
      <c r="Y40">
        <v>0</v>
      </c>
      <c r="Z40">
        <v>46797</v>
      </c>
      <c r="AA40">
        <v>0</v>
      </c>
      <c r="AB40">
        <v>0</v>
      </c>
      <c r="AC40">
        <v>0</v>
      </c>
      <c r="AD40">
        <v>0</v>
      </c>
      <c r="AE40">
        <v>34522</v>
      </c>
      <c r="AF40">
        <v>0</v>
      </c>
      <c r="AG40">
        <v>0</v>
      </c>
      <c r="AH40">
        <v>0</v>
      </c>
      <c r="AI40">
        <v>0</v>
      </c>
      <c r="AJ40">
        <v>159946</v>
      </c>
      <c r="AK40">
        <v>0</v>
      </c>
      <c r="AL40">
        <v>0</v>
      </c>
      <c r="AM40">
        <v>0</v>
      </c>
      <c r="AN40">
        <v>0</v>
      </c>
      <c r="AP40">
        <v>0</v>
      </c>
      <c r="AQ40">
        <v>649744</v>
      </c>
      <c r="AR40">
        <v>0</v>
      </c>
      <c r="AS40">
        <v>0</v>
      </c>
      <c r="AT40">
        <v>0</v>
      </c>
      <c r="AU40">
        <v>172</v>
      </c>
      <c r="AV40">
        <v>0</v>
      </c>
      <c r="AX40">
        <v>0</v>
      </c>
      <c r="AY40">
        <v>0</v>
      </c>
      <c r="AZ40">
        <v>57593</v>
      </c>
      <c r="BA40">
        <v>0</v>
      </c>
      <c r="BB40">
        <v>0</v>
      </c>
      <c r="BC40">
        <v>0</v>
      </c>
      <c r="BD40">
        <v>0</v>
      </c>
      <c r="BE40">
        <v>69191</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row>
    <row r="41" spans="1:79" x14ac:dyDescent="0.3">
      <c r="A41" s="155">
        <v>101</v>
      </c>
      <c r="B41" t="s">
        <v>241</v>
      </c>
      <c r="D41">
        <v>0</v>
      </c>
      <c r="E41">
        <v>0</v>
      </c>
      <c r="F41">
        <v>0</v>
      </c>
      <c r="G41">
        <v>0</v>
      </c>
      <c r="H41">
        <v>0</v>
      </c>
      <c r="I41">
        <v>0</v>
      </c>
      <c r="J41">
        <v>0</v>
      </c>
      <c r="K41">
        <v>0</v>
      </c>
      <c r="L41">
        <v>0</v>
      </c>
      <c r="M41">
        <v>0</v>
      </c>
      <c r="N41">
        <v>0</v>
      </c>
      <c r="P41">
        <v>0</v>
      </c>
      <c r="Q41">
        <v>0</v>
      </c>
      <c r="R41">
        <v>0</v>
      </c>
      <c r="S41">
        <v>1937366</v>
      </c>
      <c r="T41">
        <v>0</v>
      </c>
      <c r="U41">
        <v>1374627</v>
      </c>
      <c r="V41">
        <v>0</v>
      </c>
      <c r="W41">
        <v>0</v>
      </c>
      <c r="X41">
        <v>0</v>
      </c>
      <c r="Y41">
        <v>0</v>
      </c>
      <c r="Z41">
        <v>1992044</v>
      </c>
      <c r="AA41">
        <v>19985</v>
      </c>
      <c r="AB41">
        <v>0</v>
      </c>
      <c r="AC41">
        <v>0</v>
      </c>
      <c r="AD41">
        <v>0</v>
      </c>
      <c r="AE41">
        <v>219964</v>
      </c>
      <c r="AF41">
        <v>0</v>
      </c>
      <c r="AG41">
        <v>0</v>
      </c>
      <c r="AH41">
        <v>0</v>
      </c>
      <c r="AI41">
        <v>0</v>
      </c>
      <c r="AJ41">
        <v>754726</v>
      </c>
      <c r="AK41">
        <v>0</v>
      </c>
      <c r="AL41">
        <v>0</v>
      </c>
      <c r="AM41">
        <v>0</v>
      </c>
      <c r="AN41">
        <v>0</v>
      </c>
      <c r="AP41">
        <v>0</v>
      </c>
      <c r="AQ41">
        <v>3143091</v>
      </c>
      <c r="AR41">
        <v>0</v>
      </c>
      <c r="AS41">
        <v>0</v>
      </c>
      <c r="AT41">
        <v>0</v>
      </c>
      <c r="AU41">
        <v>26606</v>
      </c>
      <c r="AV41">
        <v>0</v>
      </c>
      <c r="AX41">
        <v>0</v>
      </c>
      <c r="AY41">
        <v>0</v>
      </c>
      <c r="AZ41">
        <v>186579</v>
      </c>
      <c r="BA41">
        <v>0</v>
      </c>
      <c r="BB41">
        <v>0</v>
      </c>
      <c r="BC41">
        <v>0</v>
      </c>
      <c r="BD41">
        <v>0</v>
      </c>
      <c r="BE41">
        <v>2121437</v>
      </c>
      <c r="BH41">
        <v>0</v>
      </c>
      <c r="BI41">
        <v>0</v>
      </c>
      <c r="BJ41">
        <v>0</v>
      </c>
      <c r="BK41">
        <v>75200</v>
      </c>
      <c r="BL41">
        <v>0</v>
      </c>
      <c r="BM41">
        <v>0</v>
      </c>
      <c r="BN41">
        <v>0</v>
      </c>
      <c r="BO41">
        <v>0</v>
      </c>
      <c r="BP41">
        <v>0</v>
      </c>
      <c r="BQ41">
        <v>0</v>
      </c>
      <c r="BR41">
        <v>0</v>
      </c>
      <c r="BS41">
        <v>0</v>
      </c>
      <c r="BT41">
        <v>0</v>
      </c>
      <c r="BU41">
        <v>0</v>
      </c>
      <c r="BV41">
        <v>0</v>
      </c>
      <c r="BW41">
        <v>0</v>
      </c>
      <c r="BX41">
        <v>0</v>
      </c>
      <c r="BY41">
        <v>0</v>
      </c>
      <c r="BZ41">
        <v>0</v>
      </c>
      <c r="CA41">
        <v>0</v>
      </c>
    </row>
    <row r="42" spans="1:79" x14ac:dyDescent="0.3">
      <c r="A42" s="155">
        <v>102</v>
      </c>
      <c r="B42" t="s">
        <v>255</v>
      </c>
      <c r="D42">
        <v>99.55</v>
      </c>
      <c r="E42">
        <v>99.86</v>
      </c>
      <c r="F42">
        <v>93.15</v>
      </c>
      <c r="G42">
        <v>99.1</v>
      </c>
      <c r="H42">
        <v>99.73</v>
      </c>
      <c r="I42">
        <v>87.63</v>
      </c>
      <c r="J42">
        <v>97.55</v>
      </c>
      <c r="K42">
        <v>97.28</v>
      </c>
      <c r="L42">
        <v>98.85</v>
      </c>
      <c r="M42">
        <v>93.31</v>
      </c>
      <c r="N42">
        <v>98.43</v>
      </c>
      <c r="P42">
        <v>99.37</v>
      </c>
      <c r="Q42">
        <v>99.73</v>
      </c>
      <c r="R42">
        <v>98.92</v>
      </c>
      <c r="S42">
        <v>99.17</v>
      </c>
      <c r="T42">
        <v>88.19</v>
      </c>
      <c r="U42">
        <v>97.58</v>
      </c>
      <c r="V42">
        <v>96.94</v>
      </c>
      <c r="W42">
        <v>99.4</v>
      </c>
      <c r="X42">
        <v>99.77</v>
      </c>
      <c r="Y42">
        <v>99.66</v>
      </c>
      <c r="Z42">
        <v>94.54</v>
      </c>
      <c r="AA42">
        <v>99.33</v>
      </c>
      <c r="AB42">
        <v>100</v>
      </c>
      <c r="AC42">
        <v>98.72</v>
      </c>
      <c r="AD42">
        <v>98.83</v>
      </c>
      <c r="AE42">
        <v>97.2</v>
      </c>
      <c r="AF42">
        <v>89.04</v>
      </c>
      <c r="AG42">
        <v>95.46</v>
      </c>
      <c r="AH42">
        <v>98.56</v>
      </c>
      <c r="AI42">
        <v>99.84</v>
      </c>
      <c r="AJ42">
        <v>94.5</v>
      </c>
      <c r="AK42">
        <v>95.8</v>
      </c>
      <c r="AL42">
        <v>97.4</v>
      </c>
      <c r="AM42">
        <v>99.53</v>
      </c>
      <c r="AN42">
        <v>96.9</v>
      </c>
      <c r="AP42">
        <v>99.65</v>
      </c>
      <c r="AQ42">
        <v>97.57</v>
      </c>
      <c r="AR42">
        <v>99</v>
      </c>
      <c r="AS42">
        <v>93.85</v>
      </c>
      <c r="AT42">
        <v>99.61</v>
      </c>
      <c r="AU42">
        <v>99.04</v>
      </c>
      <c r="AV42">
        <v>98.56</v>
      </c>
      <c r="AX42">
        <v>99.19</v>
      </c>
      <c r="AY42">
        <v>97.52</v>
      </c>
      <c r="AZ42">
        <v>98.9</v>
      </c>
      <c r="BA42">
        <v>92.07</v>
      </c>
      <c r="BB42">
        <v>98.82</v>
      </c>
      <c r="BC42">
        <v>96.97</v>
      </c>
      <c r="BD42">
        <v>96.89</v>
      </c>
      <c r="BE42">
        <v>92.62</v>
      </c>
      <c r="BH42">
        <v>98.62</v>
      </c>
      <c r="BI42">
        <v>98.45</v>
      </c>
      <c r="BJ42">
        <v>92.52</v>
      </c>
      <c r="BK42">
        <v>99.88</v>
      </c>
      <c r="BL42">
        <v>99.66</v>
      </c>
      <c r="BM42">
        <v>0</v>
      </c>
      <c r="BN42">
        <v>99.48</v>
      </c>
      <c r="BO42">
        <v>93.23</v>
      </c>
      <c r="BP42">
        <v>97.98</v>
      </c>
      <c r="BQ42">
        <v>99.34</v>
      </c>
      <c r="BR42">
        <v>99.97</v>
      </c>
      <c r="BS42">
        <v>99.49</v>
      </c>
      <c r="BT42">
        <v>81.709999999999994</v>
      </c>
      <c r="BU42">
        <v>99.05</v>
      </c>
      <c r="BV42">
        <v>94.39</v>
      </c>
      <c r="BW42">
        <v>99.68</v>
      </c>
      <c r="BX42">
        <v>96.95</v>
      </c>
      <c r="BY42">
        <v>99.11</v>
      </c>
      <c r="BZ42">
        <v>99.81</v>
      </c>
      <c r="CA42">
        <v>91.73</v>
      </c>
    </row>
    <row r="43" spans="1:79" x14ac:dyDescent="0.3">
      <c r="A43" s="155">
        <v>103</v>
      </c>
      <c r="B43" t="s">
        <v>256</v>
      </c>
      <c r="D43">
        <v>100</v>
      </c>
      <c r="E43">
        <v>100</v>
      </c>
      <c r="F43">
        <v>100</v>
      </c>
      <c r="G43">
        <v>100</v>
      </c>
      <c r="H43">
        <v>100</v>
      </c>
      <c r="I43">
        <v>100</v>
      </c>
      <c r="J43">
        <v>100</v>
      </c>
      <c r="K43">
        <v>100</v>
      </c>
      <c r="L43">
        <v>100</v>
      </c>
      <c r="M43">
        <v>100</v>
      </c>
      <c r="N43">
        <v>100</v>
      </c>
      <c r="P43">
        <v>100</v>
      </c>
      <c r="Q43">
        <v>100</v>
      </c>
      <c r="R43">
        <v>100</v>
      </c>
      <c r="S43">
        <v>100</v>
      </c>
      <c r="T43">
        <v>96.13</v>
      </c>
      <c r="U43">
        <v>100</v>
      </c>
      <c r="V43">
        <v>100</v>
      </c>
      <c r="W43">
        <v>100</v>
      </c>
      <c r="X43">
        <v>99.7</v>
      </c>
      <c r="Y43">
        <v>100</v>
      </c>
      <c r="Z43">
        <v>100</v>
      </c>
      <c r="AA43">
        <v>100</v>
      </c>
      <c r="AB43">
        <v>100</v>
      </c>
      <c r="AC43">
        <v>100</v>
      </c>
      <c r="AD43">
        <v>100</v>
      </c>
      <c r="AE43">
        <v>99.49</v>
      </c>
      <c r="AF43">
        <v>100</v>
      </c>
      <c r="AG43">
        <v>100</v>
      </c>
      <c r="AH43">
        <v>100</v>
      </c>
      <c r="AI43">
        <v>100</v>
      </c>
      <c r="AJ43">
        <v>100</v>
      </c>
      <c r="AK43">
        <v>98.85</v>
      </c>
      <c r="AL43">
        <v>100</v>
      </c>
      <c r="AM43">
        <v>100</v>
      </c>
      <c r="AN43">
        <v>100</v>
      </c>
      <c r="AP43">
        <v>100</v>
      </c>
      <c r="AQ43">
        <v>100</v>
      </c>
      <c r="AR43">
        <v>100</v>
      </c>
      <c r="AS43">
        <v>100</v>
      </c>
      <c r="AT43">
        <v>100</v>
      </c>
      <c r="AU43">
        <v>100</v>
      </c>
      <c r="AV43">
        <v>100</v>
      </c>
      <c r="AX43">
        <v>99.8</v>
      </c>
      <c r="AY43">
        <v>100</v>
      </c>
      <c r="AZ43">
        <v>100</v>
      </c>
      <c r="BA43">
        <v>100</v>
      </c>
      <c r="BB43">
        <v>100</v>
      </c>
      <c r="BC43">
        <v>100</v>
      </c>
      <c r="BD43">
        <v>100</v>
      </c>
      <c r="BE43">
        <v>100</v>
      </c>
      <c r="BH43">
        <v>100</v>
      </c>
      <c r="BI43">
        <v>99.89</v>
      </c>
      <c r="BJ43">
        <v>100</v>
      </c>
      <c r="BK43">
        <v>100</v>
      </c>
      <c r="BL43">
        <v>100</v>
      </c>
      <c r="BM43">
        <v>0</v>
      </c>
      <c r="BN43">
        <v>100</v>
      </c>
      <c r="BO43">
        <v>100</v>
      </c>
      <c r="BP43">
        <v>100</v>
      </c>
      <c r="BQ43">
        <v>100</v>
      </c>
      <c r="BR43">
        <v>100</v>
      </c>
      <c r="BS43">
        <v>100</v>
      </c>
      <c r="BT43">
        <v>98.7</v>
      </c>
      <c r="BU43">
        <v>100</v>
      </c>
      <c r="BV43">
        <v>100</v>
      </c>
      <c r="BW43">
        <v>100</v>
      </c>
      <c r="BX43">
        <v>100</v>
      </c>
      <c r="BY43">
        <v>100</v>
      </c>
      <c r="BZ43">
        <v>99.1</v>
      </c>
      <c r="CA43">
        <v>100</v>
      </c>
    </row>
    <row r="44" spans="1:79" x14ac:dyDescent="0.3">
      <c r="A44" s="155">
        <v>171</v>
      </c>
      <c r="B44" t="s">
        <v>208</v>
      </c>
      <c r="D44">
        <v>0</v>
      </c>
      <c r="E44">
        <v>1604315</v>
      </c>
      <c r="F44">
        <v>5247</v>
      </c>
      <c r="G44">
        <v>4918127</v>
      </c>
      <c r="H44">
        <v>170940</v>
      </c>
      <c r="I44">
        <v>0</v>
      </c>
      <c r="J44">
        <v>0</v>
      </c>
      <c r="K44">
        <v>0</v>
      </c>
      <c r="L44">
        <v>14471899</v>
      </c>
      <c r="M44">
        <v>0</v>
      </c>
      <c r="N44">
        <v>27242</v>
      </c>
      <c r="P44">
        <v>4620494</v>
      </c>
      <c r="Q44">
        <v>3408639</v>
      </c>
      <c r="R44">
        <v>503714</v>
      </c>
      <c r="S44">
        <v>851894</v>
      </c>
      <c r="T44">
        <v>0</v>
      </c>
      <c r="U44">
        <v>1193965</v>
      </c>
      <c r="V44">
        <v>0</v>
      </c>
      <c r="W44">
        <v>2071011</v>
      </c>
      <c r="X44">
        <v>7101472</v>
      </c>
      <c r="Y44">
        <v>714221</v>
      </c>
      <c r="Z44">
        <v>0</v>
      </c>
      <c r="AA44">
        <v>349561</v>
      </c>
      <c r="AB44">
        <v>0</v>
      </c>
      <c r="AC44">
        <v>0</v>
      </c>
      <c r="AD44">
        <v>23761</v>
      </c>
      <c r="AE44">
        <v>51315</v>
      </c>
      <c r="AF44">
        <v>0</v>
      </c>
      <c r="AG44">
        <v>0</v>
      </c>
      <c r="AH44">
        <v>0</v>
      </c>
      <c r="AI44">
        <v>48037</v>
      </c>
      <c r="AJ44">
        <v>634058</v>
      </c>
      <c r="AK44">
        <v>0</v>
      </c>
      <c r="AL44">
        <v>0</v>
      </c>
      <c r="AM44">
        <v>1980234</v>
      </c>
      <c r="AN44">
        <v>129684</v>
      </c>
      <c r="AP44">
        <v>236000</v>
      </c>
      <c r="AQ44">
        <v>1798043</v>
      </c>
      <c r="AR44">
        <v>146750</v>
      </c>
      <c r="AS44">
        <v>146051</v>
      </c>
      <c r="AT44">
        <v>333112</v>
      </c>
      <c r="AU44">
        <v>427735</v>
      </c>
      <c r="AV44">
        <v>0</v>
      </c>
      <c r="AX44">
        <v>1607417</v>
      </c>
      <c r="AY44">
        <v>121295</v>
      </c>
      <c r="AZ44">
        <v>156669</v>
      </c>
      <c r="BA44">
        <v>0</v>
      </c>
      <c r="BB44">
        <v>0</v>
      </c>
      <c r="BC44">
        <v>0</v>
      </c>
      <c r="BD44">
        <v>0</v>
      </c>
      <c r="BE44">
        <v>1533868</v>
      </c>
      <c r="BH44">
        <v>17727</v>
      </c>
      <c r="BI44">
        <v>4548</v>
      </c>
      <c r="BJ44">
        <v>24496</v>
      </c>
      <c r="BK44">
        <v>1702879</v>
      </c>
      <c r="BL44">
        <v>0</v>
      </c>
      <c r="BM44">
        <v>0</v>
      </c>
      <c r="BN44">
        <v>331455</v>
      </c>
      <c r="BO44">
        <v>0</v>
      </c>
      <c r="BP44">
        <v>0</v>
      </c>
      <c r="BQ44">
        <v>0</v>
      </c>
      <c r="BR44">
        <v>102808</v>
      </c>
      <c r="BS44">
        <v>1511667</v>
      </c>
      <c r="BT44">
        <v>60867</v>
      </c>
      <c r="BU44">
        <v>44574</v>
      </c>
      <c r="BV44">
        <v>63500</v>
      </c>
      <c r="BW44">
        <v>0</v>
      </c>
      <c r="BX44">
        <v>0</v>
      </c>
      <c r="BY44">
        <v>0</v>
      </c>
      <c r="BZ44">
        <v>1595324</v>
      </c>
      <c r="CA44">
        <v>2976</v>
      </c>
    </row>
    <row r="45" spans="1:79" x14ac:dyDescent="0.3">
      <c r="A45" s="155">
        <v>191</v>
      </c>
      <c r="B45" t="s">
        <v>224</v>
      </c>
      <c r="D45">
        <v>0</v>
      </c>
      <c r="E45">
        <v>0</v>
      </c>
      <c r="F45">
        <v>0</v>
      </c>
      <c r="G45">
        <v>0</v>
      </c>
      <c r="H45">
        <v>195375</v>
      </c>
      <c r="I45">
        <v>0</v>
      </c>
      <c r="J45">
        <v>0</v>
      </c>
      <c r="K45">
        <v>1482949</v>
      </c>
      <c r="L45">
        <v>2500000</v>
      </c>
      <c r="M45">
        <v>0</v>
      </c>
      <c r="N45">
        <v>0</v>
      </c>
      <c r="P45">
        <v>0</v>
      </c>
      <c r="Q45">
        <v>0</v>
      </c>
      <c r="R45">
        <v>0</v>
      </c>
      <c r="S45">
        <v>1062112</v>
      </c>
      <c r="T45">
        <v>0</v>
      </c>
      <c r="U45">
        <v>0</v>
      </c>
      <c r="V45">
        <v>0</v>
      </c>
      <c r="W45">
        <v>0</v>
      </c>
      <c r="X45">
        <v>0</v>
      </c>
      <c r="Y45">
        <v>0</v>
      </c>
      <c r="Z45">
        <v>0</v>
      </c>
      <c r="AA45">
        <v>1012000</v>
      </c>
      <c r="AB45">
        <v>0</v>
      </c>
      <c r="AC45">
        <v>0</v>
      </c>
      <c r="AD45">
        <v>0</v>
      </c>
      <c r="AE45">
        <v>282852</v>
      </c>
      <c r="AF45">
        <v>0</v>
      </c>
      <c r="AG45">
        <v>0</v>
      </c>
      <c r="AH45">
        <v>0</v>
      </c>
      <c r="AI45">
        <v>0</v>
      </c>
      <c r="AJ45">
        <v>280841</v>
      </c>
      <c r="AK45">
        <v>0</v>
      </c>
      <c r="AL45">
        <v>0</v>
      </c>
      <c r="AM45">
        <v>0</v>
      </c>
      <c r="AN45">
        <v>39370</v>
      </c>
      <c r="AP45">
        <v>0</v>
      </c>
      <c r="AQ45">
        <v>209739</v>
      </c>
      <c r="AR45">
        <v>1231866</v>
      </c>
      <c r="AS45">
        <v>0</v>
      </c>
      <c r="AT45">
        <v>618934</v>
      </c>
      <c r="AU45">
        <v>0</v>
      </c>
      <c r="AV45">
        <v>0</v>
      </c>
      <c r="AX45">
        <v>0</v>
      </c>
      <c r="AY45">
        <v>0</v>
      </c>
      <c r="AZ45">
        <v>567316</v>
      </c>
      <c r="BA45">
        <v>0</v>
      </c>
      <c r="BB45">
        <v>441681</v>
      </c>
      <c r="BC45">
        <v>1249969</v>
      </c>
      <c r="BD45">
        <v>0</v>
      </c>
      <c r="BE45">
        <v>3515230</v>
      </c>
      <c r="BH45">
        <v>0</v>
      </c>
      <c r="BI45">
        <v>0</v>
      </c>
      <c r="BJ45">
        <v>1088016</v>
      </c>
      <c r="BK45">
        <v>0</v>
      </c>
      <c r="BL45">
        <v>0</v>
      </c>
      <c r="BM45">
        <v>0</v>
      </c>
      <c r="BN45">
        <v>0</v>
      </c>
      <c r="BO45">
        <v>50000</v>
      </c>
      <c r="BP45">
        <v>0</v>
      </c>
      <c r="BQ45">
        <v>0</v>
      </c>
      <c r="BR45">
        <v>0</v>
      </c>
      <c r="BS45">
        <v>0</v>
      </c>
      <c r="BT45">
        <v>252544</v>
      </c>
      <c r="BU45">
        <v>0</v>
      </c>
      <c r="BV45">
        <v>378564</v>
      </c>
      <c r="BW45">
        <v>0</v>
      </c>
      <c r="BX45">
        <v>0</v>
      </c>
      <c r="BY45">
        <v>0</v>
      </c>
      <c r="BZ45">
        <v>3422692</v>
      </c>
      <c r="CA45">
        <v>0</v>
      </c>
    </row>
    <row r="46" spans="1:79" x14ac:dyDescent="0.3">
      <c r="A46" s="155">
        <v>192</v>
      </c>
      <c r="B46" t="s">
        <v>235</v>
      </c>
      <c r="D46">
        <v>0</v>
      </c>
      <c r="E46">
        <v>0</v>
      </c>
      <c r="F46">
        <v>0</v>
      </c>
      <c r="G46">
        <v>0</v>
      </c>
      <c r="H46">
        <v>0</v>
      </c>
      <c r="I46">
        <v>0</v>
      </c>
      <c r="J46">
        <v>0</v>
      </c>
      <c r="K46">
        <v>0</v>
      </c>
      <c r="L46">
        <v>0</v>
      </c>
      <c r="M46">
        <v>0</v>
      </c>
      <c r="N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P46">
        <v>0</v>
      </c>
      <c r="AQ46">
        <v>0</v>
      </c>
      <c r="AR46">
        <v>0</v>
      </c>
      <c r="AS46">
        <v>0</v>
      </c>
      <c r="AT46">
        <v>0</v>
      </c>
      <c r="AU46">
        <v>0</v>
      </c>
      <c r="AV46">
        <v>0</v>
      </c>
      <c r="AX46">
        <v>0</v>
      </c>
      <c r="AY46">
        <v>0</v>
      </c>
      <c r="AZ46">
        <v>0</v>
      </c>
      <c r="BA46">
        <v>0</v>
      </c>
      <c r="BB46">
        <v>0</v>
      </c>
      <c r="BC46">
        <v>0</v>
      </c>
      <c r="BD46">
        <v>0</v>
      </c>
      <c r="BE46">
        <v>356807</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row>
    <row r="47" spans="1:79" x14ac:dyDescent="0.3">
      <c r="A47" s="155">
        <v>252</v>
      </c>
      <c r="B47" t="s">
        <v>95</v>
      </c>
      <c r="D47">
        <v>2302939</v>
      </c>
      <c r="E47">
        <v>44398000</v>
      </c>
      <c r="F47">
        <v>52648</v>
      </c>
      <c r="G47">
        <v>82218969</v>
      </c>
      <c r="H47">
        <v>10183227</v>
      </c>
      <c r="I47">
        <v>42111</v>
      </c>
      <c r="J47">
        <v>735455</v>
      </c>
      <c r="K47">
        <v>1974044</v>
      </c>
      <c r="L47">
        <v>142693066</v>
      </c>
      <c r="M47">
        <v>88199</v>
      </c>
      <c r="N47">
        <v>1156598</v>
      </c>
      <c r="P47">
        <v>141685568</v>
      </c>
      <c r="Q47">
        <v>27961849</v>
      </c>
      <c r="R47">
        <v>8852250</v>
      </c>
      <c r="S47">
        <v>8966426</v>
      </c>
      <c r="T47">
        <v>259857</v>
      </c>
      <c r="U47">
        <v>13949335</v>
      </c>
      <c r="V47">
        <v>703</v>
      </c>
      <c r="W47">
        <v>10678719</v>
      </c>
      <c r="X47">
        <v>103849993</v>
      </c>
      <c r="Y47">
        <v>8437670</v>
      </c>
      <c r="Z47">
        <v>2193811</v>
      </c>
      <c r="AA47">
        <v>8376031</v>
      </c>
      <c r="AB47">
        <v>263950</v>
      </c>
      <c r="AC47">
        <v>368983</v>
      </c>
      <c r="AD47">
        <v>2106583</v>
      </c>
      <c r="AE47">
        <v>6385107</v>
      </c>
      <c r="AF47">
        <v>1310674</v>
      </c>
      <c r="AG47">
        <v>93715</v>
      </c>
      <c r="AH47">
        <v>991755</v>
      </c>
      <c r="AI47">
        <v>2086293</v>
      </c>
      <c r="AJ47">
        <v>7816954</v>
      </c>
      <c r="AK47">
        <v>843170</v>
      </c>
      <c r="AL47">
        <v>19293</v>
      </c>
      <c r="AM47">
        <v>97843275</v>
      </c>
      <c r="AN47">
        <v>22399878</v>
      </c>
      <c r="AP47">
        <v>10846428</v>
      </c>
      <c r="AQ47">
        <v>31969057</v>
      </c>
      <c r="AR47">
        <v>1173882</v>
      </c>
      <c r="AS47">
        <v>1343195</v>
      </c>
      <c r="AT47">
        <v>6283645</v>
      </c>
      <c r="AU47">
        <v>21487462</v>
      </c>
      <c r="AV47">
        <v>862352</v>
      </c>
      <c r="AX47">
        <v>11928786</v>
      </c>
      <c r="AY47">
        <v>1743060</v>
      </c>
      <c r="AZ47">
        <v>7024321</v>
      </c>
      <c r="BA47">
        <v>21067</v>
      </c>
      <c r="BB47">
        <v>1597965</v>
      </c>
      <c r="BC47">
        <v>978632</v>
      </c>
      <c r="BD47">
        <v>22578</v>
      </c>
      <c r="BE47">
        <v>28673477</v>
      </c>
      <c r="BH47">
        <v>3789760</v>
      </c>
      <c r="BI47">
        <v>7559251</v>
      </c>
      <c r="BJ47">
        <v>220854</v>
      </c>
      <c r="BK47">
        <v>10858224</v>
      </c>
      <c r="BL47">
        <v>7472713</v>
      </c>
      <c r="BM47">
        <v>39368</v>
      </c>
      <c r="BN47">
        <v>9392760</v>
      </c>
      <c r="BO47">
        <v>3801903</v>
      </c>
      <c r="BP47">
        <v>497269</v>
      </c>
      <c r="BQ47">
        <v>1278211</v>
      </c>
      <c r="BR47">
        <v>11280775</v>
      </c>
      <c r="BS47">
        <v>255667560</v>
      </c>
      <c r="BT47">
        <v>1364253</v>
      </c>
      <c r="BU47">
        <v>2470083</v>
      </c>
      <c r="BV47">
        <v>965187</v>
      </c>
      <c r="BW47">
        <v>3258822</v>
      </c>
      <c r="BX47">
        <v>6063</v>
      </c>
      <c r="BY47">
        <v>36537</v>
      </c>
      <c r="BZ47">
        <v>58200076</v>
      </c>
      <c r="CA47">
        <v>206921</v>
      </c>
    </row>
    <row r="48" spans="1:79" x14ac:dyDescent="0.3">
      <c r="A48" s="155">
        <v>253</v>
      </c>
      <c r="B48" t="s">
        <v>96</v>
      </c>
      <c r="D48">
        <v>418207</v>
      </c>
      <c r="E48">
        <v>27516113</v>
      </c>
      <c r="F48">
        <v>186483</v>
      </c>
      <c r="G48">
        <v>14296366</v>
      </c>
      <c r="H48">
        <v>3252130</v>
      </c>
      <c r="I48">
        <v>178958</v>
      </c>
      <c r="J48">
        <v>548958</v>
      </c>
      <c r="K48">
        <v>527979</v>
      </c>
      <c r="L48">
        <v>10023589</v>
      </c>
      <c r="M48">
        <v>49334</v>
      </c>
      <c r="N48">
        <v>211807</v>
      </c>
      <c r="P48">
        <v>4484657</v>
      </c>
      <c r="Q48">
        <v>14190930</v>
      </c>
      <c r="R48">
        <v>724689</v>
      </c>
      <c r="S48">
        <v>4916998</v>
      </c>
      <c r="T48">
        <v>321049</v>
      </c>
      <c r="U48">
        <v>16765812</v>
      </c>
      <c r="V48">
        <v>95823</v>
      </c>
      <c r="W48">
        <v>4816933</v>
      </c>
      <c r="X48">
        <v>6489616</v>
      </c>
      <c r="Y48">
        <v>729958</v>
      </c>
      <c r="Z48">
        <v>1113255</v>
      </c>
      <c r="AA48">
        <v>1308588</v>
      </c>
      <c r="AB48">
        <v>405636</v>
      </c>
      <c r="AC48">
        <v>12174</v>
      </c>
      <c r="AD48">
        <v>336506</v>
      </c>
      <c r="AE48">
        <v>942177</v>
      </c>
      <c r="AF48">
        <v>29691</v>
      </c>
      <c r="AG48">
        <v>13267</v>
      </c>
      <c r="AH48">
        <v>99228</v>
      </c>
      <c r="AI48">
        <v>706772</v>
      </c>
      <c r="AJ48">
        <v>1630980</v>
      </c>
      <c r="AK48">
        <v>88465</v>
      </c>
      <c r="AL48">
        <v>2746</v>
      </c>
      <c r="AM48">
        <v>5055933</v>
      </c>
      <c r="AN48">
        <v>2428823</v>
      </c>
      <c r="AP48">
        <v>1048345</v>
      </c>
      <c r="AQ48">
        <v>6230231</v>
      </c>
      <c r="AR48">
        <v>885232</v>
      </c>
      <c r="AS48">
        <v>79893</v>
      </c>
      <c r="AT48">
        <v>1424847</v>
      </c>
      <c r="AU48">
        <v>1487501</v>
      </c>
      <c r="AV48">
        <v>19908</v>
      </c>
      <c r="AX48">
        <v>362952</v>
      </c>
      <c r="AY48">
        <v>990359</v>
      </c>
      <c r="AZ48">
        <v>2060960</v>
      </c>
      <c r="BA48">
        <v>80942</v>
      </c>
      <c r="BB48">
        <v>2292900</v>
      </c>
      <c r="BC48">
        <v>346889</v>
      </c>
      <c r="BD48">
        <v>10565</v>
      </c>
      <c r="BE48">
        <v>3288759</v>
      </c>
      <c r="BH48">
        <v>530513</v>
      </c>
      <c r="BI48">
        <v>558527</v>
      </c>
      <c r="BJ48">
        <v>300134</v>
      </c>
      <c r="BK48">
        <v>889619</v>
      </c>
      <c r="BL48">
        <v>567039</v>
      </c>
      <c r="BM48">
        <v>5800</v>
      </c>
      <c r="BN48">
        <v>2657266</v>
      </c>
      <c r="BO48">
        <v>628840</v>
      </c>
      <c r="BP48">
        <v>281696</v>
      </c>
      <c r="BQ48">
        <v>363030</v>
      </c>
      <c r="BR48">
        <v>196371</v>
      </c>
      <c r="BS48">
        <v>6020474</v>
      </c>
      <c r="BT48">
        <v>294946</v>
      </c>
      <c r="BU48">
        <v>1820652</v>
      </c>
      <c r="BV48">
        <v>118000</v>
      </c>
      <c r="BW48">
        <v>584381</v>
      </c>
      <c r="BX48">
        <v>21403</v>
      </c>
      <c r="BY48">
        <v>28445</v>
      </c>
      <c r="BZ48">
        <v>4324267</v>
      </c>
      <c r="CA48">
        <v>48330</v>
      </c>
    </row>
    <row r="49" spans="1:79" x14ac:dyDescent="0.3">
      <c r="A49" s="155">
        <v>254</v>
      </c>
      <c r="B49" t="s">
        <v>97</v>
      </c>
      <c r="D49">
        <v>1906240</v>
      </c>
      <c r="E49">
        <v>15059262</v>
      </c>
      <c r="F49">
        <v>601364</v>
      </c>
      <c r="G49">
        <v>40477089</v>
      </c>
      <c r="H49">
        <v>2457537</v>
      </c>
      <c r="I49">
        <v>103933</v>
      </c>
      <c r="J49">
        <v>2485790</v>
      </c>
      <c r="K49">
        <v>531959</v>
      </c>
      <c r="L49">
        <v>-21229487</v>
      </c>
      <c r="M49">
        <v>268428</v>
      </c>
      <c r="N49">
        <v>-61395</v>
      </c>
      <c r="P49">
        <v>989922</v>
      </c>
      <c r="Q49">
        <v>1812796</v>
      </c>
      <c r="R49">
        <v>2222153</v>
      </c>
      <c r="S49">
        <v>5058805</v>
      </c>
      <c r="T49">
        <v>180766</v>
      </c>
      <c r="U49">
        <v>1904341</v>
      </c>
      <c r="V49">
        <v>164104</v>
      </c>
      <c r="W49">
        <v>8663046</v>
      </c>
      <c r="X49">
        <v>-308347</v>
      </c>
      <c r="Y49">
        <v>3366964</v>
      </c>
      <c r="Z49">
        <v>2246589</v>
      </c>
      <c r="AA49">
        <v>2362381</v>
      </c>
      <c r="AB49">
        <v>1297619</v>
      </c>
      <c r="AC49">
        <v>320903</v>
      </c>
      <c r="AD49">
        <v>1353808</v>
      </c>
      <c r="AE49">
        <v>1939650</v>
      </c>
      <c r="AF49">
        <v>120347</v>
      </c>
      <c r="AG49">
        <v>77109</v>
      </c>
      <c r="AH49">
        <v>168005</v>
      </c>
      <c r="AI49">
        <v>3003760</v>
      </c>
      <c r="AJ49">
        <v>-162586</v>
      </c>
      <c r="AK49">
        <v>348761</v>
      </c>
      <c r="AL49">
        <v>124252</v>
      </c>
      <c r="AM49">
        <v>17370304</v>
      </c>
      <c r="AN49">
        <v>8541041</v>
      </c>
      <c r="AP49">
        <v>10083549</v>
      </c>
      <c r="AQ49">
        <v>641702</v>
      </c>
      <c r="AR49">
        <v>1801113</v>
      </c>
      <c r="AS49">
        <v>280294</v>
      </c>
      <c r="AT49">
        <v>-1298112</v>
      </c>
      <c r="AU49">
        <v>-5864033</v>
      </c>
      <c r="AV49">
        <v>228782</v>
      </c>
      <c r="AX49">
        <v>2969201</v>
      </c>
      <c r="AY49">
        <v>1836102</v>
      </c>
      <c r="AZ49">
        <v>-711475</v>
      </c>
      <c r="BA49">
        <v>137567</v>
      </c>
      <c r="BB49">
        <v>1411342</v>
      </c>
      <c r="BC49">
        <v>960193</v>
      </c>
      <c r="BD49">
        <v>400022</v>
      </c>
      <c r="BE49">
        <v>-35062054</v>
      </c>
      <c r="BH49">
        <v>-1241291</v>
      </c>
      <c r="BI49">
        <v>3572926</v>
      </c>
      <c r="BJ49">
        <v>522173</v>
      </c>
      <c r="BK49">
        <v>2968437</v>
      </c>
      <c r="BL49">
        <v>4622486</v>
      </c>
      <c r="BM49">
        <v>176865</v>
      </c>
      <c r="BN49">
        <v>2097027</v>
      </c>
      <c r="BO49">
        <v>4332987</v>
      </c>
      <c r="BP49">
        <v>1474781</v>
      </c>
      <c r="BQ49">
        <v>1585245</v>
      </c>
      <c r="BR49">
        <v>2710773</v>
      </c>
      <c r="BS49">
        <v>10230520</v>
      </c>
      <c r="BT49">
        <v>2470480</v>
      </c>
      <c r="BU49">
        <v>-3600168</v>
      </c>
      <c r="BV49">
        <v>875084</v>
      </c>
      <c r="BW49">
        <v>1081179</v>
      </c>
      <c r="BX49">
        <v>198712</v>
      </c>
      <c r="BY49">
        <v>189353</v>
      </c>
      <c r="BZ49">
        <v>6143209</v>
      </c>
      <c r="CA49">
        <v>62951</v>
      </c>
    </row>
    <row r="50" spans="1:79" x14ac:dyDescent="0.3">
      <c r="A50" s="155">
        <v>255</v>
      </c>
      <c r="B50" t="s">
        <v>188</v>
      </c>
      <c r="D50">
        <v>291026</v>
      </c>
      <c r="E50">
        <v>15377230</v>
      </c>
      <c r="F50">
        <v>186508</v>
      </c>
      <c r="G50">
        <v>10551454</v>
      </c>
      <c r="H50">
        <v>1306674</v>
      </c>
      <c r="I50">
        <v>5529</v>
      </c>
      <c r="J50">
        <v>379207</v>
      </c>
      <c r="K50">
        <v>141437</v>
      </c>
      <c r="L50">
        <v>24052369</v>
      </c>
      <c r="M50">
        <v>46994</v>
      </c>
      <c r="N50">
        <v>-56718</v>
      </c>
      <c r="P50">
        <v>14586751</v>
      </c>
      <c r="Q50">
        <v>7315843</v>
      </c>
      <c r="R50">
        <v>1488366</v>
      </c>
      <c r="S50">
        <v>3806587</v>
      </c>
      <c r="T50">
        <v>75027</v>
      </c>
      <c r="U50">
        <v>7428726</v>
      </c>
      <c r="V50">
        <v>-11058</v>
      </c>
      <c r="W50">
        <v>566783</v>
      </c>
      <c r="X50">
        <v>5111166</v>
      </c>
      <c r="Y50">
        <v>1782491</v>
      </c>
      <c r="Z50">
        <v>460720</v>
      </c>
      <c r="AA50">
        <v>2978455</v>
      </c>
      <c r="AB50">
        <v>186058</v>
      </c>
      <c r="AC50">
        <v>157930</v>
      </c>
      <c r="AD50">
        <v>161059</v>
      </c>
      <c r="AE50">
        <v>396142</v>
      </c>
      <c r="AF50">
        <v>132500</v>
      </c>
      <c r="AG50">
        <v>4288</v>
      </c>
      <c r="AH50">
        <v>-45794</v>
      </c>
      <c r="AI50">
        <v>1635350</v>
      </c>
      <c r="AJ50">
        <v>764498</v>
      </c>
      <c r="AK50">
        <v>267889</v>
      </c>
      <c r="AL50">
        <v>-65</v>
      </c>
      <c r="AM50">
        <v>9566473</v>
      </c>
      <c r="AN50">
        <v>1514547</v>
      </c>
      <c r="AP50">
        <v>2046383</v>
      </c>
      <c r="AQ50">
        <v>173102</v>
      </c>
      <c r="AR50">
        <v>-82932</v>
      </c>
      <c r="AS50">
        <v>120465</v>
      </c>
      <c r="AT50">
        <v>1324834</v>
      </c>
      <c r="AU50">
        <v>2065223</v>
      </c>
      <c r="AV50">
        <v>32901</v>
      </c>
      <c r="AX50">
        <v>1238683</v>
      </c>
      <c r="AY50">
        <v>160424</v>
      </c>
      <c r="AZ50">
        <v>906736</v>
      </c>
      <c r="BA50">
        <v>56751</v>
      </c>
      <c r="BB50">
        <v>2351072</v>
      </c>
      <c r="BC50">
        <v>-193100</v>
      </c>
      <c r="BD50">
        <v>3432</v>
      </c>
      <c r="BE50">
        <v>159675</v>
      </c>
      <c r="BH50">
        <v>-72983</v>
      </c>
      <c r="BI50">
        <v>696061</v>
      </c>
      <c r="BJ50">
        <v>122718</v>
      </c>
      <c r="BK50">
        <v>2017472</v>
      </c>
      <c r="BL50">
        <v>111483</v>
      </c>
      <c r="BM50">
        <v>12279</v>
      </c>
      <c r="BN50">
        <v>1324913</v>
      </c>
      <c r="BO50">
        <v>642818</v>
      </c>
      <c r="BP50">
        <v>102561</v>
      </c>
      <c r="BQ50">
        <v>645800</v>
      </c>
      <c r="BR50">
        <v>1207657</v>
      </c>
      <c r="BS50">
        <v>8855228</v>
      </c>
      <c r="BT50">
        <v>-145624</v>
      </c>
      <c r="BU50">
        <v>-369742</v>
      </c>
      <c r="BV50">
        <v>54180</v>
      </c>
      <c r="BW50">
        <v>69368</v>
      </c>
      <c r="BX50">
        <v>20476</v>
      </c>
      <c r="BY50">
        <v>18738</v>
      </c>
      <c r="BZ50">
        <v>7782168</v>
      </c>
      <c r="CA50">
        <v>-4521</v>
      </c>
    </row>
    <row r="51" spans="1:79" x14ac:dyDescent="0.3">
      <c r="A51" s="155">
        <v>327</v>
      </c>
      <c r="B51" t="s">
        <v>881</v>
      </c>
      <c r="D51">
        <v>0</v>
      </c>
      <c r="E51">
        <v>0</v>
      </c>
      <c r="F51">
        <v>8865</v>
      </c>
      <c r="G51">
        <v>5287537</v>
      </c>
      <c r="H51">
        <v>0</v>
      </c>
      <c r="I51">
        <v>16104</v>
      </c>
      <c r="J51">
        <v>215245</v>
      </c>
      <c r="K51">
        <v>72530</v>
      </c>
      <c r="L51">
        <v>839066</v>
      </c>
      <c r="M51">
        <v>0</v>
      </c>
      <c r="N51">
        <v>6500</v>
      </c>
      <c r="P51">
        <v>0</v>
      </c>
      <c r="Q51">
        <v>224814</v>
      </c>
      <c r="R51">
        <v>628152</v>
      </c>
      <c r="S51">
        <v>7174055</v>
      </c>
      <c r="T51">
        <v>97947</v>
      </c>
      <c r="U51">
        <v>1020263</v>
      </c>
      <c r="V51">
        <v>0</v>
      </c>
      <c r="W51">
        <v>0</v>
      </c>
      <c r="X51">
        <v>0</v>
      </c>
      <c r="Y51">
        <v>20697</v>
      </c>
      <c r="Z51">
        <v>441230</v>
      </c>
      <c r="AA51">
        <v>32300</v>
      </c>
      <c r="AB51">
        <v>0</v>
      </c>
      <c r="AC51">
        <v>70000</v>
      </c>
      <c r="AD51">
        <v>152665</v>
      </c>
      <c r="AE51">
        <v>1712356</v>
      </c>
      <c r="AF51">
        <v>10300</v>
      </c>
      <c r="AG51">
        <v>0</v>
      </c>
      <c r="AH51">
        <v>0</v>
      </c>
      <c r="AI51">
        <v>0</v>
      </c>
      <c r="AJ51">
        <v>474294</v>
      </c>
      <c r="AK51">
        <v>63549</v>
      </c>
      <c r="AL51">
        <v>0</v>
      </c>
      <c r="AM51">
        <v>0</v>
      </c>
      <c r="AN51">
        <v>1226471</v>
      </c>
      <c r="AP51">
        <v>0</v>
      </c>
      <c r="AQ51">
        <v>865590</v>
      </c>
      <c r="AR51">
        <v>39677</v>
      </c>
      <c r="AS51">
        <v>14900</v>
      </c>
      <c r="AT51">
        <v>149857</v>
      </c>
      <c r="AU51">
        <v>131107</v>
      </c>
      <c r="AV51">
        <v>0</v>
      </c>
      <c r="AX51">
        <v>0</v>
      </c>
      <c r="AY51">
        <v>0</v>
      </c>
      <c r="AZ51">
        <v>15485</v>
      </c>
      <c r="BA51">
        <v>0</v>
      </c>
      <c r="BB51">
        <v>15000</v>
      </c>
      <c r="BC51">
        <v>217633</v>
      </c>
      <c r="BD51">
        <v>0</v>
      </c>
      <c r="BE51">
        <v>742664</v>
      </c>
      <c r="BH51">
        <v>43326</v>
      </c>
      <c r="BI51">
        <v>125250</v>
      </c>
      <c r="BJ51">
        <v>13600</v>
      </c>
      <c r="BK51">
        <v>242198</v>
      </c>
      <c r="BL51">
        <v>229735</v>
      </c>
      <c r="BM51">
        <v>0</v>
      </c>
      <c r="BN51">
        <v>101245</v>
      </c>
      <c r="BO51">
        <v>82273</v>
      </c>
      <c r="BP51">
        <v>62472</v>
      </c>
      <c r="BQ51">
        <v>325430</v>
      </c>
      <c r="BR51">
        <v>0</v>
      </c>
      <c r="BS51">
        <v>0</v>
      </c>
      <c r="BT51">
        <v>131166</v>
      </c>
      <c r="BU51">
        <v>111061</v>
      </c>
      <c r="BV51">
        <v>21500</v>
      </c>
      <c r="BW51">
        <v>0</v>
      </c>
      <c r="BX51">
        <v>0</v>
      </c>
      <c r="BY51">
        <v>0</v>
      </c>
      <c r="BZ51">
        <v>766326</v>
      </c>
      <c r="CA51">
        <v>0</v>
      </c>
    </row>
    <row r="52" spans="1:79" x14ac:dyDescent="0.3">
      <c r="A52" s="155">
        <v>328</v>
      </c>
      <c r="B52" t="s">
        <v>304</v>
      </c>
      <c r="D52">
        <v>0</v>
      </c>
      <c r="E52">
        <v>0</v>
      </c>
      <c r="F52">
        <v>0</v>
      </c>
      <c r="G52">
        <v>5719877</v>
      </c>
      <c r="H52">
        <v>34487</v>
      </c>
      <c r="I52">
        <v>0</v>
      </c>
      <c r="J52">
        <v>0</v>
      </c>
      <c r="K52">
        <v>1842985</v>
      </c>
      <c r="L52">
        <v>8250993</v>
      </c>
      <c r="M52">
        <v>0</v>
      </c>
      <c r="N52">
        <v>78480</v>
      </c>
      <c r="P52">
        <v>0</v>
      </c>
      <c r="Q52">
        <v>1348977</v>
      </c>
      <c r="R52">
        <v>2799562</v>
      </c>
      <c r="S52">
        <v>1298480</v>
      </c>
      <c r="T52">
        <v>6131</v>
      </c>
      <c r="U52">
        <v>19321499</v>
      </c>
      <c r="V52">
        <v>0</v>
      </c>
      <c r="W52">
        <v>0</v>
      </c>
      <c r="X52">
        <v>0</v>
      </c>
      <c r="Y52">
        <v>0</v>
      </c>
      <c r="Z52">
        <v>1035516</v>
      </c>
      <c r="AA52">
        <v>654774</v>
      </c>
      <c r="AB52">
        <v>0</v>
      </c>
      <c r="AC52">
        <v>0</v>
      </c>
      <c r="AD52">
        <v>407545</v>
      </c>
      <c r="AE52">
        <v>291804</v>
      </c>
      <c r="AF52">
        <v>0</v>
      </c>
      <c r="AG52">
        <v>0</v>
      </c>
      <c r="AH52">
        <v>0</v>
      </c>
      <c r="AI52">
        <v>0</v>
      </c>
      <c r="AJ52">
        <v>1867969</v>
      </c>
      <c r="AK52">
        <v>191594</v>
      </c>
      <c r="AL52">
        <v>0</v>
      </c>
      <c r="AM52">
        <v>0</v>
      </c>
      <c r="AN52">
        <v>11819695</v>
      </c>
      <c r="AP52">
        <v>0</v>
      </c>
      <c r="AQ52">
        <v>1728661</v>
      </c>
      <c r="AR52">
        <v>1887366</v>
      </c>
      <c r="AS52">
        <v>0</v>
      </c>
      <c r="AT52">
        <v>32569</v>
      </c>
      <c r="AU52">
        <v>224312</v>
      </c>
      <c r="AV52">
        <v>0</v>
      </c>
      <c r="AX52">
        <v>0</v>
      </c>
      <c r="AY52">
        <v>541472</v>
      </c>
      <c r="AZ52">
        <v>1264127</v>
      </c>
      <c r="BA52">
        <v>0</v>
      </c>
      <c r="BB52">
        <v>311175</v>
      </c>
      <c r="BC52">
        <v>1318541</v>
      </c>
      <c r="BD52">
        <v>0</v>
      </c>
      <c r="BE52">
        <v>175121</v>
      </c>
      <c r="BH52">
        <v>0</v>
      </c>
      <c r="BI52">
        <v>0</v>
      </c>
      <c r="BJ52">
        <v>1135472</v>
      </c>
      <c r="BK52">
        <v>800169</v>
      </c>
      <c r="BL52">
        <v>577067</v>
      </c>
      <c r="BM52">
        <v>0</v>
      </c>
      <c r="BN52">
        <v>0</v>
      </c>
      <c r="BO52">
        <v>0</v>
      </c>
      <c r="BP52">
        <v>0</v>
      </c>
      <c r="BQ52">
        <v>707793</v>
      </c>
      <c r="BR52">
        <v>0</v>
      </c>
      <c r="BS52">
        <v>0</v>
      </c>
      <c r="BT52">
        <v>252544</v>
      </c>
      <c r="BU52">
        <v>39000</v>
      </c>
      <c r="BV52">
        <v>378564</v>
      </c>
      <c r="BW52">
        <v>0</v>
      </c>
      <c r="BX52">
        <v>0</v>
      </c>
      <c r="BY52">
        <v>0</v>
      </c>
      <c r="BZ52">
        <v>2915009</v>
      </c>
      <c r="CA52">
        <v>0</v>
      </c>
    </row>
    <row r="53" spans="1:79" x14ac:dyDescent="0.3">
      <c r="A53" s="155">
        <v>331</v>
      </c>
      <c r="B53" t="s">
        <v>238</v>
      </c>
      <c r="D53">
        <v>0</v>
      </c>
      <c r="E53">
        <v>0</v>
      </c>
      <c r="F53">
        <v>7649</v>
      </c>
      <c r="G53">
        <v>4686196</v>
      </c>
      <c r="H53">
        <v>169661</v>
      </c>
      <c r="I53">
        <v>0</v>
      </c>
      <c r="J53">
        <v>0</v>
      </c>
      <c r="K53">
        <v>5973</v>
      </c>
      <c r="L53">
        <v>4130418</v>
      </c>
      <c r="M53">
        <v>0</v>
      </c>
      <c r="N53">
        <v>0</v>
      </c>
      <c r="P53">
        <v>0</v>
      </c>
      <c r="Q53">
        <v>2813</v>
      </c>
      <c r="R53">
        <v>847745</v>
      </c>
      <c r="S53">
        <v>1582627</v>
      </c>
      <c r="T53">
        <v>0</v>
      </c>
      <c r="U53">
        <v>663853</v>
      </c>
      <c r="V53">
        <v>0</v>
      </c>
      <c r="W53">
        <v>0</v>
      </c>
      <c r="X53">
        <v>144421</v>
      </c>
      <c r="Y53">
        <v>368921</v>
      </c>
      <c r="Z53">
        <v>12485</v>
      </c>
      <c r="AA53">
        <v>119944</v>
      </c>
      <c r="AB53">
        <v>0</v>
      </c>
      <c r="AC53">
        <v>20000</v>
      </c>
      <c r="AD53">
        <v>151537</v>
      </c>
      <c r="AE53">
        <v>144192</v>
      </c>
      <c r="AF53">
        <v>0</v>
      </c>
      <c r="AG53">
        <v>0</v>
      </c>
      <c r="AH53">
        <v>0</v>
      </c>
      <c r="AI53">
        <v>0</v>
      </c>
      <c r="AJ53">
        <v>873721</v>
      </c>
      <c r="AK53">
        <v>0</v>
      </c>
      <c r="AL53">
        <v>0</v>
      </c>
      <c r="AM53">
        <v>0</v>
      </c>
      <c r="AN53">
        <v>1679668</v>
      </c>
      <c r="AP53">
        <v>0</v>
      </c>
      <c r="AQ53">
        <v>378785</v>
      </c>
      <c r="AR53">
        <v>6064</v>
      </c>
      <c r="AS53">
        <v>51500</v>
      </c>
      <c r="AT53">
        <v>0</v>
      </c>
      <c r="AU53">
        <v>90399</v>
      </c>
      <c r="AV53">
        <v>19237</v>
      </c>
      <c r="AX53">
        <v>0</v>
      </c>
      <c r="AY53">
        <v>80951</v>
      </c>
      <c r="AZ53">
        <v>186775</v>
      </c>
      <c r="BA53">
        <v>0</v>
      </c>
      <c r="BB53">
        <v>35593</v>
      </c>
      <c r="BC53">
        <v>27833</v>
      </c>
      <c r="BD53">
        <v>0</v>
      </c>
      <c r="BE53">
        <v>1575764</v>
      </c>
      <c r="BH53">
        <v>274321</v>
      </c>
      <c r="BI53">
        <v>162960</v>
      </c>
      <c r="BJ53">
        <v>0</v>
      </c>
      <c r="BK53">
        <v>79013</v>
      </c>
      <c r="BL53">
        <v>36664</v>
      </c>
      <c r="BM53">
        <v>0</v>
      </c>
      <c r="BN53">
        <v>198758</v>
      </c>
      <c r="BO53">
        <v>93355</v>
      </c>
      <c r="BP53">
        <v>12452</v>
      </c>
      <c r="BQ53">
        <v>143058</v>
      </c>
      <c r="BR53">
        <v>0</v>
      </c>
      <c r="BS53">
        <v>0</v>
      </c>
      <c r="BT53">
        <v>19062</v>
      </c>
      <c r="BU53">
        <v>324177</v>
      </c>
      <c r="BV53">
        <v>23132</v>
      </c>
      <c r="BW53">
        <v>0</v>
      </c>
      <c r="BX53">
        <v>0</v>
      </c>
      <c r="BY53">
        <v>0</v>
      </c>
      <c r="BZ53">
        <v>3492619</v>
      </c>
      <c r="CA53">
        <v>0</v>
      </c>
    </row>
    <row r="54" spans="1:79" x14ac:dyDescent="0.3">
      <c r="A54" s="155">
        <v>332</v>
      </c>
      <c r="B54" t="s">
        <v>239</v>
      </c>
      <c r="D54">
        <v>0</v>
      </c>
      <c r="E54">
        <v>0</v>
      </c>
      <c r="F54">
        <v>0</v>
      </c>
      <c r="G54">
        <v>3021800</v>
      </c>
      <c r="H54">
        <v>259439</v>
      </c>
      <c r="I54">
        <v>197740</v>
      </c>
      <c r="J54">
        <v>32733</v>
      </c>
      <c r="K54">
        <v>94329</v>
      </c>
      <c r="L54">
        <v>4295135</v>
      </c>
      <c r="M54">
        <v>0</v>
      </c>
      <c r="N54">
        <v>0</v>
      </c>
      <c r="P54">
        <v>0</v>
      </c>
      <c r="Q54">
        <v>1507970</v>
      </c>
      <c r="R54">
        <v>691562</v>
      </c>
      <c r="S54">
        <v>1718219</v>
      </c>
      <c r="T54">
        <v>0</v>
      </c>
      <c r="U54">
        <v>1760707</v>
      </c>
      <c r="V54">
        <v>0</v>
      </c>
      <c r="W54">
        <v>0</v>
      </c>
      <c r="X54">
        <v>0</v>
      </c>
      <c r="Y54">
        <v>219478</v>
      </c>
      <c r="Z54">
        <v>829975</v>
      </c>
      <c r="AA54">
        <v>519070</v>
      </c>
      <c r="AB54">
        <v>0</v>
      </c>
      <c r="AC54">
        <v>25459</v>
      </c>
      <c r="AD54">
        <v>122105</v>
      </c>
      <c r="AE54">
        <v>331410</v>
      </c>
      <c r="AF54">
        <v>0</v>
      </c>
      <c r="AG54">
        <v>0</v>
      </c>
      <c r="AH54">
        <v>0</v>
      </c>
      <c r="AI54">
        <v>0</v>
      </c>
      <c r="AJ54">
        <v>2831761</v>
      </c>
      <c r="AK54">
        <v>43219</v>
      </c>
      <c r="AL54">
        <v>0</v>
      </c>
      <c r="AM54">
        <v>0</v>
      </c>
      <c r="AN54">
        <v>1767367</v>
      </c>
      <c r="AP54">
        <v>0</v>
      </c>
      <c r="AQ54">
        <v>1985720</v>
      </c>
      <c r="AR54">
        <v>1231866</v>
      </c>
      <c r="AS54">
        <v>100055</v>
      </c>
      <c r="AT54">
        <v>764019</v>
      </c>
      <c r="AU54">
        <v>858216</v>
      </c>
      <c r="AV54">
        <v>0</v>
      </c>
      <c r="AX54">
        <v>375604</v>
      </c>
      <c r="AY54">
        <v>118800</v>
      </c>
      <c r="AZ54">
        <v>667850</v>
      </c>
      <c r="BA54">
        <v>0</v>
      </c>
      <c r="BB54">
        <v>411451</v>
      </c>
      <c r="BC54">
        <v>1350441</v>
      </c>
      <c r="BD54">
        <v>0</v>
      </c>
      <c r="BE54">
        <v>6389283</v>
      </c>
      <c r="BH54">
        <v>0</v>
      </c>
      <c r="BI54">
        <v>0</v>
      </c>
      <c r="BJ54">
        <v>73711</v>
      </c>
      <c r="BK54">
        <v>256779</v>
      </c>
      <c r="BL54">
        <v>5175</v>
      </c>
      <c r="BM54">
        <v>0</v>
      </c>
      <c r="BN54">
        <v>577305</v>
      </c>
      <c r="BO54">
        <v>127822</v>
      </c>
      <c r="BP54">
        <v>16721</v>
      </c>
      <c r="BQ54">
        <v>796159</v>
      </c>
      <c r="BR54">
        <v>0</v>
      </c>
      <c r="BS54">
        <v>0</v>
      </c>
      <c r="BT54">
        <v>317413</v>
      </c>
      <c r="BU54">
        <v>121776</v>
      </c>
      <c r="BV54">
        <v>378564</v>
      </c>
      <c r="BW54">
        <v>0</v>
      </c>
      <c r="BX54">
        <v>0</v>
      </c>
      <c r="BY54">
        <v>0</v>
      </c>
      <c r="BZ54">
        <v>4233031</v>
      </c>
      <c r="CA54">
        <v>0</v>
      </c>
    </row>
    <row r="55" spans="1:79" x14ac:dyDescent="0.3">
      <c r="A55" s="155">
        <v>333</v>
      </c>
      <c r="B55" t="s">
        <v>176</v>
      </c>
      <c r="D55">
        <v>626991</v>
      </c>
      <c r="E55">
        <v>29420693</v>
      </c>
      <c r="F55">
        <v>660802</v>
      </c>
      <c r="G55">
        <v>50277945</v>
      </c>
      <c r="H55">
        <v>3259755</v>
      </c>
      <c r="I55">
        <v>440637</v>
      </c>
      <c r="J55">
        <v>2673725</v>
      </c>
      <c r="K55">
        <v>1161016</v>
      </c>
      <c r="L55">
        <v>52504926</v>
      </c>
      <c r="M55">
        <v>286622</v>
      </c>
      <c r="N55">
        <v>783353</v>
      </c>
      <c r="P55">
        <v>27080088</v>
      </c>
      <c r="Q55">
        <v>20356718</v>
      </c>
      <c r="R55">
        <v>2978181</v>
      </c>
      <c r="S55">
        <v>22117157</v>
      </c>
      <c r="T55">
        <v>212133</v>
      </c>
      <c r="U55">
        <v>28466044</v>
      </c>
      <c r="V55">
        <v>166751</v>
      </c>
      <c r="W55">
        <v>13264585</v>
      </c>
      <c r="X55">
        <v>14034373</v>
      </c>
      <c r="Y55">
        <v>6512653</v>
      </c>
      <c r="Z55">
        <v>2422053</v>
      </c>
      <c r="AA55">
        <v>6667064</v>
      </c>
      <c r="AB55">
        <v>1416249</v>
      </c>
      <c r="AC55">
        <v>325808</v>
      </c>
      <c r="AD55">
        <v>1547340</v>
      </c>
      <c r="AE55">
        <v>2533657</v>
      </c>
      <c r="AF55">
        <v>120435</v>
      </c>
      <c r="AG55">
        <v>76904</v>
      </c>
      <c r="AH55">
        <v>167857</v>
      </c>
      <c r="AI55">
        <v>3439206</v>
      </c>
      <c r="AJ55">
        <v>3674705</v>
      </c>
      <c r="AK55">
        <v>346631</v>
      </c>
      <c r="AL55">
        <v>127717</v>
      </c>
      <c r="AM55">
        <v>22758525</v>
      </c>
      <c r="AN55">
        <v>20868617</v>
      </c>
      <c r="AP55">
        <v>10523040</v>
      </c>
      <c r="AQ55">
        <v>27762345</v>
      </c>
      <c r="AR55">
        <v>2364535</v>
      </c>
      <c r="AS55">
        <v>577546</v>
      </c>
      <c r="AT55">
        <v>2032695</v>
      </c>
      <c r="AU55">
        <v>8060745</v>
      </c>
      <c r="AV55">
        <v>290054</v>
      </c>
      <c r="AX55">
        <v>3181941</v>
      </c>
      <c r="AY55">
        <v>3009156</v>
      </c>
      <c r="AZ55">
        <v>2199202</v>
      </c>
      <c r="BA55">
        <v>132754</v>
      </c>
      <c r="BB55">
        <v>2371779</v>
      </c>
      <c r="BC55">
        <v>1044301</v>
      </c>
      <c r="BD55">
        <v>399197</v>
      </c>
      <c r="BE55">
        <v>7289404</v>
      </c>
      <c r="BH55">
        <v>3423953</v>
      </c>
      <c r="BI55">
        <v>4668289</v>
      </c>
      <c r="BJ55">
        <v>500803</v>
      </c>
      <c r="BK55">
        <v>5146721</v>
      </c>
      <c r="BL55">
        <v>7639393</v>
      </c>
      <c r="BM55">
        <v>176865</v>
      </c>
      <c r="BN55">
        <v>4744588</v>
      </c>
      <c r="BO55">
        <v>4697973</v>
      </c>
      <c r="BP55">
        <v>1577230</v>
      </c>
      <c r="BQ55">
        <v>2128446</v>
      </c>
      <c r="BR55">
        <v>2709778</v>
      </c>
      <c r="BS55">
        <v>21015006</v>
      </c>
      <c r="BT55">
        <v>2321055</v>
      </c>
      <c r="BU55">
        <v>1967927</v>
      </c>
      <c r="BV55">
        <v>1233107</v>
      </c>
      <c r="BW55">
        <v>1530804</v>
      </c>
      <c r="BX55">
        <v>210446</v>
      </c>
      <c r="BY55">
        <v>188656</v>
      </c>
      <c r="BZ55">
        <v>18920436</v>
      </c>
      <c r="CA55">
        <v>54257</v>
      </c>
    </row>
    <row r="56" spans="1:79" x14ac:dyDescent="0.3">
      <c r="A56" s="155">
        <v>334</v>
      </c>
      <c r="B56" t="s">
        <v>261</v>
      </c>
      <c r="D56">
        <v>4142403</v>
      </c>
      <c r="E56">
        <v>68635619</v>
      </c>
      <c r="F56">
        <v>323646</v>
      </c>
      <c r="G56">
        <v>184542282</v>
      </c>
      <c r="H56">
        <v>11359381</v>
      </c>
      <c r="I56">
        <v>148692</v>
      </c>
      <c r="J56">
        <v>1660223</v>
      </c>
      <c r="K56">
        <v>3435297</v>
      </c>
      <c r="L56">
        <v>346556258</v>
      </c>
      <c r="M56">
        <v>158510</v>
      </c>
      <c r="N56">
        <v>2299995</v>
      </c>
      <c r="P56">
        <v>157806540</v>
      </c>
      <c r="Q56">
        <v>55452150</v>
      </c>
      <c r="R56">
        <v>12022576</v>
      </c>
      <c r="S56">
        <v>30673547</v>
      </c>
      <c r="T56">
        <v>585574</v>
      </c>
      <c r="U56">
        <v>42858786</v>
      </c>
      <c r="V56">
        <v>10238</v>
      </c>
      <c r="W56">
        <v>33058023</v>
      </c>
      <c r="X56">
        <v>122471086</v>
      </c>
      <c r="Y56">
        <v>14640168</v>
      </c>
      <c r="Z56">
        <v>18000149</v>
      </c>
      <c r="AA56">
        <v>12911987</v>
      </c>
      <c r="AB56">
        <v>787203</v>
      </c>
      <c r="AC56">
        <v>953108</v>
      </c>
      <c r="AD56">
        <v>4529594</v>
      </c>
      <c r="AE56">
        <v>6806009</v>
      </c>
      <c r="AF56">
        <v>759972</v>
      </c>
      <c r="AG56">
        <v>178432</v>
      </c>
      <c r="AH56">
        <v>1890054</v>
      </c>
      <c r="AI56">
        <v>2445876</v>
      </c>
      <c r="AJ56">
        <v>20606938</v>
      </c>
      <c r="AK56">
        <v>1808858</v>
      </c>
      <c r="AL56">
        <v>37459</v>
      </c>
      <c r="AM56">
        <v>152567674</v>
      </c>
      <c r="AN56">
        <v>79273487</v>
      </c>
      <c r="AP56">
        <v>13497164</v>
      </c>
      <c r="AQ56">
        <v>101894842</v>
      </c>
      <c r="AR56">
        <v>4424666</v>
      </c>
      <c r="AS56">
        <v>4069266</v>
      </c>
      <c r="AT56">
        <v>10691505</v>
      </c>
      <c r="AU56">
        <v>42731477</v>
      </c>
      <c r="AV56">
        <v>852072</v>
      </c>
      <c r="AX56">
        <v>18415592</v>
      </c>
      <c r="AY56">
        <v>8415589</v>
      </c>
      <c r="AZ56">
        <v>9790037</v>
      </c>
      <c r="BA56">
        <v>5342</v>
      </c>
      <c r="BB56">
        <v>5574326</v>
      </c>
      <c r="BC56">
        <v>2114133</v>
      </c>
      <c r="BD56">
        <v>110316</v>
      </c>
      <c r="BE56">
        <v>53263135</v>
      </c>
      <c r="BH56">
        <v>6167859</v>
      </c>
      <c r="BI56">
        <v>9550688</v>
      </c>
      <c r="BJ56">
        <v>1104965</v>
      </c>
      <c r="BK56">
        <v>20253138</v>
      </c>
      <c r="BL56">
        <v>10361326</v>
      </c>
      <c r="BM56">
        <v>154058</v>
      </c>
      <c r="BN56">
        <v>19876606</v>
      </c>
      <c r="BO56">
        <v>9294744</v>
      </c>
      <c r="BP56">
        <v>1279907</v>
      </c>
      <c r="BQ56">
        <v>3404832</v>
      </c>
      <c r="BR56">
        <v>9560335</v>
      </c>
      <c r="BS56">
        <v>149504790</v>
      </c>
      <c r="BT56">
        <v>4993001</v>
      </c>
      <c r="BU56">
        <v>6290319</v>
      </c>
      <c r="BV56">
        <v>1886191</v>
      </c>
      <c r="BW56">
        <v>3850809</v>
      </c>
      <c r="BX56">
        <v>43270</v>
      </c>
      <c r="BY56">
        <v>99967</v>
      </c>
      <c r="BZ56">
        <v>77210589</v>
      </c>
      <c r="CA56">
        <v>316984</v>
      </c>
    </row>
    <row r="57" spans="1:79" x14ac:dyDescent="0.3">
      <c r="A57" s="155">
        <v>335</v>
      </c>
      <c r="B57" t="s">
        <v>109</v>
      </c>
      <c r="D57">
        <v>0</v>
      </c>
      <c r="E57">
        <v>0</v>
      </c>
      <c r="F57">
        <v>1890</v>
      </c>
      <c r="G57">
        <v>0</v>
      </c>
      <c r="H57">
        <v>0</v>
      </c>
      <c r="I57">
        <v>0</v>
      </c>
      <c r="J57">
        <v>0</v>
      </c>
      <c r="K57">
        <v>0</v>
      </c>
      <c r="L57">
        <v>0</v>
      </c>
      <c r="M57">
        <v>0</v>
      </c>
      <c r="N57">
        <v>134012</v>
      </c>
      <c r="P57">
        <v>47424</v>
      </c>
      <c r="Q57">
        <v>6820</v>
      </c>
      <c r="R57">
        <v>788098</v>
      </c>
      <c r="S57">
        <v>0</v>
      </c>
      <c r="T57">
        <v>108344</v>
      </c>
      <c r="U57">
        <v>10135</v>
      </c>
      <c r="V57">
        <v>0</v>
      </c>
      <c r="W57">
        <v>0</v>
      </c>
      <c r="X57">
        <v>0</v>
      </c>
      <c r="Y57">
        <v>250000</v>
      </c>
      <c r="Z57">
        <v>0</v>
      </c>
      <c r="AA57">
        <v>16500000</v>
      </c>
      <c r="AB57">
        <v>90</v>
      </c>
      <c r="AC57">
        <v>0</v>
      </c>
      <c r="AD57">
        <v>0</v>
      </c>
      <c r="AE57">
        <v>445109</v>
      </c>
      <c r="AF57">
        <v>250000</v>
      </c>
      <c r="AG57">
        <v>0</v>
      </c>
      <c r="AH57">
        <v>10918</v>
      </c>
      <c r="AI57">
        <v>371283</v>
      </c>
      <c r="AJ57">
        <v>0</v>
      </c>
      <c r="AK57">
        <v>77260</v>
      </c>
      <c r="AL57">
        <v>8764</v>
      </c>
      <c r="AM57">
        <v>4001706</v>
      </c>
      <c r="AN57">
        <v>0</v>
      </c>
      <c r="AP57">
        <v>0</v>
      </c>
      <c r="AQ57">
        <v>3024866</v>
      </c>
      <c r="AR57">
        <v>411786</v>
      </c>
      <c r="AS57">
        <v>20965</v>
      </c>
      <c r="AT57">
        <v>0</v>
      </c>
      <c r="AU57">
        <v>0</v>
      </c>
      <c r="AV57">
        <v>0</v>
      </c>
      <c r="AX57">
        <v>0</v>
      </c>
      <c r="AY57">
        <v>0</v>
      </c>
      <c r="AZ57">
        <v>576683</v>
      </c>
      <c r="BA57">
        <v>0</v>
      </c>
      <c r="BB57">
        <v>0</v>
      </c>
      <c r="BC57">
        <v>183570</v>
      </c>
      <c r="BD57">
        <v>0</v>
      </c>
      <c r="BE57">
        <v>915077</v>
      </c>
      <c r="BH57">
        <v>0</v>
      </c>
      <c r="BI57">
        <v>8420</v>
      </c>
      <c r="BJ57">
        <v>0</v>
      </c>
      <c r="BK57">
        <v>0</v>
      </c>
      <c r="BL57">
        <v>232012</v>
      </c>
      <c r="BM57">
        <v>0</v>
      </c>
      <c r="BN57">
        <v>0</v>
      </c>
      <c r="BO57">
        <v>0</v>
      </c>
      <c r="BP57">
        <v>0</v>
      </c>
      <c r="BQ57">
        <v>0</v>
      </c>
      <c r="BR57">
        <v>0</v>
      </c>
      <c r="BS57">
        <v>254319</v>
      </c>
      <c r="BT57">
        <v>0</v>
      </c>
      <c r="BU57">
        <v>1302835</v>
      </c>
      <c r="BV57">
        <v>0</v>
      </c>
      <c r="BW57">
        <v>107242</v>
      </c>
      <c r="BX57">
        <v>0</v>
      </c>
      <c r="BY57">
        <v>0</v>
      </c>
      <c r="BZ57">
        <v>0</v>
      </c>
      <c r="CA57">
        <v>33463</v>
      </c>
    </row>
    <row r="58" spans="1:79" x14ac:dyDescent="0.3">
      <c r="A58" s="155">
        <v>336</v>
      </c>
      <c r="B58" t="s">
        <v>882</v>
      </c>
      <c r="D58">
        <v>113665</v>
      </c>
      <c r="E58">
        <v>2921807</v>
      </c>
      <c r="F58">
        <v>105858</v>
      </c>
      <c r="G58">
        <v>7257802</v>
      </c>
      <c r="H58">
        <v>581047</v>
      </c>
      <c r="I58">
        <v>15890</v>
      </c>
      <c r="J58">
        <v>15585</v>
      </c>
      <c r="K58">
        <v>485347</v>
      </c>
      <c r="L58">
        <v>16335164</v>
      </c>
      <c r="M58">
        <v>22661</v>
      </c>
      <c r="N58">
        <v>51252</v>
      </c>
      <c r="P58">
        <v>5900525</v>
      </c>
      <c r="Q58">
        <v>5781008</v>
      </c>
      <c r="R58">
        <v>1237733</v>
      </c>
      <c r="S58">
        <v>2574535</v>
      </c>
      <c r="T58">
        <v>8350</v>
      </c>
      <c r="U58">
        <v>3362554</v>
      </c>
      <c r="V58">
        <v>2859</v>
      </c>
      <c r="W58">
        <v>1609502</v>
      </c>
      <c r="X58">
        <v>3090626</v>
      </c>
      <c r="Y58">
        <v>1062770</v>
      </c>
      <c r="Z58">
        <v>482570</v>
      </c>
      <c r="AA58">
        <v>17216551</v>
      </c>
      <c r="AB58">
        <v>540012</v>
      </c>
      <c r="AC58">
        <v>4905</v>
      </c>
      <c r="AD58">
        <v>32304</v>
      </c>
      <c r="AE58">
        <v>671462</v>
      </c>
      <c r="AF58">
        <v>3779</v>
      </c>
      <c r="AG58">
        <v>1204</v>
      </c>
      <c r="AH58">
        <v>440</v>
      </c>
      <c r="AI58">
        <v>451332</v>
      </c>
      <c r="AJ58">
        <v>3668346</v>
      </c>
      <c r="AK58">
        <v>5765</v>
      </c>
      <c r="AL58">
        <v>4343</v>
      </c>
      <c r="AM58">
        <v>10671786</v>
      </c>
      <c r="AN58">
        <v>4270409</v>
      </c>
      <c r="AP58">
        <v>1381014</v>
      </c>
      <c r="AQ58">
        <v>9838702</v>
      </c>
      <c r="AR58">
        <v>789435</v>
      </c>
      <c r="AS58">
        <v>148775</v>
      </c>
      <c r="AT58">
        <v>666694</v>
      </c>
      <c r="AU58">
        <v>4541902</v>
      </c>
      <c r="AV58">
        <v>60271</v>
      </c>
      <c r="AX58">
        <v>2344142</v>
      </c>
      <c r="AY58">
        <v>53231</v>
      </c>
      <c r="AZ58">
        <v>913182</v>
      </c>
      <c r="BA58">
        <v>0</v>
      </c>
      <c r="BB58">
        <v>878514</v>
      </c>
      <c r="BC58">
        <v>259175</v>
      </c>
      <c r="BD58">
        <v>1038</v>
      </c>
      <c r="BE58">
        <v>6750078</v>
      </c>
      <c r="BH58">
        <v>56836</v>
      </c>
      <c r="BI58">
        <v>372294</v>
      </c>
      <c r="BJ58">
        <v>42179</v>
      </c>
      <c r="BK58">
        <v>252188</v>
      </c>
      <c r="BL58">
        <v>410329</v>
      </c>
      <c r="BM58">
        <v>-15750</v>
      </c>
      <c r="BN58">
        <v>938809</v>
      </c>
      <c r="BO58">
        <v>381197</v>
      </c>
      <c r="BP58">
        <v>15166</v>
      </c>
      <c r="BQ58">
        <v>102774</v>
      </c>
      <c r="BR58">
        <v>130435</v>
      </c>
      <c r="BS58">
        <v>2840683</v>
      </c>
      <c r="BT58">
        <v>117767</v>
      </c>
      <c r="BU58">
        <v>1465121</v>
      </c>
      <c r="BV58">
        <v>118767</v>
      </c>
      <c r="BW58">
        <v>111777</v>
      </c>
      <c r="BX58">
        <v>0</v>
      </c>
      <c r="BY58">
        <v>0</v>
      </c>
      <c r="BZ58">
        <v>3161023</v>
      </c>
      <c r="CA58">
        <v>35549</v>
      </c>
    </row>
    <row r="59" spans="1:79" x14ac:dyDescent="0.3">
      <c r="A59" s="155">
        <v>337</v>
      </c>
      <c r="B59" t="s">
        <v>245</v>
      </c>
      <c r="D59">
        <v>1319779</v>
      </c>
      <c r="E59">
        <v>18720860</v>
      </c>
      <c r="F59">
        <v>16785</v>
      </c>
      <c r="G59">
        <v>17096235</v>
      </c>
      <c r="H59">
        <v>925785</v>
      </c>
      <c r="I59">
        <v>36000</v>
      </c>
      <c r="J59">
        <v>0</v>
      </c>
      <c r="K59">
        <v>1390975</v>
      </c>
      <c r="L59">
        <v>125191976</v>
      </c>
      <c r="M59">
        <v>0</v>
      </c>
      <c r="N59">
        <v>26280</v>
      </c>
      <c r="P59">
        <v>21569939</v>
      </c>
      <c r="Q59">
        <v>11026819</v>
      </c>
      <c r="R59">
        <v>2034591</v>
      </c>
      <c r="S59">
        <v>1819580</v>
      </c>
      <c r="T59">
        <v>0</v>
      </c>
      <c r="U59">
        <v>10440386</v>
      </c>
      <c r="V59">
        <v>0</v>
      </c>
      <c r="W59">
        <v>0</v>
      </c>
      <c r="X59">
        <v>10160285</v>
      </c>
      <c r="Y59">
        <v>4161329</v>
      </c>
      <c r="Z59">
        <v>171968</v>
      </c>
      <c r="AA59">
        <v>1466802</v>
      </c>
      <c r="AB59">
        <v>0</v>
      </c>
      <c r="AC59">
        <v>0</v>
      </c>
      <c r="AD59">
        <v>0</v>
      </c>
      <c r="AE59">
        <v>806997</v>
      </c>
      <c r="AF59">
        <v>0</v>
      </c>
      <c r="AG59">
        <v>0</v>
      </c>
      <c r="AH59">
        <v>0</v>
      </c>
      <c r="AI59">
        <v>46935</v>
      </c>
      <c r="AJ59">
        <v>4480666</v>
      </c>
      <c r="AK59">
        <v>0</v>
      </c>
      <c r="AL59">
        <v>0</v>
      </c>
      <c r="AM59">
        <v>0</v>
      </c>
      <c r="AN59">
        <v>842948</v>
      </c>
      <c r="AP59">
        <v>1800000</v>
      </c>
      <c r="AQ59">
        <v>5114096</v>
      </c>
      <c r="AR59">
        <v>694347</v>
      </c>
      <c r="AS59">
        <v>772221</v>
      </c>
      <c r="AT59">
        <v>2629076</v>
      </c>
      <c r="AU59">
        <v>2120424</v>
      </c>
      <c r="AV59">
        <v>0</v>
      </c>
      <c r="AX59">
        <v>0</v>
      </c>
      <c r="AY59">
        <v>872926</v>
      </c>
      <c r="AZ59">
        <v>753439</v>
      </c>
      <c r="BA59">
        <v>0</v>
      </c>
      <c r="BB59">
        <v>478139</v>
      </c>
      <c r="BC59">
        <v>0</v>
      </c>
      <c r="BD59">
        <v>0</v>
      </c>
      <c r="BE59">
        <v>13648214</v>
      </c>
      <c r="BH59">
        <v>72691</v>
      </c>
      <c r="BI59">
        <v>4537</v>
      </c>
      <c r="BJ59">
        <v>100000</v>
      </c>
      <c r="BK59">
        <v>0</v>
      </c>
      <c r="BL59">
        <v>0</v>
      </c>
      <c r="BM59">
        <v>0</v>
      </c>
      <c r="BN59">
        <v>2150544</v>
      </c>
      <c r="BO59">
        <v>0</v>
      </c>
      <c r="BP59">
        <v>0</v>
      </c>
      <c r="BQ59">
        <v>0</v>
      </c>
      <c r="BR59">
        <v>1102000</v>
      </c>
      <c r="BS59">
        <v>6310478</v>
      </c>
      <c r="BT59">
        <v>423960</v>
      </c>
      <c r="BU59">
        <v>356512</v>
      </c>
      <c r="BV59">
        <v>93311</v>
      </c>
      <c r="BW59">
        <v>0</v>
      </c>
      <c r="BX59">
        <v>0</v>
      </c>
      <c r="BY59">
        <v>0</v>
      </c>
      <c r="BZ59">
        <v>7512035</v>
      </c>
      <c r="CA59">
        <v>27797</v>
      </c>
    </row>
    <row r="60" spans="1:79" x14ac:dyDescent="0.3">
      <c r="A60" s="155">
        <v>338</v>
      </c>
      <c r="B60" t="s">
        <v>108</v>
      </c>
      <c r="D60">
        <v>2280032</v>
      </c>
      <c r="E60">
        <v>28283431</v>
      </c>
      <c r="F60">
        <v>247476</v>
      </c>
      <c r="G60">
        <v>43325465</v>
      </c>
      <c r="H60">
        <v>3047660</v>
      </c>
      <c r="I60">
        <v>493391</v>
      </c>
      <c r="J60">
        <v>579301</v>
      </c>
      <c r="K60">
        <v>2897573</v>
      </c>
      <c r="L60">
        <v>239772225</v>
      </c>
      <c r="M60">
        <v>22661</v>
      </c>
      <c r="N60">
        <v>1198822</v>
      </c>
      <c r="P60">
        <v>51640196</v>
      </c>
      <c r="Q60">
        <v>30158114</v>
      </c>
      <c r="R60">
        <v>6211314</v>
      </c>
      <c r="S60">
        <v>21538319</v>
      </c>
      <c r="T60">
        <v>116694</v>
      </c>
      <c r="U60">
        <v>28342942</v>
      </c>
      <c r="V60">
        <v>17433</v>
      </c>
      <c r="W60">
        <v>13463099</v>
      </c>
      <c r="X60">
        <v>31320062</v>
      </c>
      <c r="Y60">
        <v>10207832</v>
      </c>
      <c r="Z60">
        <v>783540</v>
      </c>
      <c r="AA60">
        <v>24411646</v>
      </c>
      <c r="AB60">
        <v>540102</v>
      </c>
      <c r="AC60">
        <v>4905</v>
      </c>
      <c r="AD60">
        <v>404363</v>
      </c>
      <c r="AE60">
        <v>2405930</v>
      </c>
      <c r="AF60">
        <v>253779</v>
      </c>
      <c r="AG60">
        <v>1204</v>
      </c>
      <c r="AH60">
        <v>11358</v>
      </c>
      <c r="AI60">
        <v>1378198</v>
      </c>
      <c r="AJ60">
        <v>14866020</v>
      </c>
      <c r="AK60">
        <v>83025</v>
      </c>
      <c r="AL60">
        <v>13107</v>
      </c>
      <c r="AM60">
        <v>30660290</v>
      </c>
      <c r="AN60">
        <v>17537366</v>
      </c>
      <c r="AP60">
        <v>3454924</v>
      </c>
      <c r="AQ60">
        <v>44400255</v>
      </c>
      <c r="AR60">
        <v>2735255</v>
      </c>
      <c r="AS60">
        <v>1203045</v>
      </c>
      <c r="AT60">
        <v>6448879</v>
      </c>
      <c r="AU60">
        <v>21764176</v>
      </c>
      <c r="AV60">
        <v>84644</v>
      </c>
      <c r="AX60">
        <v>3823381</v>
      </c>
      <c r="AY60">
        <v>3965853</v>
      </c>
      <c r="AZ60">
        <v>4373452</v>
      </c>
      <c r="BA60">
        <v>17847</v>
      </c>
      <c r="BB60">
        <v>2504560</v>
      </c>
      <c r="BC60">
        <v>334301</v>
      </c>
      <c r="BD60">
        <v>15060</v>
      </c>
      <c r="BE60">
        <v>72638714</v>
      </c>
      <c r="BH60">
        <v>10124261</v>
      </c>
      <c r="BI60">
        <v>1761880</v>
      </c>
      <c r="BJ60">
        <v>221445</v>
      </c>
      <c r="BK60">
        <v>3381122</v>
      </c>
      <c r="BL60">
        <v>4263548</v>
      </c>
      <c r="BM60">
        <v>15750</v>
      </c>
      <c r="BN60">
        <v>5907043</v>
      </c>
      <c r="BO60">
        <v>1073763</v>
      </c>
      <c r="BP60">
        <v>294980</v>
      </c>
      <c r="BQ60">
        <v>2575934</v>
      </c>
      <c r="BR60">
        <v>1498317</v>
      </c>
      <c r="BS60">
        <v>17249500</v>
      </c>
      <c r="BT60">
        <v>1871975</v>
      </c>
      <c r="BU60">
        <v>7577548</v>
      </c>
      <c r="BV60">
        <v>671473</v>
      </c>
      <c r="BW60">
        <v>163119</v>
      </c>
      <c r="BX60">
        <v>12098</v>
      </c>
      <c r="BY60">
        <v>7738</v>
      </c>
      <c r="BZ60">
        <v>28622198</v>
      </c>
      <c r="CA60">
        <v>61592</v>
      </c>
    </row>
    <row r="61" spans="1:79" x14ac:dyDescent="0.3">
      <c r="A61" s="155">
        <v>339</v>
      </c>
      <c r="B61" t="s">
        <v>181</v>
      </c>
      <c r="D61">
        <v>49498</v>
      </c>
      <c r="E61">
        <v>662976</v>
      </c>
      <c r="F61">
        <v>17478</v>
      </c>
      <c r="G61">
        <v>2569578</v>
      </c>
      <c r="H61">
        <v>1420451</v>
      </c>
      <c r="I61">
        <v>9030</v>
      </c>
      <c r="J61">
        <v>1298</v>
      </c>
      <c r="K61">
        <v>187656</v>
      </c>
      <c r="L61">
        <v>2762716</v>
      </c>
      <c r="M61">
        <v>0</v>
      </c>
      <c r="N61">
        <v>134429</v>
      </c>
      <c r="P61">
        <v>2781964</v>
      </c>
      <c r="Q61">
        <v>742042</v>
      </c>
      <c r="R61">
        <v>404829</v>
      </c>
      <c r="S61">
        <v>2723837</v>
      </c>
      <c r="T61">
        <v>0</v>
      </c>
      <c r="U61">
        <v>3907092</v>
      </c>
      <c r="V61">
        <v>0</v>
      </c>
      <c r="W61">
        <v>202117</v>
      </c>
      <c r="X61">
        <v>4045185</v>
      </c>
      <c r="Y61">
        <v>2477327</v>
      </c>
      <c r="Z61">
        <v>657415</v>
      </c>
      <c r="AA61">
        <v>1351057</v>
      </c>
      <c r="AB61">
        <v>90564</v>
      </c>
      <c r="AC61">
        <v>0</v>
      </c>
      <c r="AD61">
        <v>98615</v>
      </c>
      <c r="AE61">
        <v>465462</v>
      </c>
      <c r="AF61">
        <v>41033</v>
      </c>
      <c r="AG61">
        <v>0</v>
      </c>
      <c r="AH61">
        <v>0</v>
      </c>
      <c r="AI61">
        <v>5790</v>
      </c>
      <c r="AJ61">
        <v>315246</v>
      </c>
      <c r="AK61">
        <v>0</v>
      </c>
      <c r="AL61">
        <v>0</v>
      </c>
      <c r="AM61">
        <v>6118303</v>
      </c>
      <c r="AN61">
        <v>1761799</v>
      </c>
      <c r="AP61">
        <v>15924</v>
      </c>
      <c r="AQ61">
        <v>2400697</v>
      </c>
      <c r="AR61">
        <v>334268</v>
      </c>
      <c r="AS61">
        <v>30424</v>
      </c>
      <c r="AT61">
        <v>770316</v>
      </c>
      <c r="AU61">
        <v>241305</v>
      </c>
      <c r="AV61">
        <v>26276</v>
      </c>
      <c r="AX61">
        <v>69058</v>
      </c>
      <c r="AY61">
        <v>379590</v>
      </c>
      <c r="AZ61">
        <v>506698</v>
      </c>
      <c r="BA61">
        <v>14078</v>
      </c>
      <c r="BB61">
        <v>202126</v>
      </c>
      <c r="BC61">
        <v>87948</v>
      </c>
      <c r="BD61">
        <v>1160</v>
      </c>
      <c r="BE61">
        <v>1921004</v>
      </c>
      <c r="BH61">
        <v>743650</v>
      </c>
      <c r="BI61">
        <v>184978</v>
      </c>
      <c r="BJ61">
        <v>116475</v>
      </c>
      <c r="BK61">
        <v>333349</v>
      </c>
      <c r="BL61">
        <v>365313</v>
      </c>
      <c r="BM61">
        <v>0</v>
      </c>
      <c r="BN61">
        <v>1882045</v>
      </c>
      <c r="BO61">
        <v>46928</v>
      </c>
      <c r="BP61">
        <v>7016</v>
      </c>
      <c r="BQ61">
        <v>262421</v>
      </c>
      <c r="BR61">
        <v>204335</v>
      </c>
      <c r="BS61">
        <v>2167279</v>
      </c>
      <c r="BT61">
        <v>270102</v>
      </c>
      <c r="BU61">
        <v>308867</v>
      </c>
      <c r="BV61">
        <v>195086</v>
      </c>
      <c r="BW61">
        <v>2576</v>
      </c>
      <c r="BX61">
        <v>0</v>
      </c>
      <c r="BY61">
        <v>0</v>
      </c>
      <c r="BZ61">
        <v>2165375</v>
      </c>
      <c r="CA61">
        <v>9408</v>
      </c>
    </row>
    <row r="62" spans="1:79" x14ac:dyDescent="0.3">
      <c r="A62" s="155">
        <v>341</v>
      </c>
      <c r="B62" t="s">
        <v>883</v>
      </c>
      <c r="D62">
        <v>2565512</v>
      </c>
      <c r="E62">
        <v>16594501</v>
      </c>
      <c r="F62">
        <v>376278</v>
      </c>
      <c r="G62">
        <v>46940591</v>
      </c>
      <c r="H62">
        <v>3909053</v>
      </c>
      <c r="I62">
        <v>253651</v>
      </c>
      <c r="J62">
        <v>1560929</v>
      </c>
      <c r="K62">
        <v>1904319</v>
      </c>
      <c r="L62">
        <v>53536355</v>
      </c>
      <c r="M62">
        <v>140543</v>
      </c>
      <c r="N62">
        <v>798641</v>
      </c>
      <c r="P62">
        <v>44084335</v>
      </c>
      <c r="Q62">
        <v>20341970</v>
      </c>
      <c r="R62">
        <v>6076001</v>
      </c>
      <c r="S62">
        <v>13558829</v>
      </c>
      <c r="T62">
        <v>183851</v>
      </c>
      <c r="U62">
        <v>28127740</v>
      </c>
      <c r="V62">
        <v>22888</v>
      </c>
      <c r="W62">
        <v>11043783</v>
      </c>
      <c r="X62">
        <v>18401046</v>
      </c>
      <c r="Y62">
        <v>4945443</v>
      </c>
      <c r="Z62">
        <v>1292579</v>
      </c>
      <c r="AA62">
        <v>6531171</v>
      </c>
      <c r="AB62">
        <v>1325284</v>
      </c>
      <c r="AC62">
        <v>429719</v>
      </c>
      <c r="AD62">
        <v>1229221</v>
      </c>
      <c r="AE62">
        <v>3693380</v>
      </c>
      <c r="AF62">
        <v>100673</v>
      </c>
      <c r="AG62">
        <v>57365</v>
      </c>
      <c r="AH62">
        <v>84695</v>
      </c>
      <c r="AI62">
        <v>3158640</v>
      </c>
      <c r="AJ62">
        <v>7291444</v>
      </c>
      <c r="AK62">
        <v>199926</v>
      </c>
      <c r="AL62">
        <v>28182</v>
      </c>
      <c r="AM62">
        <v>20682777</v>
      </c>
      <c r="AN62">
        <v>19486791</v>
      </c>
      <c r="AP62">
        <v>5005836</v>
      </c>
      <c r="AQ62">
        <v>22157321</v>
      </c>
      <c r="AR62">
        <v>2638861</v>
      </c>
      <c r="AS62">
        <v>627053</v>
      </c>
      <c r="AT62">
        <v>4371204</v>
      </c>
      <c r="AU62">
        <v>12867703</v>
      </c>
      <c r="AV62">
        <v>81085</v>
      </c>
      <c r="AX62">
        <v>5132779</v>
      </c>
      <c r="AY62">
        <v>4008558</v>
      </c>
      <c r="AZ62">
        <v>2815823</v>
      </c>
      <c r="BA62">
        <v>89018</v>
      </c>
      <c r="BB62">
        <v>2925309</v>
      </c>
      <c r="BC62">
        <v>365595</v>
      </c>
      <c r="BD62">
        <v>74539</v>
      </c>
      <c r="BE62">
        <v>22418360</v>
      </c>
      <c r="BH62">
        <v>3139964</v>
      </c>
      <c r="BI62">
        <v>3230549</v>
      </c>
      <c r="BJ62">
        <v>640650</v>
      </c>
      <c r="BK62">
        <v>10466934</v>
      </c>
      <c r="BL62">
        <v>5020253</v>
      </c>
      <c r="BM62">
        <v>48396</v>
      </c>
      <c r="BN62">
        <v>5694717</v>
      </c>
      <c r="BO62">
        <v>2525823</v>
      </c>
      <c r="BP62">
        <v>1147782</v>
      </c>
      <c r="BQ62">
        <v>2618006</v>
      </c>
      <c r="BR62">
        <v>1631709</v>
      </c>
      <c r="BS62">
        <v>24624767</v>
      </c>
      <c r="BT62">
        <v>1841171</v>
      </c>
      <c r="BU62">
        <v>2798638</v>
      </c>
      <c r="BV62">
        <v>640773</v>
      </c>
      <c r="BW62">
        <v>950950</v>
      </c>
      <c r="BX62">
        <v>39891</v>
      </c>
      <c r="BY62">
        <v>44019</v>
      </c>
      <c r="BZ62">
        <v>21511410</v>
      </c>
      <c r="CA62">
        <v>55280</v>
      </c>
    </row>
    <row r="63" spans="1:79" x14ac:dyDescent="0.3">
      <c r="A63" s="155">
        <v>343</v>
      </c>
      <c r="B63" t="s">
        <v>246</v>
      </c>
      <c r="D63">
        <v>111708</v>
      </c>
      <c r="E63">
        <v>1145507</v>
      </c>
      <c r="F63">
        <v>5247</v>
      </c>
      <c r="G63">
        <v>3385344</v>
      </c>
      <c r="H63">
        <v>304739</v>
      </c>
      <c r="I63">
        <v>0</v>
      </c>
      <c r="J63">
        <v>0</v>
      </c>
      <c r="K63">
        <v>73382</v>
      </c>
      <c r="L63">
        <v>10167424</v>
      </c>
      <c r="M63">
        <v>0</v>
      </c>
      <c r="N63">
        <v>26280</v>
      </c>
      <c r="P63">
        <v>4183854</v>
      </c>
      <c r="Q63">
        <v>3138606</v>
      </c>
      <c r="R63">
        <v>452645</v>
      </c>
      <c r="S63">
        <v>805245</v>
      </c>
      <c r="T63">
        <v>0</v>
      </c>
      <c r="U63">
        <v>786339</v>
      </c>
      <c r="V63">
        <v>0</v>
      </c>
      <c r="W63">
        <v>0</v>
      </c>
      <c r="X63">
        <v>6720723</v>
      </c>
      <c r="Y63">
        <v>593744</v>
      </c>
      <c r="Z63">
        <v>104892</v>
      </c>
      <c r="AA63">
        <v>303989</v>
      </c>
      <c r="AB63">
        <v>0</v>
      </c>
      <c r="AC63">
        <v>20000</v>
      </c>
      <c r="AD63">
        <v>23170</v>
      </c>
      <c r="AE63">
        <v>18092</v>
      </c>
      <c r="AF63">
        <v>0</v>
      </c>
      <c r="AG63">
        <v>0</v>
      </c>
      <c r="AH63">
        <v>0</v>
      </c>
      <c r="AI63">
        <v>41958</v>
      </c>
      <c r="AJ63">
        <v>449604</v>
      </c>
      <c r="AK63">
        <v>0</v>
      </c>
      <c r="AL63">
        <v>0</v>
      </c>
      <c r="AM63">
        <v>0</v>
      </c>
      <c r="AN63">
        <v>129684</v>
      </c>
      <c r="AP63">
        <v>200000</v>
      </c>
      <c r="AQ63">
        <v>1640037</v>
      </c>
      <c r="AR63">
        <v>93577</v>
      </c>
      <c r="AS63">
        <v>125451</v>
      </c>
      <c r="AT63">
        <v>245177</v>
      </c>
      <c r="AU63">
        <v>632936</v>
      </c>
      <c r="AV63">
        <v>0</v>
      </c>
      <c r="AX63">
        <v>1551129</v>
      </c>
      <c r="AY63">
        <v>97032</v>
      </c>
      <c r="AZ63">
        <v>138590</v>
      </c>
      <c r="BA63">
        <v>0</v>
      </c>
      <c r="BB63">
        <v>163662</v>
      </c>
      <c r="BC63">
        <v>0</v>
      </c>
      <c r="BD63">
        <v>0</v>
      </c>
      <c r="BE63">
        <v>1054569</v>
      </c>
      <c r="BH63">
        <v>15833</v>
      </c>
      <c r="BI63">
        <v>4519</v>
      </c>
      <c r="BJ63">
        <v>20000</v>
      </c>
      <c r="BK63">
        <v>1647399</v>
      </c>
      <c r="BL63">
        <v>0</v>
      </c>
      <c r="BM63">
        <v>0</v>
      </c>
      <c r="BN63">
        <v>290872</v>
      </c>
      <c r="BO63">
        <v>0</v>
      </c>
      <c r="BP63">
        <v>0</v>
      </c>
      <c r="BQ63">
        <v>0</v>
      </c>
      <c r="BR63">
        <v>78000</v>
      </c>
      <c r="BS63">
        <v>1359113</v>
      </c>
      <c r="BT63">
        <v>43507</v>
      </c>
      <c r="BU63">
        <v>39583</v>
      </c>
      <c r="BV63">
        <v>63310</v>
      </c>
      <c r="BW63">
        <v>0</v>
      </c>
      <c r="BX63">
        <v>0</v>
      </c>
      <c r="BY63">
        <v>0</v>
      </c>
      <c r="BZ63">
        <v>1415801</v>
      </c>
      <c r="CA63">
        <v>1684</v>
      </c>
    </row>
    <row r="64" spans="1:79" x14ac:dyDescent="0.3">
      <c r="A64" s="155">
        <v>344</v>
      </c>
      <c r="B64" t="s">
        <v>179</v>
      </c>
      <c r="D64">
        <v>41668</v>
      </c>
      <c r="E64">
        <v>402590</v>
      </c>
      <c r="F64">
        <v>0</v>
      </c>
      <c r="G64">
        <v>460865</v>
      </c>
      <c r="H64">
        <v>19248</v>
      </c>
      <c r="I64">
        <v>0</v>
      </c>
      <c r="J64">
        <v>0</v>
      </c>
      <c r="K64">
        <v>57302</v>
      </c>
      <c r="L64">
        <v>4408205</v>
      </c>
      <c r="M64">
        <v>0</v>
      </c>
      <c r="N64">
        <v>962</v>
      </c>
      <c r="P64">
        <v>875440</v>
      </c>
      <c r="Q64">
        <v>260147</v>
      </c>
      <c r="R64">
        <v>51096</v>
      </c>
      <c r="S64">
        <v>31649</v>
      </c>
      <c r="T64">
        <v>0</v>
      </c>
      <c r="U64">
        <v>407519</v>
      </c>
      <c r="V64">
        <v>0</v>
      </c>
      <c r="W64">
        <v>71211</v>
      </c>
      <c r="X64">
        <v>254024</v>
      </c>
      <c r="Y64">
        <v>120477</v>
      </c>
      <c r="Z64">
        <v>3899</v>
      </c>
      <c r="AA64">
        <v>44808</v>
      </c>
      <c r="AB64">
        <v>0</v>
      </c>
      <c r="AC64">
        <v>0</v>
      </c>
      <c r="AD64">
        <v>591</v>
      </c>
      <c r="AE64">
        <v>33223</v>
      </c>
      <c r="AF64">
        <v>0</v>
      </c>
      <c r="AG64">
        <v>0</v>
      </c>
      <c r="AH64">
        <v>0</v>
      </c>
      <c r="AI64">
        <v>6079</v>
      </c>
      <c r="AJ64">
        <v>77632</v>
      </c>
      <c r="AK64">
        <v>0</v>
      </c>
      <c r="AL64">
        <v>0</v>
      </c>
      <c r="AM64">
        <v>313806</v>
      </c>
      <c r="AN64">
        <v>0</v>
      </c>
      <c r="AP64">
        <v>32952</v>
      </c>
      <c r="AQ64">
        <v>152248</v>
      </c>
      <c r="AR64">
        <v>14978</v>
      </c>
      <c r="AS64">
        <v>19984</v>
      </c>
      <c r="AT64">
        <v>87016</v>
      </c>
      <c r="AU64">
        <v>76743</v>
      </c>
      <c r="AV64">
        <v>0</v>
      </c>
      <c r="AX64">
        <v>56261</v>
      </c>
      <c r="AY64">
        <v>24264</v>
      </c>
      <c r="AZ64">
        <v>18080</v>
      </c>
      <c r="BA64">
        <v>0</v>
      </c>
      <c r="BB64">
        <v>6523</v>
      </c>
      <c r="BC64">
        <v>0</v>
      </c>
      <c r="BD64">
        <v>0</v>
      </c>
      <c r="BE64">
        <v>517244</v>
      </c>
      <c r="BH64">
        <v>1894</v>
      </c>
      <c r="BI64">
        <v>29</v>
      </c>
      <c r="BJ64">
        <v>4496</v>
      </c>
      <c r="BK64">
        <v>45644</v>
      </c>
      <c r="BL64">
        <v>0</v>
      </c>
      <c r="BM64">
        <v>0</v>
      </c>
      <c r="BN64">
        <v>38722</v>
      </c>
      <c r="BO64">
        <v>0</v>
      </c>
      <c r="BP64">
        <v>0</v>
      </c>
      <c r="BQ64">
        <v>0</v>
      </c>
      <c r="BR64">
        <v>0</v>
      </c>
      <c r="BS64">
        <v>143369</v>
      </c>
      <c r="BT64">
        <v>17360</v>
      </c>
      <c r="BU64">
        <v>4991</v>
      </c>
      <c r="BV64">
        <v>190</v>
      </c>
      <c r="BW64">
        <v>0</v>
      </c>
      <c r="BX64">
        <v>0</v>
      </c>
      <c r="BY64">
        <v>0</v>
      </c>
      <c r="BZ64">
        <v>178756</v>
      </c>
      <c r="CA64">
        <v>1292</v>
      </c>
    </row>
    <row r="65" spans="1:79" x14ac:dyDescent="0.3">
      <c r="A65" s="155">
        <v>349</v>
      </c>
      <c r="B65" t="s">
        <v>114</v>
      </c>
      <c r="D65">
        <v>0</v>
      </c>
      <c r="E65">
        <v>0</v>
      </c>
      <c r="F65">
        <v>66882</v>
      </c>
      <c r="G65">
        <v>65215421</v>
      </c>
      <c r="H65">
        <v>1805278</v>
      </c>
      <c r="I65">
        <v>460028</v>
      </c>
      <c r="J65">
        <v>226363</v>
      </c>
      <c r="K65">
        <v>2943831</v>
      </c>
      <c r="L65">
        <v>81129801</v>
      </c>
      <c r="M65">
        <v>0</v>
      </c>
      <c r="N65">
        <v>929496</v>
      </c>
      <c r="P65">
        <v>0</v>
      </c>
      <c r="Q65">
        <v>2812176</v>
      </c>
      <c r="R65">
        <v>11060427</v>
      </c>
      <c r="S65">
        <v>23595218</v>
      </c>
      <c r="T65">
        <v>134173</v>
      </c>
      <c r="U65">
        <v>13612053</v>
      </c>
      <c r="V65">
        <v>0</v>
      </c>
      <c r="W65">
        <v>0</v>
      </c>
      <c r="X65">
        <v>0</v>
      </c>
      <c r="Y65">
        <v>3522180</v>
      </c>
      <c r="Z65">
        <v>1043747</v>
      </c>
      <c r="AA65">
        <v>1942241</v>
      </c>
      <c r="AB65">
        <v>0</v>
      </c>
      <c r="AC65">
        <v>184144</v>
      </c>
      <c r="AD65">
        <v>1508946</v>
      </c>
      <c r="AE65">
        <v>4935736</v>
      </c>
      <c r="AF65">
        <v>7475</v>
      </c>
      <c r="AG65">
        <v>0</v>
      </c>
      <c r="AH65">
        <v>0</v>
      </c>
      <c r="AI65">
        <v>0</v>
      </c>
      <c r="AJ65">
        <v>4690593</v>
      </c>
      <c r="AK65">
        <v>110893</v>
      </c>
      <c r="AL65">
        <v>0</v>
      </c>
      <c r="AM65">
        <v>0</v>
      </c>
      <c r="AN65">
        <v>24307599</v>
      </c>
      <c r="AP65">
        <v>0</v>
      </c>
      <c r="AQ65">
        <v>10055834</v>
      </c>
      <c r="AR65">
        <v>386852</v>
      </c>
      <c r="AS65">
        <v>499178</v>
      </c>
      <c r="AT65">
        <v>1035231</v>
      </c>
      <c r="AU65">
        <v>6514514</v>
      </c>
      <c r="AV65">
        <v>213125</v>
      </c>
      <c r="AX65">
        <v>187471</v>
      </c>
      <c r="AY65">
        <v>644069</v>
      </c>
      <c r="AZ65">
        <v>4425288</v>
      </c>
      <c r="BA65">
        <v>37846</v>
      </c>
      <c r="BB65">
        <v>1018797</v>
      </c>
      <c r="BC65">
        <v>1143408</v>
      </c>
      <c r="BD65">
        <v>0</v>
      </c>
      <c r="BE65">
        <v>16511905</v>
      </c>
      <c r="BH65">
        <v>1749379</v>
      </c>
      <c r="BI65">
        <v>1221306</v>
      </c>
      <c r="BJ65">
        <v>338389</v>
      </c>
      <c r="BK65">
        <v>1112546</v>
      </c>
      <c r="BL65">
        <v>2301358</v>
      </c>
      <c r="BM65">
        <v>0</v>
      </c>
      <c r="BN65">
        <v>1985363</v>
      </c>
      <c r="BO65">
        <v>799943</v>
      </c>
      <c r="BP65">
        <v>769393</v>
      </c>
      <c r="BQ65">
        <v>1683452</v>
      </c>
      <c r="BR65">
        <v>0</v>
      </c>
      <c r="BS65">
        <v>0</v>
      </c>
      <c r="BT65">
        <v>450369</v>
      </c>
      <c r="BU65">
        <v>3689138</v>
      </c>
      <c r="BV65">
        <v>938751</v>
      </c>
      <c r="BW65">
        <v>440755</v>
      </c>
      <c r="BX65">
        <v>0</v>
      </c>
      <c r="BY65">
        <v>0</v>
      </c>
      <c r="BZ65">
        <v>22618907</v>
      </c>
      <c r="CA65">
        <v>0</v>
      </c>
    </row>
    <row r="66" spans="1:79" x14ac:dyDescent="0.3">
      <c r="A66" s="155">
        <v>350</v>
      </c>
      <c r="B66" t="s">
        <v>884</v>
      </c>
      <c r="D66">
        <v>0</v>
      </c>
      <c r="E66">
        <v>0</v>
      </c>
      <c r="F66">
        <v>155</v>
      </c>
      <c r="G66">
        <v>1179335</v>
      </c>
      <c r="H66">
        <v>33424</v>
      </c>
      <c r="I66">
        <v>558</v>
      </c>
      <c r="J66">
        <v>0</v>
      </c>
      <c r="K66">
        <v>966</v>
      </c>
      <c r="L66">
        <v>130838</v>
      </c>
      <c r="M66">
        <v>0</v>
      </c>
      <c r="N66">
        <v>4259</v>
      </c>
      <c r="P66">
        <v>0</v>
      </c>
      <c r="Q66">
        <v>-312716</v>
      </c>
      <c r="R66">
        <v>4522</v>
      </c>
      <c r="S66">
        <v>11230</v>
      </c>
      <c r="T66">
        <v>261006</v>
      </c>
      <c r="U66">
        <v>0</v>
      </c>
      <c r="V66">
        <v>0</v>
      </c>
      <c r="W66">
        <v>0</v>
      </c>
      <c r="X66">
        <v>5258</v>
      </c>
      <c r="Y66">
        <v>2355</v>
      </c>
      <c r="Z66">
        <v>100709</v>
      </c>
      <c r="AA66">
        <v>13066</v>
      </c>
      <c r="AB66">
        <v>0</v>
      </c>
      <c r="AC66">
        <v>585</v>
      </c>
      <c r="AD66">
        <v>44255</v>
      </c>
      <c r="AE66">
        <v>3350</v>
      </c>
      <c r="AF66">
        <v>0</v>
      </c>
      <c r="AG66">
        <v>0</v>
      </c>
      <c r="AH66">
        <v>0</v>
      </c>
      <c r="AI66">
        <v>0</v>
      </c>
      <c r="AJ66">
        <v>16887</v>
      </c>
      <c r="AK66">
        <v>67835</v>
      </c>
      <c r="AL66">
        <v>0</v>
      </c>
      <c r="AM66">
        <v>0</v>
      </c>
      <c r="AN66">
        <v>13570</v>
      </c>
      <c r="AP66">
        <v>0</v>
      </c>
      <c r="AQ66">
        <v>185566</v>
      </c>
      <c r="AR66">
        <v>256570</v>
      </c>
      <c r="AS66">
        <v>550</v>
      </c>
      <c r="AT66">
        <v>1577</v>
      </c>
      <c r="AU66">
        <v>64038</v>
      </c>
      <c r="AV66">
        <v>436</v>
      </c>
      <c r="AX66">
        <v>1694</v>
      </c>
      <c r="AY66">
        <v>2452</v>
      </c>
      <c r="AZ66">
        <v>8325</v>
      </c>
      <c r="BA66">
        <v>2000</v>
      </c>
      <c r="BB66">
        <v>8</v>
      </c>
      <c r="BC66">
        <v>27</v>
      </c>
      <c r="BD66">
        <v>0</v>
      </c>
      <c r="BE66">
        <v>12083</v>
      </c>
      <c r="BH66">
        <v>730</v>
      </c>
      <c r="BI66">
        <v>5375</v>
      </c>
      <c r="BJ66">
        <v>0</v>
      </c>
      <c r="BK66">
        <v>5515</v>
      </c>
      <c r="BL66">
        <v>10250</v>
      </c>
      <c r="BM66">
        <v>0</v>
      </c>
      <c r="BN66">
        <v>6162</v>
      </c>
      <c r="BO66">
        <v>15830</v>
      </c>
      <c r="BP66">
        <v>0</v>
      </c>
      <c r="BQ66">
        <v>62065</v>
      </c>
      <c r="BR66">
        <v>0</v>
      </c>
      <c r="BS66">
        <v>0</v>
      </c>
      <c r="BT66">
        <v>1167</v>
      </c>
      <c r="BU66">
        <v>49090</v>
      </c>
      <c r="BV66">
        <v>10261</v>
      </c>
      <c r="BW66">
        <v>12328</v>
      </c>
      <c r="BX66">
        <v>0</v>
      </c>
      <c r="BY66">
        <v>0</v>
      </c>
      <c r="BZ66">
        <v>2103747</v>
      </c>
      <c r="CA66">
        <v>0</v>
      </c>
    </row>
    <row r="67" spans="1:79" x14ac:dyDescent="0.3">
      <c r="A67" s="155">
        <v>351</v>
      </c>
      <c r="B67" t="s">
        <v>223</v>
      </c>
      <c r="D67">
        <v>0</v>
      </c>
      <c r="E67">
        <v>0</v>
      </c>
      <c r="F67">
        <v>0</v>
      </c>
      <c r="G67">
        <v>1760260</v>
      </c>
      <c r="H67">
        <v>69999</v>
      </c>
      <c r="I67">
        <v>0</v>
      </c>
      <c r="J67">
        <v>0</v>
      </c>
      <c r="K67">
        <v>63638</v>
      </c>
      <c r="L67">
        <v>1126140</v>
      </c>
      <c r="M67">
        <v>0</v>
      </c>
      <c r="N67">
        <v>0</v>
      </c>
      <c r="P67">
        <v>0</v>
      </c>
      <c r="Q67">
        <v>0</v>
      </c>
      <c r="R67">
        <v>35824</v>
      </c>
      <c r="S67">
        <v>12662</v>
      </c>
      <c r="T67">
        <v>83000</v>
      </c>
      <c r="U67">
        <v>115642</v>
      </c>
      <c r="V67">
        <v>0</v>
      </c>
      <c r="W67">
        <v>0</v>
      </c>
      <c r="X67">
        <v>3008</v>
      </c>
      <c r="Y67">
        <v>51685</v>
      </c>
      <c r="Z67">
        <v>13276</v>
      </c>
      <c r="AA67">
        <v>6449</v>
      </c>
      <c r="AB67">
        <v>0</v>
      </c>
      <c r="AC67">
        <v>5459</v>
      </c>
      <c r="AD67">
        <v>39145</v>
      </c>
      <c r="AE67">
        <v>157994</v>
      </c>
      <c r="AF67">
        <v>0</v>
      </c>
      <c r="AG67">
        <v>0</v>
      </c>
      <c r="AH67">
        <v>0</v>
      </c>
      <c r="AI67">
        <v>0</v>
      </c>
      <c r="AJ67">
        <v>68689</v>
      </c>
      <c r="AK67">
        <v>63550</v>
      </c>
      <c r="AL67">
        <v>0</v>
      </c>
      <c r="AM67">
        <v>0</v>
      </c>
      <c r="AN67">
        <v>320511</v>
      </c>
      <c r="AP67">
        <v>0</v>
      </c>
      <c r="AQ67">
        <v>64023</v>
      </c>
      <c r="AR67">
        <v>0</v>
      </c>
      <c r="AS67">
        <v>6545</v>
      </c>
      <c r="AT67">
        <v>0</v>
      </c>
      <c r="AU67">
        <v>85747</v>
      </c>
      <c r="AV67">
        <v>2388</v>
      </c>
      <c r="AX67">
        <v>0</v>
      </c>
      <c r="AY67">
        <v>8640</v>
      </c>
      <c r="AZ67">
        <v>97084</v>
      </c>
      <c r="BA67">
        <v>0</v>
      </c>
      <c r="BB67">
        <v>410541</v>
      </c>
      <c r="BC67">
        <v>31358</v>
      </c>
      <c r="BD67">
        <v>0</v>
      </c>
      <c r="BE67">
        <v>42585</v>
      </c>
      <c r="BH67">
        <v>31437</v>
      </c>
      <c r="BI67">
        <v>23955</v>
      </c>
      <c r="BJ67">
        <v>0</v>
      </c>
      <c r="BK67">
        <v>0</v>
      </c>
      <c r="BL67">
        <v>0</v>
      </c>
      <c r="BM67">
        <v>0</v>
      </c>
      <c r="BN67">
        <v>11200</v>
      </c>
      <c r="BO67">
        <v>17742</v>
      </c>
      <c r="BP67">
        <v>29560</v>
      </c>
      <c r="BQ67">
        <v>61888</v>
      </c>
      <c r="BR67">
        <v>0</v>
      </c>
      <c r="BS67">
        <v>0</v>
      </c>
      <c r="BT67">
        <v>6357</v>
      </c>
      <c r="BU67">
        <v>29497</v>
      </c>
      <c r="BV67">
        <v>0</v>
      </c>
      <c r="BW67">
        <v>0</v>
      </c>
      <c r="BX67">
        <v>0</v>
      </c>
      <c r="BY67">
        <v>0</v>
      </c>
      <c r="BZ67">
        <v>196006</v>
      </c>
      <c r="CA67">
        <v>0</v>
      </c>
    </row>
    <row r="68" spans="1:79" x14ac:dyDescent="0.3">
      <c r="A68" s="155">
        <v>352</v>
      </c>
      <c r="B68" t="s">
        <v>225</v>
      </c>
      <c r="D68">
        <v>0</v>
      </c>
      <c r="E68">
        <v>0</v>
      </c>
      <c r="F68">
        <v>0</v>
      </c>
      <c r="G68">
        <v>2027941</v>
      </c>
      <c r="H68">
        <v>0</v>
      </c>
      <c r="I68">
        <v>0</v>
      </c>
      <c r="J68">
        <v>0</v>
      </c>
      <c r="K68">
        <v>0</v>
      </c>
      <c r="L68">
        <v>0</v>
      </c>
      <c r="M68">
        <v>0</v>
      </c>
      <c r="N68">
        <v>0</v>
      </c>
      <c r="P68">
        <v>0</v>
      </c>
      <c r="Q68">
        <v>0</v>
      </c>
      <c r="R68">
        <v>77531</v>
      </c>
      <c r="S68">
        <v>0</v>
      </c>
      <c r="T68">
        <v>0</v>
      </c>
      <c r="U68">
        <v>1031901</v>
      </c>
      <c r="V68">
        <v>0</v>
      </c>
      <c r="W68">
        <v>0</v>
      </c>
      <c r="X68">
        <v>0</v>
      </c>
      <c r="Y68">
        <v>0</v>
      </c>
      <c r="Z68">
        <v>478841</v>
      </c>
      <c r="AA68">
        <v>183888</v>
      </c>
      <c r="AB68">
        <v>0</v>
      </c>
      <c r="AC68">
        <v>0</v>
      </c>
      <c r="AD68">
        <v>0</v>
      </c>
      <c r="AE68">
        <v>11409</v>
      </c>
      <c r="AF68">
        <v>0</v>
      </c>
      <c r="AG68">
        <v>0</v>
      </c>
      <c r="AH68">
        <v>0</v>
      </c>
      <c r="AI68">
        <v>0</v>
      </c>
      <c r="AJ68">
        <v>100000</v>
      </c>
      <c r="AK68">
        <v>61494</v>
      </c>
      <c r="AL68">
        <v>0</v>
      </c>
      <c r="AM68">
        <v>0</v>
      </c>
      <c r="AN68">
        <v>1217</v>
      </c>
      <c r="AP68">
        <v>0</v>
      </c>
      <c r="AQ68">
        <v>0</v>
      </c>
      <c r="AR68">
        <v>0</v>
      </c>
      <c r="AS68">
        <v>62545</v>
      </c>
      <c r="AT68">
        <v>0</v>
      </c>
      <c r="AU68">
        <v>0</v>
      </c>
      <c r="AV68">
        <v>0</v>
      </c>
      <c r="AX68">
        <v>0</v>
      </c>
      <c r="AY68">
        <v>0</v>
      </c>
      <c r="AZ68">
        <v>0</v>
      </c>
      <c r="BA68">
        <v>0</v>
      </c>
      <c r="BB68">
        <v>0</v>
      </c>
      <c r="BC68">
        <v>0</v>
      </c>
      <c r="BD68">
        <v>0</v>
      </c>
      <c r="BE68">
        <v>664923</v>
      </c>
      <c r="BH68">
        <v>337182</v>
      </c>
      <c r="BI68">
        <v>0</v>
      </c>
      <c r="BJ68">
        <v>0</v>
      </c>
      <c r="BK68">
        <v>0</v>
      </c>
      <c r="BL68">
        <v>0</v>
      </c>
      <c r="BM68">
        <v>0</v>
      </c>
      <c r="BN68">
        <v>954304</v>
      </c>
      <c r="BO68">
        <v>0</v>
      </c>
      <c r="BP68">
        <v>144689</v>
      </c>
      <c r="BQ68">
        <v>0</v>
      </c>
      <c r="BR68">
        <v>0</v>
      </c>
      <c r="BS68">
        <v>0</v>
      </c>
      <c r="BT68">
        <v>3258</v>
      </c>
      <c r="BU68">
        <v>56303</v>
      </c>
      <c r="BV68">
        <v>0</v>
      </c>
      <c r="BW68">
        <v>0</v>
      </c>
      <c r="BX68">
        <v>0</v>
      </c>
      <c r="BY68">
        <v>0</v>
      </c>
      <c r="BZ68">
        <v>4465676</v>
      </c>
      <c r="CA68">
        <v>0</v>
      </c>
    </row>
    <row r="69" spans="1:79" x14ac:dyDescent="0.3">
      <c r="A69" s="155">
        <v>353</v>
      </c>
      <c r="B69" t="s">
        <v>226</v>
      </c>
      <c r="D69">
        <v>0</v>
      </c>
      <c r="E69">
        <v>0</v>
      </c>
      <c r="F69">
        <v>0</v>
      </c>
      <c r="G69">
        <v>140766</v>
      </c>
      <c r="H69">
        <v>0</v>
      </c>
      <c r="I69">
        <v>0</v>
      </c>
      <c r="J69">
        <v>0</v>
      </c>
      <c r="K69">
        <v>5205</v>
      </c>
      <c r="L69">
        <v>495700</v>
      </c>
      <c r="M69">
        <v>0</v>
      </c>
      <c r="N69">
        <v>0</v>
      </c>
      <c r="P69">
        <v>0</v>
      </c>
      <c r="Q69">
        <v>0</v>
      </c>
      <c r="R69">
        <v>0</v>
      </c>
      <c r="S69">
        <v>0</v>
      </c>
      <c r="T69">
        <v>0</v>
      </c>
      <c r="U69">
        <v>991531</v>
      </c>
      <c r="V69">
        <v>0</v>
      </c>
      <c r="W69">
        <v>0</v>
      </c>
      <c r="X69">
        <v>40700</v>
      </c>
      <c r="Y69">
        <v>0</v>
      </c>
      <c r="Z69">
        <v>0</v>
      </c>
      <c r="AA69">
        <v>0</v>
      </c>
      <c r="AB69">
        <v>0</v>
      </c>
      <c r="AC69">
        <v>0</v>
      </c>
      <c r="AD69">
        <v>0</v>
      </c>
      <c r="AE69">
        <v>0</v>
      </c>
      <c r="AF69">
        <v>0</v>
      </c>
      <c r="AG69">
        <v>0</v>
      </c>
      <c r="AH69">
        <v>0</v>
      </c>
      <c r="AI69">
        <v>926374</v>
      </c>
      <c r="AJ69">
        <v>100000</v>
      </c>
      <c r="AK69">
        <v>0</v>
      </c>
      <c r="AL69">
        <v>0</v>
      </c>
      <c r="AM69">
        <v>0</v>
      </c>
      <c r="AN69">
        <v>0</v>
      </c>
      <c r="AP69">
        <v>0</v>
      </c>
      <c r="AQ69">
        <v>0</v>
      </c>
      <c r="AR69">
        <v>0</v>
      </c>
      <c r="AS69">
        <v>11632</v>
      </c>
      <c r="AT69">
        <v>0</v>
      </c>
      <c r="AU69">
        <v>389222</v>
      </c>
      <c r="AV69">
        <v>20000</v>
      </c>
      <c r="AX69">
        <v>0</v>
      </c>
      <c r="AY69">
        <v>60000</v>
      </c>
      <c r="AZ69">
        <v>0</v>
      </c>
      <c r="BA69">
        <v>0</v>
      </c>
      <c r="BB69">
        <v>0</v>
      </c>
      <c r="BC69">
        <v>0</v>
      </c>
      <c r="BD69">
        <v>0</v>
      </c>
      <c r="BE69">
        <v>0</v>
      </c>
      <c r="BH69">
        <v>0</v>
      </c>
      <c r="BI69">
        <v>0</v>
      </c>
      <c r="BJ69">
        <v>0</v>
      </c>
      <c r="BK69">
        <v>0</v>
      </c>
      <c r="BL69">
        <v>0</v>
      </c>
      <c r="BM69">
        <v>0</v>
      </c>
      <c r="BN69">
        <v>0</v>
      </c>
      <c r="BO69">
        <v>0</v>
      </c>
      <c r="BP69">
        <v>0</v>
      </c>
      <c r="BQ69">
        <v>0</v>
      </c>
      <c r="BR69">
        <v>0</v>
      </c>
      <c r="BS69">
        <v>0</v>
      </c>
      <c r="BT69">
        <v>0</v>
      </c>
      <c r="BU69">
        <v>0</v>
      </c>
      <c r="BV69">
        <v>0</v>
      </c>
      <c r="BW69">
        <v>0</v>
      </c>
      <c r="BX69">
        <v>0</v>
      </c>
      <c r="BY69">
        <v>0</v>
      </c>
      <c r="BZ69">
        <v>4041808</v>
      </c>
      <c r="CA69">
        <v>0</v>
      </c>
    </row>
    <row r="70" spans="1:79" x14ac:dyDescent="0.3">
      <c r="A70" s="155">
        <v>356</v>
      </c>
      <c r="B70" t="s">
        <v>305</v>
      </c>
      <c r="D70">
        <v>0</v>
      </c>
      <c r="E70">
        <v>0</v>
      </c>
      <c r="F70">
        <v>0</v>
      </c>
      <c r="G70">
        <v>0</v>
      </c>
      <c r="H70">
        <v>0</v>
      </c>
      <c r="I70">
        <v>0</v>
      </c>
      <c r="J70">
        <v>0</v>
      </c>
      <c r="K70">
        <v>0</v>
      </c>
      <c r="L70">
        <v>0</v>
      </c>
      <c r="M70">
        <v>0</v>
      </c>
      <c r="N70">
        <v>0</v>
      </c>
      <c r="P70">
        <v>0</v>
      </c>
      <c r="Q70">
        <v>0</v>
      </c>
      <c r="R70">
        <v>0</v>
      </c>
      <c r="S70">
        <v>15068314</v>
      </c>
      <c r="T70">
        <v>0</v>
      </c>
      <c r="U70">
        <v>47526983</v>
      </c>
      <c r="V70">
        <v>0</v>
      </c>
      <c r="W70">
        <v>0</v>
      </c>
      <c r="X70">
        <v>0</v>
      </c>
      <c r="Y70">
        <v>0</v>
      </c>
      <c r="Z70">
        <v>2278772</v>
      </c>
      <c r="AA70">
        <v>2414678</v>
      </c>
      <c r="AB70">
        <v>0</v>
      </c>
      <c r="AC70">
        <v>0</v>
      </c>
      <c r="AD70">
        <v>0</v>
      </c>
      <c r="AE70">
        <v>6315554</v>
      </c>
      <c r="AF70">
        <v>0</v>
      </c>
      <c r="AG70">
        <v>0</v>
      </c>
      <c r="AH70">
        <v>0</v>
      </c>
      <c r="AI70">
        <v>0</v>
      </c>
      <c r="AJ70">
        <v>17060961</v>
      </c>
      <c r="AK70">
        <v>0</v>
      </c>
      <c r="AL70">
        <v>0</v>
      </c>
      <c r="AM70">
        <v>0</v>
      </c>
      <c r="AN70">
        <v>0</v>
      </c>
      <c r="AP70">
        <v>0</v>
      </c>
      <c r="AQ70">
        <v>71631990</v>
      </c>
      <c r="AR70">
        <v>0</v>
      </c>
      <c r="AS70">
        <v>0</v>
      </c>
      <c r="AT70">
        <v>0</v>
      </c>
      <c r="AU70">
        <v>3870279</v>
      </c>
      <c r="AV70">
        <v>0</v>
      </c>
      <c r="AX70">
        <v>0</v>
      </c>
      <c r="AY70">
        <v>0</v>
      </c>
      <c r="AZ70">
        <v>11006027</v>
      </c>
      <c r="BA70">
        <v>0</v>
      </c>
      <c r="BB70">
        <v>0</v>
      </c>
      <c r="BC70">
        <v>1659160</v>
      </c>
      <c r="BD70">
        <v>0</v>
      </c>
      <c r="BE70">
        <v>37707095</v>
      </c>
      <c r="BH70">
        <v>0</v>
      </c>
      <c r="BI70">
        <v>0</v>
      </c>
      <c r="BJ70">
        <v>0</v>
      </c>
      <c r="BK70">
        <v>6917664</v>
      </c>
      <c r="BL70">
        <v>0</v>
      </c>
      <c r="BM70">
        <v>0</v>
      </c>
      <c r="BN70">
        <v>0</v>
      </c>
      <c r="BO70">
        <v>0</v>
      </c>
      <c r="BP70">
        <v>0</v>
      </c>
      <c r="BQ70">
        <v>0</v>
      </c>
      <c r="BR70">
        <v>0</v>
      </c>
      <c r="BS70">
        <v>0</v>
      </c>
      <c r="BT70">
        <v>0</v>
      </c>
      <c r="BU70">
        <v>0</v>
      </c>
      <c r="BV70">
        <v>0</v>
      </c>
      <c r="BW70">
        <v>0</v>
      </c>
      <c r="BX70">
        <v>0</v>
      </c>
      <c r="BY70">
        <v>0</v>
      </c>
      <c r="BZ70">
        <v>0</v>
      </c>
      <c r="CA70">
        <v>0</v>
      </c>
    </row>
    <row r="71" spans="1:79" x14ac:dyDescent="0.3">
      <c r="A71" s="155">
        <v>357</v>
      </c>
      <c r="B71" t="s">
        <v>306</v>
      </c>
      <c r="D71">
        <v>0</v>
      </c>
      <c r="E71">
        <v>0</v>
      </c>
      <c r="F71">
        <v>0</v>
      </c>
      <c r="G71">
        <v>0</v>
      </c>
      <c r="H71">
        <v>0</v>
      </c>
      <c r="I71">
        <v>0</v>
      </c>
      <c r="J71">
        <v>0</v>
      </c>
      <c r="K71">
        <v>0</v>
      </c>
      <c r="L71">
        <v>0</v>
      </c>
      <c r="M71">
        <v>0</v>
      </c>
      <c r="N71">
        <v>0</v>
      </c>
      <c r="P71">
        <v>0</v>
      </c>
      <c r="Q71">
        <v>0</v>
      </c>
      <c r="R71">
        <v>0</v>
      </c>
      <c r="S71">
        <v>10176865</v>
      </c>
      <c r="T71">
        <v>0</v>
      </c>
      <c r="U71">
        <v>32313875</v>
      </c>
      <c r="V71">
        <v>0</v>
      </c>
      <c r="W71">
        <v>0</v>
      </c>
      <c r="X71">
        <v>0</v>
      </c>
      <c r="Y71">
        <v>0</v>
      </c>
      <c r="Z71">
        <v>1563211</v>
      </c>
      <c r="AA71">
        <v>1437815</v>
      </c>
      <c r="AB71">
        <v>0</v>
      </c>
      <c r="AC71">
        <v>0</v>
      </c>
      <c r="AD71">
        <v>0</v>
      </c>
      <c r="AE71">
        <v>4080344</v>
      </c>
      <c r="AF71">
        <v>0</v>
      </c>
      <c r="AG71">
        <v>0</v>
      </c>
      <c r="AH71">
        <v>0</v>
      </c>
      <c r="AI71">
        <v>0</v>
      </c>
      <c r="AJ71">
        <v>11135395</v>
      </c>
      <c r="AK71">
        <v>0</v>
      </c>
      <c r="AL71">
        <v>0</v>
      </c>
      <c r="AM71">
        <v>0</v>
      </c>
      <c r="AN71">
        <v>0</v>
      </c>
      <c r="AP71">
        <v>0</v>
      </c>
      <c r="AQ71">
        <v>35362085</v>
      </c>
      <c r="AR71">
        <v>0</v>
      </c>
      <c r="AS71">
        <v>0</v>
      </c>
      <c r="AT71">
        <v>0</v>
      </c>
      <c r="AU71">
        <v>4881507</v>
      </c>
      <c r="AV71">
        <v>0</v>
      </c>
      <c r="AX71">
        <v>0</v>
      </c>
      <c r="AY71">
        <v>0</v>
      </c>
      <c r="AZ71">
        <v>8267131</v>
      </c>
      <c r="BA71">
        <v>0</v>
      </c>
      <c r="BB71">
        <v>0</v>
      </c>
      <c r="BC71">
        <v>1570993</v>
      </c>
      <c r="BD71">
        <v>0</v>
      </c>
      <c r="BE71">
        <v>25110050</v>
      </c>
      <c r="BH71">
        <v>0</v>
      </c>
      <c r="BI71">
        <v>0</v>
      </c>
      <c r="BJ71">
        <v>0</v>
      </c>
      <c r="BK71">
        <v>4773939</v>
      </c>
      <c r="BL71">
        <v>0</v>
      </c>
      <c r="BM71">
        <v>0</v>
      </c>
      <c r="BN71">
        <v>0</v>
      </c>
      <c r="BO71">
        <v>0</v>
      </c>
      <c r="BP71">
        <v>0</v>
      </c>
      <c r="BQ71">
        <v>0</v>
      </c>
      <c r="BR71">
        <v>0</v>
      </c>
      <c r="BS71">
        <v>0</v>
      </c>
      <c r="BT71">
        <v>0</v>
      </c>
      <c r="BU71">
        <v>0</v>
      </c>
      <c r="BV71">
        <v>0</v>
      </c>
      <c r="BW71">
        <v>0</v>
      </c>
      <c r="BX71">
        <v>0</v>
      </c>
      <c r="BY71">
        <v>0</v>
      </c>
      <c r="BZ71">
        <v>0</v>
      </c>
      <c r="CA71">
        <v>0</v>
      </c>
    </row>
    <row r="72" spans="1:79" x14ac:dyDescent="0.3">
      <c r="A72" s="155">
        <v>359</v>
      </c>
      <c r="B72" t="s">
        <v>247</v>
      </c>
      <c r="D72">
        <v>0</v>
      </c>
      <c r="E72">
        <v>0</v>
      </c>
      <c r="F72">
        <v>0</v>
      </c>
      <c r="G72">
        <v>0</v>
      </c>
      <c r="H72">
        <v>0</v>
      </c>
      <c r="I72">
        <v>0</v>
      </c>
      <c r="J72">
        <v>0</v>
      </c>
      <c r="K72">
        <v>0</v>
      </c>
      <c r="L72">
        <v>0</v>
      </c>
      <c r="M72">
        <v>0</v>
      </c>
      <c r="N72">
        <v>0</v>
      </c>
      <c r="P72">
        <v>0</v>
      </c>
      <c r="Q72">
        <v>0</v>
      </c>
      <c r="R72">
        <v>0</v>
      </c>
      <c r="S72">
        <v>440917</v>
      </c>
      <c r="T72">
        <v>0</v>
      </c>
      <c r="U72">
        <v>320120</v>
      </c>
      <c r="V72">
        <v>0</v>
      </c>
      <c r="W72">
        <v>0</v>
      </c>
      <c r="X72">
        <v>0</v>
      </c>
      <c r="Y72">
        <v>0</v>
      </c>
      <c r="Z72">
        <v>3750000</v>
      </c>
      <c r="AA72">
        <v>0</v>
      </c>
      <c r="AB72">
        <v>0</v>
      </c>
      <c r="AC72">
        <v>0</v>
      </c>
      <c r="AD72">
        <v>0</v>
      </c>
      <c r="AE72">
        <v>47445</v>
      </c>
      <c r="AF72">
        <v>0</v>
      </c>
      <c r="AG72">
        <v>0</v>
      </c>
      <c r="AH72">
        <v>0</v>
      </c>
      <c r="AI72">
        <v>0</v>
      </c>
      <c r="AJ72">
        <v>1236389</v>
      </c>
      <c r="AK72">
        <v>0</v>
      </c>
      <c r="AL72">
        <v>0</v>
      </c>
      <c r="AM72">
        <v>0</v>
      </c>
      <c r="AN72">
        <v>0</v>
      </c>
      <c r="AP72">
        <v>0</v>
      </c>
      <c r="AQ72">
        <v>3131061</v>
      </c>
      <c r="AR72">
        <v>0</v>
      </c>
      <c r="AS72">
        <v>0</v>
      </c>
      <c r="AT72">
        <v>0</v>
      </c>
      <c r="AU72">
        <v>25315</v>
      </c>
      <c r="AV72">
        <v>0</v>
      </c>
      <c r="AX72">
        <v>0</v>
      </c>
      <c r="AY72">
        <v>0</v>
      </c>
      <c r="AZ72">
        <v>679237</v>
      </c>
      <c r="BA72">
        <v>0</v>
      </c>
      <c r="BB72">
        <v>0</v>
      </c>
      <c r="BC72">
        <v>0</v>
      </c>
      <c r="BD72">
        <v>0</v>
      </c>
      <c r="BE72">
        <v>80084</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row>
    <row r="73" spans="1:79" x14ac:dyDescent="0.3">
      <c r="A73" s="155">
        <v>360</v>
      </c>
      <c r="B73" t="s">
        <v>117</v>
      </c>
      <c r="D73">
        <v>0</v>
      </c>
      <c r="E73">
        <v>0</v>
      </c>
      <c r="F73">
        <v>0</v>
      </c>
      <c r="G73">
        <v>0</v>
      </c>
      <c r="H73">
        <v>0</v>
      </c>
      <c r="I73">
        <v>0</v>
      </c>
      <c r="J73">
        <v>0</v>
      </c>
      <c r="K73">
        <v>0</v>
      </c>
      <c r="L73">
        <v>0</v>
      </c>
      <c r="M73">
        <v>0</v>
      </c>
      <c r="N73">
        <v>0</v>
      </c>
      <c r="P73">
        <v>0</v>
      </c>
      <c r="Q73">
        <v>0</v>
      </c>
      <c r="R73">
        <v>0</v>
      </c>
      <c r="S73">
        <v>3600839</v>
      </c>
      <c r="T73">
        <v>0</v>
      </c>
      <c r="U73">
        <v>2800525</v>
      </c>
      <c r="V73">
        <v>0</v>
      </c>
      <c r="W73">
        <v>0</v>
      </c>
      <c r="X73">
        <v>0</v>
      </c>
      <c r="Y73">
        <v>0</v>
      </c>
      <c r="Z73">
        <v>5278062</v>
      </c>
      <c r="AA73">
        <v>520117</v>
      </c>
      <c r="AB73">
        <v>0</v>
      </c>
      <c r="AC73">
        <v>0</v>
      </c>
      <c r="AD73">
        <v>0</v>
      </c>
      <c r="AE73">
        <v>1035267</v>
      </c>
      <c r="AF73">
        <v>0</v>
      </c>
      <c r="AG73">
        <v>0</v>
      </c>
      <c r="AH73">
        <v>0</v>
      </c>
      <c r="AI73">
        <v>0</v>
      </c>
      <c r="AJ73">
        <v>3815578</v>
      </c>
      <c r="AK73">
        <v>0</v>
      </c>
      <c r="AL73">
        <v>0</v>
      </c>
      <c r="AM73">
        <v>0</v>
      </c>
      <c r="AN73">
        <v>0</v>
      </c>
      <c r="AP73">
        <v>0</v>
      </c>
      <c r="AQ73">
        <v>9116112</v>
      </c>
      <c r="AR73">
        <v>0</v>
      </c>
      <c r="AS73">
        <v>0</v>
      </c>
      <c r="AT73">
        <v>0</v>
      </c>
      <c r="AU73">
        <v>1868623</v>
      </c>
      <c r="AV73">
        <v>0</v>
      </c>
      <c r="AX73">
        <v>0</v>
      </c>
      <c r="AY73">
        <v>0</v>
      </c>
      <c r="AZ73">
        <v>2085650</v>
      </c>
      <c r="BA73">
        <v>0</v>
      </c>
      <c r="BB73">
        <v>0</v>
      </c>
      <c r="BC73">
        <v>418022</v>
      </c>
      <c r="BD73">
        <v>0</v>
      </c>
      <c r="BE73">
        <v>12795098</v>
      </c>
      <c r="BH73">
        <v>0</v>
      </c>
      <c r="BI73">
        <v>0</v>
      </c>
      <c r="BJ73">
        <v>0</v>
      </c>
      <c r="BK73">
        <v>484411</v>
      </c>
      <c r="BL73">
        <v>0</v>
      </c>
      <c r="BM73">
        <v>0</v>
      </c>
      <c r="BN73">
        <v>0</v>
      </c>
      <c r="BO73">
        <v>0</v>
      </c>
      <c r="BP73">
        <v>0</v>
      </c>
      <c r="BQ73">
        <v>0</v>
      </c>
      <c r="BR73">
        <v>0</v>
      </c>
      <c r="BS73">
        <v>0</v>
      </c>
      <c r="BT73">
        <v>0</v>
      </c>
      <c r="BU73">
        <v>0</v>
      </c>
      <c r="BV73">
        <v>0</v>
      </c>
      <c r="BW73">
        <v>0</v>
      </c>
      <c r="BX73">
        <v>0</v>
      </c>
      <c r="BY73">
        <v>0</v>
      </c>
      <c r="BZ73">
        <v>0</v>
      </c>
      <c r="CA73">
        <v>0</v>
      </c>
    </row>
    <row r="74" spans="1:79" x14ac:dyDescent="0.3">
      <c r="A74" s="155">
        <v>361</v>
      </c>
      <c r="B74" t="s">
        <v>98</v>
      </c>
      <c r="D74">
        <v>0</v>
      </c>
      <c r="E74">
        <v>0</v>
      </c>
      <c r="F74">
        <v>0</v>
      </c>
      <c r="G74">
        <v>0</v>
      </c>
      <c r="H74">
        <v>0</v>
      </c>
      <c r="I74">
        <v>0</v>
      </c>
      <c r="J74">
        <v>0</v>
      </c>
      <c r="K74">
        <v>0</v>
      </c>
      <c r="L74">
        <v>0</v>
      </c>
      <c r="M74">
        <v>0</v>
      </c>
      <c r="N74">
        <v>0</v>
      </c>
      <c r="P74">
        <v>0</v>
      </c>
      <c r="Q74">
        <v>0</v>
      </c>
      <c r="R74">
        <v>0</v>
      </c>
      <c r="S74">
        <v>2127494</v>
      </c>
      <c r="T74">
        <v>0</v>
      </c>
      <c r="U74">
        <v>42070415</v>
      </c>
      <c r="V74">
        <v>0</v>
      </c>
      <c r="W74">
        <v>0</v>
      </c>
      <c r="X74">
        <v>0</v>
      </c>
      <c r="Y74">
        <v>0</v>
      </c>
      <c r="Z74">
        <v>721561</v>
      </c>
      <c r="AA74">
        <v>-448740</v>
      </c>
      <c r="AB74">
        <v>0</v>
      </c>
      <c r="AC74">
        <v>0</v>
      </c>
      <c r="AD74">
        <v>0</v>
      </c>
      <c r="AE74">
        <v>2330422</v>
      </c>
      <c r="AF74">
        <v>0</v>
      </c>
      <c r="AG74">
        <v>0</v>
      </c>
      <c r="AH74">
        <v>0</v>
      </c>
      <c r="AI74">
        <v>0</v>
      </c>
      <c r="AJ74">
        <v>2239472</v>
      </c>
      <c r="AK74">
        <v>0</v>
      </c>
      <c r="AL74">
        <v>0</v>
      </c>
      <c r="AM74">
        <v>0</v>
      </c>
      <c r="AN74">
        <v>0</v>
      </c>
      <c r="AP74">
        <v>0</v>
      </c>
      <c r="AQ74">
        <v>33647936</v>
      </c>
      <c r="AR74">
        <v>0</v>
      </c>
      <c r="AS74">
        <v>0</v>
      </c>
      <c r="AT74">
        <v>0</v>
      </c>
      <c r="AU74">
        <v>6359717</v>
      </c>
      <c r="AV74">
        <v>0</v>
      </c>
      <c r="AX74">
        <v>0</v>
      </c>
      <c r="AY74">
        <v>0</v>
      </c>
      <c r="AZ74">
        <v>768209</v>
      </c>
      <c r="BA74">
        <v>0</v>
      </c>
      <c r="BB74">
        <v>0</v>
      </c>
      <c r="BC74">
        <v>7232665</v>
      </c>
      <c r="BD74">
        <v>0</v>
      </c>
      <c r="BE74">
        <v>6893031</v>
      </c>
      <c r="BH74">
        <v>0</v>
      </c>
      <c r="BI74">
        <v>0</v>
      </c>
      <c r="BJ74">
        <v>0</v>
      </c>
      <c r="BK74">
        <v>3818488</v>
      </c>
      <c r="BL74">
        <v>0</v>
      </c>
      <c r="BM74">
        <v>0</v>
      </c>
      <c r="BN74">
        <v>0</v>
      </c>
      <c r="BO74">
        <v>0</v>
      </c>
      <c r="BP74">
        <v>0</v>
      </c>
      <c r="BQ74">
        <v>0</v>
      </c>
      <c r="BR74">
        <v>0</v>
      </c>
      <c r="BS74">
        <v>0</v>
      </c>
      <c r="BT74">
        <v>0</v>
      </c>
      <c r="BU74">
        <v>0</v>
      </c>
      <c r="BV74">
        <v>0</v>
      </c>
      <c r="BW74">
        <v>0</v>
      </c>
      <c r="BX74">
        <v>0</v>
      </c>
      <c r="BY74">
        <v>0</v>
      </c>
      <c r="BZ74">
        <v>0</v>
      </c>
      <c r="CA74">
        <v>0</v>
      </c>
    </row>
    <row r="75" spans="1:79" x14ac:dyDescent="0.3">
      <c r="A75" s="155">
        <v>362</v>
      </c>
      <c r="B75" t="s">
        <v>99</v>
      </c>
      <c r="D75">
        <v>0</v>
      </c>
      <c r="E75">
        <v>0</v>
      </c>
      <c r="F75">
        <v>0</v>
      </c>
      <c r="G75">
        <v>0</v>
      </c>
      <c r="H75">
        <v>0</v>
      </c>
      <c r="I75">
        <v>0</v>
      </c>
      <c r="J75">
        <v>0</v>
      </c>
      <c r="K75">
        <v>0</v>
      </c>
      <c r="L75">
        <v>0</v>
      </c>
      <c r="M75">
        <v>0</v>
      </c>
      <c r="N75">
        <v>0</v>
      </c>
      <c r="P75">
        <v>0</v>
      </c>
      <c r="Q75">
        <v>0</v>
      </c>
      <c r="R75">
        <v>0</v>
      </c>
      <c r="S75">
        <v>8597888</v>
      </c>
      <c r="T75">
        <v>0</v>
      </c>
      <c r="U75">
        <v>73368516</v>
      </c>
      <c r="V75">
        <v>0</v>
      </c>
      <c r="W75">
        <v>0</v>
      </c>
      <c r="X75">
        <v>0</v>
      </c>
      <c r="Y75">
        <v>0</v>
      </c>
      <c r="Z75">
        <v>1746559</v>
      </c>
      <c r="AA75">
        <v>586012</v>
      </c>
      <c r="AB75">
        <v>0</v>
      </c>
      <c r="AC75">
        <v>0</v>
      </c>
      <c r="AD75">
        <v>0</v>
      </c>
      <c r="AE75">
        <v>4859649</v>
      </c>
      <c r="AF75">
        <v>0</v>
      </c>
      <c r="AG75">
        <v>0</v>
      </c>
      <c r="AH75">
        <v>0</v>
      </c>
      <c r="AI75">
        <v>0</v>
      </c>
      <c r="AJ75">
        <v>12828630</v>
      </c>
      <c r="AK75">
        <v>0</v>
      </c>
      <c r="AL75">
        <v>0</v>
      </c>
      <c r="AM75">
        <v>0</v>
      </c>
      <c r="AN75">
        <v>0</v>
      </c>
      <c r="AP75">
        <v>0</v>
      </c>
      <c r="AQ75">
        <v>70112704</v>
      </c>
      <c r="AR75">
        <v>0</v>
      </c>
      <c r="AS75">
        <v>0</v>
      </c>
      <c r="AT75">
        <v>0</v>
      </c>
      <c r="AU75">
        <v>8547892</v>
      </c>
      <c r="AV75">
        <v>0</v>
      </c>
      <c r="AX75">
        <v>0</v>
      </c>
      <c r="AY75">
        <v>0</v>
      </c>
      <c r="AZ75">
        <v>4645797</v>
      </c>
      <c r="BA75">
        <v>0</v>
      </c>
      <c r="BB75">
        <v>0</v>
      </c>
      <c r="BC75">
        <v>7374964</v>
      </c>
      <c r="BD75">
        <v>0</v>
      </c>
      <c r="BE75">
        <v>21453849</v>
      </c>
      <c r="BH75">
        <v>0</v>
      </c>
      <c r="BI75">
        <v>0</v>
      </c>
      <c r="BJ75">
        <v>0</v>
      </c>
      <c r="BK75">
        <v>5982013</v>
      </c>
      <c r="BL75">
        <v>0</v>
      </c>
      <c r="BM75">
        <v>0</v>
      </c>
      <c r="BN75">
        <v>0</v>
      </c>
      <c r="BO75">
        <v>0</v>
      </c>
      <c r="BP75">
        <v>0</v>
      </c>
      <c r="BQ75">
        <v>0</v>
      </c>
      <c r="BR75">
        <v>0</v>
      </c>
      <c r="BS75">
        <v>0</v>
      </c>
      <c r="BT75">
        <v>0</v>
      </c>
      <c r="BU75">
        <v>0</v>
      </c>
      <c r="BV75">
        <v>0</v>
      </c>
      <c r="BW75">
        <v>0</v>
      </c>
      <c r="BX75">
        <v>0</v>
      </c>
      <c r="BY75">
        <v>0</v>
      </c>
      <c r="BZ75">
        <v>0</v>
      </c>
      <c r="CA75">
        <v>0</v>
      </c>
    </row>
    <row r="76" spans="1:79" x14ac:dyDescent="0.3">
      <c r="A76" s="155">
        <v>363</v>
      </c>
      <c r="B76" t="s">
        <v>233</v>
      </c>
      <c r="D76">
        <v>0</v>
      </c>
      <c r="E76">
        <v>0</v>
      </c>
      <c r="F76">
        <v>0</v>
      </c>
      <c r="G76">
        <v>0</v>
      </c>
      <c r="H76">
        <v>0</v>
      </c>
      <c r="I76">
        <v>0</v>
      </c>
      <c r="J76">
        <v>0</v>
      </c>
      <c r="K76">
        <v>0</v>
      </c>
      <c r="L76">
        <v>0</v>
      </c>
      <c r="M76">
        <v>0</v>
      </c>
      <c r="N76">
        <v>0</v>
      </c>
      <c r="P76">
        <v>0</v>
      </c>
      <c r="Q76">
        <v>0</v>
      </c>
      <c r="R76">
        <v>0</v>
      </c>
      <c r="S76">
        <v>56010</v>
      </c>
      <c r="T76">
        <v>0</v>
      </c>
      <c r="U76">
        <v>36251</v>
      </c>
      <c r="V76">
        <v>0</v>
      </c>
      <c r="W76">
        <v>0</v>
      </c>
      <c r="X76">
        <v>0</v>
      </c>
      <c r="Y76">
        <v>0</v>
      </c>
      <c r="Z76">
        <v>25603</v>
      </c>
      <c r="AA76">
        <v>82</v>
      </c>
      <c r="AB76">
        <v>0</v>
      </c>
      <c r="AC76">
        <v>0</v>
      </c>
      <c r="AD76">
        <v>0</v>
      </c>
      <c r="AE76">
        <v>5595</v>
      </c>
      <c r="AF76">
        <v>0</v>
      </c>
      <c r="AG76">
        <v>0</v>
      </c>
      <c r="AH76">
        <v>0</v>
      </c>
      <c r="AI76">
        <v>0</v>
      </c>
      <c r="AJ76">
        <v>19129</v>
      </c>
      <c r="AK76">
        <v>0</v>
      </c>
      <c r="AL76">
        <v>0</v>
      </c>
      <c r="AM76">
        <v>0</v>
      </c>
      <c r="AN76">
        <v>0</v>
      </c>
      <c r="AP76">
        <v>0</v>
      </c>
      <c r="AQ76">
        <v>106306</v>
      </c>
      <c r="AR76">
        <v>0</v>
      </c>
      <c r="AS76">
        <v>0</v>
      </c>
      <c r="AT76">
        <v>0</v>
      </c>
      <c r="AU76">
        <v>49983</v>
      </c>
      <c r="AV76">
        <v>0</v>
      </c>
      <c r="AX76">
        <v>0</v>
      </c>
      <c r="AY76">
        <v>0</v>
      </c>
      <c r="AZ76">
        <v>3150</v>
      </c>
      <c r="BA76">
        <v>0</v>
      </c>
      <c r="BB76">
        <v>0</v>
      </c>
      <c r="BC76">
        <v>46521</v>
      </c>
      <c r="BD76">
        <v>0</v>
      </c>
      <c r="BE76">
        <v>16375</v>
      </c>
      <c r="BH76">
        <v>0</v>
      </c>
      <c r="BI76">
        <v>0</v>
      </c>
      <c r="BJ76">
        <v>0</v>
      </c>
      <c r="BK76">
        <v>19887</v>
      </c>
      <c r="BL76">
        <v>0</v>
      </c>
      <c r="BM76">
        <v>0</v>
      </c>
      <c r="BN76">
        <v>0</v>
      </c>
      <c r="BO76">
        <v>0</v>
      </c>
      <c r="BP76">
        <v>0</v>
      </c>
      <c r="BQ76">
        <v>0</v>
      </c>
      <c r="BR76">
        <v>0</v>
      </c>
      <c r="BS76">
        <v>0</v>
      </c>
      <c r="BT76">
        <v>0</v>
      </c>
      <c r="BU76">
        <v>0</v>
      </c>
      <c r="BV76">
        <v>0</v>
      </c>
      <c r="BW76">
        <v>0</v>
      </c>
      <c r="BX76">
        <v>0</v>
      </c>
      <c r="BY76">
        <v>0</v>
      </c>
      <c r="BZ76">
        <v>0</v>
      </c>
      <c r="CA76">
        <v>0</v>
      </c>
    </row>
    <row r="77" spans="1:79" x14ac:dyDescent="0.3">
      <c r="A77" s="155">
        <v>364</v>
      </c>
      <c r="B77" t="s">
        <v>234</v>
      </c>
      <c r="D77">
        <v>0</v>
      </c>
      <c r="E77">
        <v>0</v>
      </c>
      <c r="F77">
        <v>0</v>
      </c>
      <c r="G77">
        <v>0</v>
      </c>
      <c r="H77">
        <v>0</v>
      </c>
      <c r="I77">
        <v>0</v>
      </c>
      <c r="J77">
        <v>0</v>
      </c>
      <c r="K77">
        <v>0</v>
      </c>
      <c r="L77">
        <v>0</v>
      </c>
      <c r="M77">
        <v>0</v>
      </c>
      <c r="N77">
        <v>0</v>
      </c>
      <c r="P77">
        <v>0</v>
      </c>
      <c r="Q77">
        <v>0</v>
      </c>
      <c r="R77">
        <v>0</v>
      </c>
      <c r="S77">
        <v>4347</v>
      </c>
      <c r="T77">
        <v>0</v>
      </c>
      <c r="U77">
        <v>0</v>
      </c>
      <c r="V77">
        <v>0</v>
      </c>
      <c r="W77">
        <v>0</v>
      </c>
      <c r="X77">
        <v>0</v>
      </c>
      <c r="Y77">
        <v>0</v>
      </c>
      <c r="Z77">
        <v>273</v>
      </c>
      <c r="AA77">
        <v>0</v>
      </c>
      <c r="AB77">
        <v>0</v>
      </c>
      <c r="AC77">
        <v>0</v>
      </c>
      <c r="AD77">
        <v>0</v>
      </c>
      <c r="AE77">
        <v>2321</v>
      </c>
      <c r="AF77">
        <v>0</v>
      </c>
      <c r="AG77">
        <v>0</v>
      </c>
      <c r="AH77">
        <v>0</v>
      </c>
      <c r="AI77">
        <v>0</v>
      </c>
      <c r="AJ77">
        <v>32715</v>
      </c>
      <c r="AK77">
        <v>0</v>
      </c>
      <c r="AL77">
        <v>0</v>
      </c>
      <c r="AM77">
        <v>0</v>
      </c>
      <c r="AN77">
        <v>0</v>
      </c>
      <c r="AP77">
        <v>0</v>
      </c>
      <c r="AQ77">
        <v>86591</v>
      </c>
      <c r="AR77">
        <v>0</v>
      </c>
      <c r="AS77">
        <v>0</v>
      </c>
      <c r="AT77">
        <v>0</v>
      </c>
      <c r="AU77">
        <v>172</v>
      </c>
      <c r="AV77">
        <v>0</v>
      </c>
      <c r="AX77">
        <v>0</v>
      </c>
      <c r="AY77">
        <v>0</v>
      </c>
      <c r="AZ77">
        <v>8212</v>
      </c>
      <c r="BA77">
        <v>0</v>
      </c>
      <c r="BB77">
        <v>0</v>
      </c>
      <c r="BC77">
        <v>9482</v>
      </c>
      <c r="BD77">
        <v>0</v>
      </c>
      <c r="BE77">
        <v>2425</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row>
    <row r="78" spans="1:79" x14ac:dyDescent="0.3">
      <c r="A78" s="155">
        <v>365</v>
      </c>
      <c r="B78" t="s">
        <v>236</v>
      </c>
      <c r="D78">
        <v>0</v>
      </c>
      <c r="E78">
        <v>0</v>
      </c>
      <c r="F78">
        <v>0</v>
      </c>
      <c r="G78">
        <v>0</v>
      </c>
      <c r="H78">
        <v>0</v>
      </c>
      <c r="I78">
        <v>0</v>
      </c>
      <c r="J78">
        <v>0</v>
      </c>
      <c r="K78">
        <v>0</v>
      </c>
      <c r="L78">
        <v>0</v>
      </c>
      <c r="M78">
        <v>0</v>
      </c>
      <c r="N78">
        <v>0</v>
      </c>
      <c r="P78">
        <v>0</v>
      </c>
      <c r="Q78">
        <v>0</v>
      </c>
      <c r="R78">
        <v>0</v>
      </c>
      <c r="S78">
        <v>0</v>
      </c>
      <c r="T78">
        <v>0</v>
      </c>
      <c r="U78">
        <v>3194573</v>
      </c>
      <c r="V78">
        <v>0</v>
      </c>
      <c r="W78">
        <v>0</v>
      </c>
      <c r="X78">
        <v>0</v>
      </c>
      <c r="Y78">
        <v>0</v>
      </c>
      <c r="Z78">
        <v>0</v>
      </c>
      <c r="AA78">
        <v>0</v>
      </c>
      <c r="AB78">
        <v>0</v>
      </c>
      <c r="AC78">
        <v>0</v>
      </c>
      <c r="AD78">
        <v>0</v>
      </c>
      <c r="AE78">
        <v>0</v>
      </c>
      <c r="AF78">
        <v>0</v>
      </c>
      <c r="AG78">
        <v>0</v>
      </c>
      <c r="AH78">
        <v>0</v>
      </c>
      <c r="AI78">
        <v>0</v>
      </c>
      <c r="AJ78">
        <v>0</v>
      </c>
      <c r="AK78">
        <v>0</v>
      </c>
      <c r="AL78">
        <v>0</v>
      </c>
      <c r="AM78">
        <v>0</v>
      </c>
      <c r="AN78">
        <v>0</v>
      </c>
      <c r="AP78">
        <v>0</v>
      </c>
      <c r="AQ78">
        <v>0</v>
      </c>
      <c r="AR78">
        <v>0</v>
      </c>
      <c r="AS78">
        <v>0</v>
      </c>
      <c r="AT78">
        <v>0</v>
      </c>
      <c r="AU78">
        <v>0</v>
      </c>
      <c r="AV78">
        <v>0</v>
      </c>
      <c r="AX78">
        <v>0</v>
      </c>
      <c r="AY78">
        <v>0</v>
      </c>
      <c r="AZ78">
        <v>0</v>
      </c>
      <c r="BA78">
        <v>0</v>
      </c>
      <c r="BB78">
        <v>0</v>
      </c>
      <c r="BC78">
        <v>0</v>
      </c>
      <c r="BD78">
        <v>0</v>
      </c>
      <c r="BE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row>
    <row r="79" spans="1:79" x14ac:dyDescent="0.3">
      <c r="A79" s="155">
        <v>366</v>
      </c>
      <c r="B79" t="s">
        <v>885</v>
      </c>
      <c r="D79">
        <v>0</v>
      </c>
      <c r="E79">
        <v>0</v>
      </c>
      <c r="F79">
        <v>0</v>
      </c>
      <c r="G79">
        <v>0</v>
      </c>
      <c r="H79">
        <v>0</v>
      </c>
      <c r="I79">
        <v>0</v>
      </c>
      <c r="J79">
        <v>0</v>
      </c>
      <c r="K79">
        <v>0</v>
      </c>
      <c r="L79">
        <v>0</v>
      </c>
      <c r="M79">
        <v>0</v>
      </c>
      <c r="N79">
        <v>0</v>
      </c>
      <c r="P79">
        <v>0</v>
      </c>
      <c r="Q79">
        <v>0</v>
      </c>
      <c r="R79">
        <v>0</v>
      </c>
      <c r="S79">
        <v>2075000</v>
      </c>
      <c r="T79">
        <v>0</v>
      </c>
      <c r="U79">
        <v>5494573</v>
      </c>
      <c r="V79">
        <v>0</v>
      </c>
      <c r="W79">
        <v>0</v>
      </c>
      <c r="X79">
        <v>0</v>
      </c>
      <c r="Y79">
        <v>0</v>
      </c>
      <c r="Z79">
        <v>0</v>
      </c>
      <c r="AA79">
        <v>0</v>
      </c>
      <c r="AB79">
        <v>0</v>
      </c>
      <c r="AC79">
        <v>0</v>
      </c>
      <c r="AD79">
        <v>0</v>
      </c>
      <c r="AE79">
        <v>650</v>
      </c>
      <c r="AF79">
        <v>0</v>
      </c>
      <c r="AG79">
        <v>0</v>
      </c>
      <c r="AH79">
        <v>0</v>
      </c>
      <c r="AI79">
        <v>0</v>
      </c>
      <c r="AJ79">
        <v>683586</v>
      </c>
      <c r="AK79">
        <v>0</v>
      </c>
      <c r="AL79">
        <v>0</v>
      </c>
      <c r="AM79">
        <v>0</v>
      </c>
      <c r="AN79">
        <v>0</v>
      </c>
      <c r="AP79">
        <v>0</v>
      </c>
      <c r="AQ79">
        <v>1200000</v>
      </c>
      <c r="AR79">
        <v>0</v>
      </c>
      <c r="AS79">
        <v>0</v>
      </c>
      <c r="AT79">
        <v>0</v>
      </c>
      <c r="AU79">
        <v>30465</v>
      </c>
      <c r="AV79">
        <v>0</v>
      </c>
      <c r="AX79">
        <v>0</v>
      </c>
      <c r="AY79">
        <v>0</v>
      </c>
      <c r="AZ79">
        <v>405068</v>
      </c>
      <c r="BA79">
        <v>0</v>
      </c>
      <c r="BB79">
        <v>0</v>
      </c>
      <c r="BC79">
        <v>0</v>
      </c>
      <c r="BD79">
        <v>0</v>
      </c>
      <c r="BE79">
        <v>1114289</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row>
    <row r="80" spans="1:79" x14ac:dyDescent="0.3">
      <c r="A80" s="155">
        <v>368</v>
      </c>
      <c r="B80" t="s">
        <v>191</v>
      </c>
      <c r="D80">
        <v>0</v>
      </c>
      <c r="E80">
        <v>60497</v>
      </c>
      <c r="F80">
        <v>0</v>
      </c>
      <c r="G80">
        <v>61605</v>
      </c>
      <c r="H80">
        <v>0</v>
      </c>
      <c r="I80">
        <v>0</v>
      </c>
      <c r="J80">
        <v>0</v>
      </c>
      <c r="K80">
        <v>0</v>
      </c>
      <c r="L80">
        <v>0</v>
      </c>
      <c r="M80">
        <v>0</v>
      </c>
      <c r="N80">
        <v>0</v>
      </c>
      <c r="P80">
        <v>344055</v>
      </c>
      <c r="Q80">
        <v>0</v>
      </c>
      <c r="R80">
        <v>0</v>
      </c>
      <c r="S80">
        <v>0</v>
      </c>
      <c r="T80">
        <v>465</v>
      </c>
      <c r="U80">
        <v>0</v>
      </c>
      <c r="V80">
        <v>0</v>
      </c>
      <c r="W80">
        <v>0</v>
      </c>
      <c r="X80">
        <v>0</v>
      </c>
      <c r="Y80">
        <v>0</v>
      </c>
      <c r="Z80">
        <v>0</v>
      </c>
      <c r="AA80">
        <v>0</v>
      </c>
      <c r="AB80">
        <v>0</v>
      </c>
      <c r="AC80">
        <v>0</v>
      </c>
      <c r="AD80">
        <v>0</v>
      </c>
      <c r="AE80">
        <v>0</v>
      </c>
      <c r="AF80">
        <v>0</v>
      </c>
      <c r="AG80">
        <v>0</v>
      </c>
      <c r="AH80">
        <v>0</v>
      </c>
      <c r="AI80">
        <v>0</v>
      </c>
      <c r="AJ80">
        <v>0</v>
      </c>
      <c r="AK80">
        <v>44420</v>
      </c>
      <c r="AL80">
        <v>0</v>
      </c>
      <c r="AM80">
        <v>0</v>
      </c>
      <c r="AN80">
        <v>0</v>
      </c>
      <c r="AP80">
        <v>200346</v>
      </c>
      <c r="AQ80">
        <v>102075</v>
      </c>
      <c r="AR80">
        <v>0</v>
      </c>
      <c r="AS80">
        <v>0</v>
      </c>
      <c r="AT80">
        <v>0</v>
      </c>
      <c r="AU80">
        <v>0</v>
      </c>
      <c r="AV80">
        <v>0</v>
      </c>
      <c r="AX80">
        <v>0</v>
      </c>
      <c r="AY80">
        <v>0</v>
      </c>
      <c r="AZ80">
        <v>0</v>
      </c>
      <c r="BA80">
        <v>0</v>
      </c>
      <c r="BB80">
        <v>0</v>
      </c>
      <c r="BC80">
        <v>0</v>
      </c>
      <c r="BD80">
        <v>0</v>
      </c>
      <c r="BE80">
        <v>0</v>
      </c>
      <c r="BH80">
        <v>0</v>
      </c>
      <c r="BI80">
        <v>15000</v>
      </c>
      <c r="BJ80">
        <v>0</v>
      </c>
      <c r="BK80">
        <v>1515</v>
      </c>
      <c r="BL80">
        <v>0</v>
      </c>
      <c r="BM80">
        <v>0</v>
      </c>
      <c r="BN80">
        <v>18367</v>
      </c>
      <c r="BO80">
        <v>0</v>
      </c>
      <c r="BP80">
        <v>0</v>
      </c>
      <c r="BQ80">
        <v>0</v>
      </c>
      <c r="BR80">
        <v>33023</v>
      </c>
      <c r="BS80">
        <v>0</v>
      </c>
      <c r="BT80">
        <v>0</v>
      </c>
      <c r="BU80">
        <v>0</v>
      </c>
      <c r="BV80">
        <v>0</v>
      </c>
      <c r="BW80">
        <v>0</v>
      </c>
      <c r="BX80">
        <v>0</v>
      </c>
      <c r="BY80">
        <v>0</v>
      </c>
      <c r="BZ80">
        <v>1119671</v>
      </c>
      <c r="CA80">
        <v>0</v>
      </c>
    </row>
    <row r="81" spans="1:79" x14ac:dyDescent="0.3">
      <c r="A81" s="155">
        <v>369</v>
      </c>
      <c r="B81" t="s">
        <v>196</v>
      </c>
      <c r="D81">
        <v>908954</v>
      </c>
      <c r="E81">
        <v>6476061</v>
      </c>
      <c r="F81">
        <v>194701</v>
      </c>
      <c r="G81">
        <v>6481770</v>
      </c>
      <c r="H81">
        <v>1575288</v>
      </c>
      <c r="I81">
        <v>187623</v>
      </c>
      <c r="J81">
        <v>921403</v>
      </c>
      <c r="K81">
        <v>905553</v>
      </c>
      <c r="L81">
        <v>6101528</v>
      </c>
      <c r="M81">
        <v>81023</v>
      </c>
      <c r="N81">
        <v>461872</v>
      </c>
      <c r="P81">
        <v>12205394</v>
      </c>
      <c r="Q81">
        <v>4448458</v>
      </c>
      <c r="R81">
        <v>3814602</v>
      </c>
      <c r="S81">
        <v>987083</v>
      </c>
      <c r="T81">
        <v>85481</v>
      </c>
      <c r="U81">
        <v>1391310</v>
      </c>
      <c r="V81">
        <v>19248</v>
      </c>
      <c r="W81">
        <v>2019289</v>
      </c>
      <c r="X81">
        <v>9786170</v>
      </c>
      <c r="Y81">
        <v>1940304</v>
      </c>
      <c r="Z81">
        <v>253369</v>
      </c>
      <c r="AA81">
        <v>2820096</v>
      </c>
      <c r="AB81">
        <v>494215</v>
      </c>
      <c r="AC81">
        <v>15593</v>
      </c>
      <c r="AD81">
        <v>224711</v>
      </c>
      <c r="AE81">
        <v>1803799</v>
      </c>
      <c r="AF81">
        <v>99472</v>
      </c>
      <c r="AG81">
        <v>31785</v>
      </c>
      <c r="AH81">
        <v>0</v>
      </c>
      <c r="AI81">
        <v>1318153</v>
      </c>
      <c r="AJ81">
        <v>2336609</v>
      </c>
      <c r="AK81">
        <v>374102</v>
      </c>
      <c r="AL81">
        <v>15593</v>
      </c>
      <c r="AM81">
        <v>11028582</v>
      </c>
      <c r="AN81">
        <v>3230212</v>
      </c>
      <c r="AP81">
        <v>2426447</v>
      </c>
      <c r="AQ81">
        <v>10201259</v>
      </c>
      <c r="AR81">
        <v>1408274</v>
      </c>
      <c r="AS81">
        <v>217413</v>
      </c>
      <c r="AT81">
        <v>2202760</v>
      </c>
      <c r="AU81">
        <v>6493338</v>
      </c>
      <c r="AV81">
        <v>82444</v>
      </c>
      <c r="AX81">
        <v>2164220</v>
      </c>
      <c r="AY81">
        <v>677264</v>
      </c>
      <c r="AZ81">
        <v>1738907</v>
      </c>
      <c r="BA81">
        <v>69844</v>
      </c>
      <c r="BB81">
        <v>989594</v>
      </c>
      <c r="BC81">
        <v>193195</v>
      </c>
      <c r="BD81">
        <v>43987</v>
      </c>
      <c r="BE81">
        <v>3359635</v>
      </c>
      <c r="BH81">
        <v>1413675</v>
      </c>
      <c r="BI81">
        <v>312861</v>
      </c>
      <c r="BJ81">
        <v>395296</v>
      </c>
      <c r="BK81">
        <v>2286417</v>
      </c>
      <c r="BL81">
        <v>2756826</v>
      </c>
      <c r="BM81">
        <v>48272</v>
      </c>
      <c r="BN81">
        <v>1806410</v>
      </c>
      <c r="BO81">
        <v>1130204</v>
      </c>
      <c r="BP81">
        <v>471640</v>
      </c>
      <c r="BQ81">
        <v>773433</v>
      </c>
      <c r="BR81">
        <v>815697</v>
      </c>
      <c r="BS81">
        <v>8304468</v>
      </c>
      <c r="BT81">
        <v>1019128</v>
      </c>
      <c r="BU81">
        <v>503554</v>
      </c>
      <c r="BV81">
        <v>305867</v>
      </c>
      <c r="BW81">
        <v>522114</v>
      </c>
      <c r="BX81">
        <v>41595</v>
      </c>
      <c r="BY81">
        <v>36584</v>
      </c>
      <c r="BZ81">
        <v>8914973</v>
      </c>
      <c r="CA81">
        <v>26317</v>
      </c>
    </row>
    <row r="82" spans="1:79" x14ac:dyDescent="0.3">
      <c r="A82" s="155">
        <v>370</v>
      </c>
      <c r="B82" t="s">
        <v>198</v>
      </c>
      <c r="D82">
        <v>153376</v>
      </c>
      <c r="E82">
        <v>1519015</v>
      </c>
      <c r="F82">
        <v>5247</v>
      </c>
      <c r="G82">
        <v>3484545</v>
      </c>
      <c r="H82">
        <v>170940</v>
      </c>
      <c r="I82">
        <v>0</v>
      </c>
      <c r="J82">
        <v>0</v>
      </c>
      <c r="K82">
        <v>128210</v>
      </c>
      <c r="L82">
        <v>14421899</v>
      </c>
      <c r="M82">
        <v>0</v>
      </c>
      <c r="N82">
        <v>27242</v>
      </c>
      <c r="P82">
        <v>4592627</v>
      </c>
      <c r="Q82">
        <v>3408639</v>
      </c>
      <c r="R82">
        <v>503714</v>
      </c>
      <c r="S82">
        <v>851894</v>
      </c>
      <c r="T82">
        <v>0</v>
      </c>
      <c r="U82">
        <v>1193965</v>
      </c>
      <c r="V82">
        <v>0</v>
      </c>
      <c r="W82">
        <v>2071011</v>
      </c>
      <c r="X82">
        <v>7069640</v>
      </c>
      <c r="Y82">
        <v>714221</v>
      </c>
      <c r="Z82">
        <v>110912</v>
      </c>
      <c r="AA82">
        <v>349561</v>
      </c>
      <c r="AB82">
        <v>0</v>
      </c>
      <c r="AC82">
        <v>0</v>
      </c>
      <c r="AD82">
        <v>23761</v>
      </c>
      <c r="AE82">
        <v>51315</v>
      </c>
      <c r="AF82">
        <v>0</v>
      </c>
      <c r="AG82">
        <v>0</v>
      </c>
      <c r="AH82">
        <v>0</v>
      </c>
      <c r="AI82">
        <v>48037</v>
      </c>
      <c r="AJ82">
        <v>634058</v>
      </c>
      <c r="AK82">
        <v>0</v>
      </c>
      <c r="AL82">
        <v>0</v>
      </c>
      <c r="AM82">
        <v>1980234</v>
      </c>
      <c r="AN82">
        <v>129684</v>
      </c>
      <c r="AP82">
        <v>236000</v>
      </c>
      <c r="AQ82">
        <v>1798043</v>
      </c>
      <c r="AR82">
        <v>146750</v>
      </c>
      <c r="AS82">
        <v>146051</v>
      </c>
      <c r="AT82">
        <v>333112</v>
      </c>
      <c r="AU82">
        <v>427735</v>
      </c>
      <c r="AV82">
        <v>0</v>
      </c>
      <c r="AX82">
        <v>1607417</v>
      </c>
      <c r="AY82">
        <v>121295</v>
      </c>
      <c r="AZ82">
        <v>156669</v>
      </c>
      <c r="BA82">
        <v>0</v>
      </c>
      <c r="BB82">
        <v>0</v>
      </c>
      <c r="BC82">
        <v>0</v>
      </c>
      <c r="BD82">
        <v>0</v>
      </c>
      <c r="BE82">
        <v>1533868</v>
      </c>
      <c r="BH82">
        <v>17727</v>
      </c>
      <c r="BI82">
        <v>4548</v>
      </c>
      <c r="BJ82">
        <v>24496</v>
      </c>
      <c r="BK82">
        <v>1702879</v>
      </c>
      <c r="BL82">
        <v>0</v>
      </c>
      <c r="BM82">
        <v>0</v>
      </c>
      <c r="BN82">
        <v>331455</v>
      </c>
      <c r="BO82">
        <v>0</v>
      </c>
      <c r="BP82">
        <v>0</v>
      </c>
      <c r="BQ82">
        <v>0</v>
      </c>
      <c r="BR82">
        <v>102808</v>
      </c>
      <c r="BS82">
        <v>1124529</v>
      </c>
      <c r="BT82">
        <v>60867</v>
      </c>
      <c r="BU82">
        <v>44574</v>
      </c>
      <c r="BV82">
        <v>63500</v>
      </c>
      <c r="BW82">
        <v>0</v>
      </c>
      <c r="BX82">
        <v>0</v>
      </c>
      <c r="BY82">
        <v>0</v>
      </c>
      <c r="BZ82">
        <v>1594324</v>
      </c>
      <c r="CA82">
        <v>2976</v>
      </c>
    </row>
    <row r="83" spans="1:79" x14ac:dyDescent="0.3">
      <c r="A83" s="155">
        <v>371</v>
      </c>
      <c r="B83" t="s">
        <v>248</v>
      </c>
      <c r="D83">
        <v>0</v>
      </c>
      <c r="E83">
        <v>2863398</v>
      </c>
      <c r="F83">
        <v>0</v>
      </c>
      <c r="G83">
        <v>0</v>
      </c>
      <c r="H83">
        <v>0</v>
      </c>
      <c r="I83">
        <v>0</v>
      </c>
      <c r="J83">
        <v>0</v>
      </c>
      <c r="K83">
        <v>0</v>
      </c>
      <c r="L83">
        <v>0</v>
      </c>
      <c r="M83">
        <v>0</v>
      </c>
      <c r="N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P83">
        <v>0</v>
      </c>
      <c r="AQ83">
        <v>0</v>
      </c>
      <c r="AR83">
        <v>0</v>
      </c>
      <c r="AS83">
        <v>0</v>
      </c>
      <c r="AT83">
        <v>0</v>
      </c>
      <c r="AU83">
        <v>0</v>
      </c>
      <c r="AV83">
        <v>0</v>
      </c>
      <c r="AX83">
        <v>0</v>
      </c>
      <c r="AY83">
        <v>0</v>
      </c>
      <c r="AZ83">
        <v>0</v>
      </c>
      <c r="BA83">
        <v>0</v>
      </c>
      <c r="BB83">
        <v>0</v>
      </c>
      <c r="BC83">
        <v>0</v>
      </c>
      <c r="BD83">
        <v>0</v>
      </c>
      <c r="BE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row>
    <row r="84" spans="1:79" x14ac:dyDescent="0.3">
      <c r="A84" s="155">
        <v>373</v>
      </c>
      <c r="B84" t="s">
        <v>302</v>
      </c>
      <c r="D84">
        <v>1403127</v>
      </c>
      <c r="E84">
        <v>20510990</v>
      </c>
      <c r="F84">
        <v>265082</v>
      </c>
      <c r="G84">
        <v>112569180</v>
      </c>
      <c r="H84">
        <v>7004349</v>
      </c>
      <c r="I84">
        <v>120081</v>
      </c>
      <c r="J84">
        <v>1094968</v>
      </c>
      <c r="K84">
        <v>1647097</v>
      </c>
      <c r="L84">
        <v>110341912</v>
      </c>
      <c r="M84">
        <v>87663</v>
      </c>
      <c r="N84">
        <v>1158242</v>
      </c>
      <c r="P84">
        <v>85395417</v>
      </c>
      <c r="Q84">
        <v>28891050</v>
      </c>
      <c r="R84">
        <v>6523786</v>
      </c>
      <c r="S84">
        <v>23535314</v>
      </c>
      <c r="T84">
        <v>353265</v>
      </c>
      <c r="U84">
        <v>30037617</v>
      </c>
      <c r="V84">
        <v>9535</v>
      </c>
      <c r="W84">
        <v>26205411</v>
      </c>
      <c r="X84">
        <v>35251052</v>
      </c>
      <c r="Y84">
        <v>6254751</v>
      </c>
      <c r="Z84">
        <v>15823683</v>
      </c>
      <c r="AA84">
        <v>6635585</v>
      </c>
      <c r="AB84">
        <v>599103</v>
      </c>
      <c r="AC84">
        <v>620977</v>
      </c>
      <c r="AD84">
        <v>2423011</v>
      </c>
      <c r="AE84">
        <v>4021599</v>
      </c>
      <c r="AF84">
        <v>211280</v>
      </c>
      <c r="AG84">
        <v>94308</v>
      </c>
      <c r="AH84">
        <v>905299</v>
      </c>
      <c r="AI84">
        <v>1568773</v>
      </c>
      <c r="AJ84">
        <v>8802147</v>
      </c>
      <c r="AK84">
        <v>1038516</v>
      </c>
      <c r="AL84">
        <v>19666</v>
      </c>
      <c r="AM84">
        <v>53692376</v>
      </c>
      <c r="AN84">
        <v>60304298</v>
      </c>
      <c r="AP84">
        <v>5207696</v>
      </c>
      <c r="AQ84">
        <v>71032092</v>
      </c>
      <c r="AR84">
        <v>2845234</v>
      </c>
      <c r="AS84">
        <v>1995342</v>
      </c>
      <c r="AT84">
        <v>4801935</v>
      </c>
      <c r="AU84">
        <v>29573730</v>
      </c>
      <c r="AV84">
        <v>166196</v>
      </c>
      <c r="AX84">
        <v>7180788</v>
      </c>
      <c r="AY84">
        <v>6244674</v>
      </c>
      <c r="AZ84">
        <v>7145658</v>
      </c>
      <c r="BA84">
        <v>5342</v>
      </c>
      <c r="BB84">
        <v>4088791</v>
      </c>
      <c r="BC84">
        <v>1264051</v>
      </c>
      <c r="BD84">
        <v>90738</v>
      </c>
      <c r="BE84">
        <v>28524134</v>
      </c>
      <c r="BH84">
        <v>4223079</v>
      </c>
      <c r="BI84">
        <v>4365996</v>
      </c>
      <c r="BJ84">
        <v>809255</v>
      </c>
      <c r="BK84">
        <v>10665127</v>
      </c>
      <c r="BL84">
        <v>5206974</v>
      </c>
      <c r="BM84">
        <v>121845</v>
      </c>
      <c r="BN84">
        <v>11153501</v>
      </c>
      <c r="BO84">
        <v>6303893</v>
      </c>
      <c r="BP84">
        <v>842273</v>
      </c>
      <c r="BQ84">
        <v>2244132</v>
      </c>
      <c r="BR84">
        <v>690031</v>
      </c>
      <c r="BS84">
        <v>123324660</v>
      </c>
      <c r="BT84">
        <v>3302793</v>
      </c>
      <c r="BU84">
        <v>4151430</v>
      </c>
      <c r="BV84">
        <v>875630</v>
      </c>
      <c r="BW84">
        <v>1114487</v>
      </c>
      <c r="BX84">
        <v>37207</v>
      </c>
      <c r="BY84">
        <v>64430</v>
      </c>
      <c r="BZ84">
        <v>20666786</v>
      </c>
      <c r="CA84">
        <v>93679</v>
      </c>
    </row>
    <row r="85" spans="1:79" x14ac:dyDescent="0.3">
      <c r="A85" s="155">
        <v>375</v>
      </c>
      <c r="B85" t="s">
        <v>213</v>
      </c>
      <c r="D85">
        <v>0</v>
      </c>
      <c r="E85">
        <v>0</v>
      </c>
      <c r="F85">
        <v>266782</v>
      </c>
      <c r="G85">
        <v>47964982</v>
      </c>
      <c r="H85">
        <v>10926699</v>
      </c>
      <c r="I85">
        <v>-91816</v>
      </c>
      <c r="J85">
        <v>6502326</v>
      </c>
      <c r="K85">
        <v>688759</v>
      </c>
      <c r="L85">
        <v>8167414</v>
      </c>
      <c r="M85">
        <v>0</v>
      </c>
      <c r="N85">
        <v>1068524</v>
      </c>
      <c r="P85">
        <v>0</v>
      </c>
      <c r="Q85">
        <v>8246309</v>
      </c>
      <c r="R85">
        <v>7699842</v>
      </c>
      <c r="S85">
        <v>5888853</v>
      </c>
      <c r="T85">
        <v>-59689</v>
      </c>
      <c r="U85">
        <v>13192876</v>
      </c>
      <c r="V85">
        <v>0</v>
      </c>
      <c r="W85">
        <v>0</v>
      </c>
      <c r="X85">
        <v>0</v>
      </c>
      <c r="Y85">
        <v>2857885</v>
      </c>
      <c r="Z85">
        <v>1227034</v>
      </c>
      <c r="AA85">
        <v>1267843</v>
      </c>
      <c r="AB85">
        <v>0</v>
      </c>
      <c r="AC85">
        <v>102529</v>
      </c>
      <c r="AD85">
        <v>2361263</v>
      </c>
      <c r="AE85">
        <v>2506275</v>
      </c>
      <c r="AF85">
        <v>50430</v>
      </c>
      <c r="AG85">
        <v>0</v>
      </c>
      <c r="AH85">
        <v>0</v>
      </c>
      <c r="AI85">
        <v>0</v>
      </c>
      <c r="AJ85">
        <v>1729286</v>
      </c>
      <c r="AK85">
        <v>108177</v>
      </c>
      <c r="AL85">
        <v>0</v>
      </c>
      <c r="AM85">
        <v>0</v>
      </c>
      <c r="AN85">
        <v>10840064</v>
      </c>
      <c r="AP85">
        <v>0</v>
      </c>
      <c r="AQ85">
        <v>10707412</v>
      </c>
      <c r="AR85">
        <v>925445</v>
      </c>
      <c r="AS85">
        <v>145987</v>
      </c>
      <c r="AT85">
        <v>819907</v>
      </c>
      <c r="AU85">
        <v>5531322</v>
      </c>
      <c r="AV85">
        <v>1377675</v>
      </c>
      <c r="AX85">
        <v>2983752</v>
      </c>
      <c r="AY85">
        <v>1428575</v>
      </c>
      <c r="AZ85">
        <v>1532572</v>
      </c>
      <c r="BA85">
        <v>-32512</v>
      </c>
      <c r="BB85">
        <v>-98540</v>
      </c>
      <c r="BC85">
        <v>97707</v>
      </c>
      <c r="BD85">
        <v>0</v>
      </c>
      <c r="BE85">
        <v>2853918</v>
      </c>
      <c r="BH85">
        <v>2066561</v>
      </c>
      <c r="BI85">
        <v>2526272</v>
      </c>
      <c r="BJ85">
        <v>-37948</v>
      </c>
      <c r="BK85">
        <v>5834434</v>
      </c>
      <c r="BL85">
        <v>2733719</v>
      </c>
      <c r="BM85">
        <v>0</v>
      </c>
      <c r="BN85">
        <v>3098147</v>
      </c>
      <c r="BO85">
        <v>4012638</v>
      </c>
      <c r="BP85">
        <v>1559309</v>
      </c>
      <c r="BQ85">
        <v>2960436</v>
      </c>
      <c r="BR85">
        <v>0</v>
      </c>
      <c r="BS85">
        <v>0</v>
      </c>
      <c r="BT85">
        <v>1076701</v>
      </c>
      <c r="BU85">
        <v>652689</v>
      </c>
      <c r="BV85">
        <v>686659</v>
      </c>
      <c r="BW85">
        <v>1394394</v>
      </c>
      <c r="BX85">
        <v>0</v>
      </c>
      <c r="BY85">
        <v>0</v>
      </c>
      <c r="BZ85">
        <v>9809774</v>
      </c>
      <c r="CA85">
        <v>0</v>
      </c>
    </row>
    <row r="86" spans="1:79" x14ac:dyDescent="0.3">
      <c r="A86" s="155">
        <v>376</v>
      </c>
      <c r="B86" t="s">
        <v>100</v>
      </c>
      <c r="D86">
        <v>0</v>
      </c>
      <c r="E86">
        <v>0</v>
      </c>
      <c r="F86">
        <v>0</v>
      </c>
      <c r="G86">
        <v>0</v>
      </c>
      <c r="H86">
        <v>0</v>
      </c>
      <c r="I86">
        <v>-348</v>
      </c>
      <c r="J86">
        <v>0</v>
      </c>
      <c r="K86">
        <v>0</v>
      </c>
      <c r="L86">
        <v>951105</v>
      </c>
      <c r="M86">
        <v>0</v>
      </c>
      <c r="N86">
        <v>0</v>
      </c>
      <c r="P86">
        <v>0</v>
      </c>
      <c r="Q86">
        <v>0</v>
      </c>
      <c r="R86">
        <v>0</v>
      </c>
      <c r="S86">
        <v>0</v>
      </c>
      <c r="T86">
        <v>0</v>
      </c>
      <c r="U86">
        <v>0</v>
      </c>
      <c r="V86">
        <v>0</v>
      </c>
      <c r="W86">
        <v>0</v>
      </c>
      <c r="X86">
        <v>0</v>
      </c>
      <c r="Y86">
        <v>0</v>
      </c>
      <c r="Z86">
        <v>0</v>
      </c>
      <c r="AA86">
        <v>0</v>
      </c>
      <c r="AB86">
        <v>0</v>
      </c>
      <c r="AC86">
        <v>30907</v>
      </c>
      <c r="AD86">
        <v>0</v>
      </c>
      <c r="AE86">
        <v>65588</v>
      </c>
      <c r="AF86">
        <v>0</v>
      </c>
      <c r="AG86">
        <v>1</v>
      </c>
      <c r="AH86">
        <v>0</v>
      </c>
      <c r="AI86">
        <v>-1155</v>
      </c>
      <c r="AJ86">
        <v>399848</v>
      </c>
      <c r="AK86">
        <v>0</v>
      </c>
      <c r="AL86">
        <v>0</v>
      </c>
      <c r="AM86">
        <v>0</v>
      </c>
      <c r="AN86">
        <v>3227</v>
      </c>
      <c r="AP86">
        <v>0</v>
      </c>
      <c r="AQ86">
        <v>-2090365</v>
      </c>
      <c r="AR86">
        <v>3943159</v>
      </c>
      <c r="AS86">
        <v>0</v>
      </c>
      <c r="AT86">
        <v>364629</v>
      </c>
      <c r="AU86">
        <v>0</v>
      </c>
      <c r="AV86">
        <v>0</v>
      </c>
      <c r="AX86">
        <v>0</v>
      </c>
      <c r="AY86">
        <v>2</v>
      </c>
      <c r="AZ86">
        <v>0</v>
      </c>
      <c r="BA86">
        <v>0</v>
      </c>
      <c r="BB86">
        <v>0</v>
      </c>
      <c r="BC86">
        <v>0</v>
      </c>
      <c r="BD86">
        <v>0</v>
      </c>
      <c r="BE86">
        <v>0</v>
      </c>
      <c r="BH86">
        <v>0</v>
      </c>
      <c r="BI86">
        <v>0</v>
      </c>
      <c r="BJ86">
        <v>0</v>
      </c>
      <c r="BK86">
        <v>0</v>
      </c>
      <c r="BL86">
        <v>0</v>
      </c>
      <c r="BM86">
        <v>0</v>
      </c>
      <c r="BN86">
        <v>0</v>
      </c>
      <c r="BO86">
        <v>0</v>
      </c>
      <c r="BP86">
        <v>-1</v>
      </c>
      <c r="BQ86">
        <v>1</v>
      </c>
      <c r="BR86">
        <v>0</v>
      </c>
      <c r="BS86">
        <v>-77263</v>
      </c>
      <c r="BT86">
        <v>0</v>
      </c>
      <c r="BU86">
        <v>0</v>
      </c>
      <c r="BV86">
        <v>0</v>
      </c>
      <c r="BW86">
        <v>0</v>
      </c>
      <c r="BX86">
        <v>0</v>
      </c>
      <c r="BY86">
        <v>0</v>
      </c>
      <c r="BZ86">
        <v>0</v>
      </c>
      <c r="CA86">
        <v>0</v>
      </c>
    </row>
    <row r="87" spans="1:79" x14ac:dyDescent="0.3">
      <c r="A87" s="155">
        <v>377</v>
      </c>
      <c r="B87" t="s">
        <v>101</v>
      </c>
      <c r="D87">
        <v>0</v>
      </c>
      <c r="E87">
        <v>0</v>
      </c>
      <c r="F87">
        <v>0</v>
      </c>
      <c r="G87">
        <v>0</v>
      </c>
      <c r="H87">
        <v>0</v>
      </c>
      <c r="I87">
        <v>0</v>
      </c>
      <c r="J87">
        <v>0</v>
      </c>
      <c r="K87">
        <v>0</v>
      </c>
      <c r="L87">
        <v>153720</v>
      </c>
      <c r="M87">
        <v>0</v>
      </c>
      <c r="N87">
        <v>0</v>
      </c>
      <c r="P87">
        <v>0</v>
      </c>
      <c r="Q87">
        <v>0</v>
      </c>
      <c r="R87">
        <v>0</v>
      </c>
      <c r="S87">
        <v>0</v>
      </c>
      <c r="T87">
        <v>0</v>
      </c>
      <c r="U87">
        <v>0</v>
      </c>
      <c r="V87">
        <v>0</v>
      </c>
      <c r="W87">
        <v>0</v>
      </c>
      <c r="X87">
        <v>0</v>
      </c>
      <c r="Y87">
        <v>-1</v>
      </c>
      <c r="Z87">
        <v>24096</v>
      </c>
      <c r="AA87">
        <v>0</v>
      </c>
      <c r="AB87">
        <v>0</v>
      </c>
      <c r="AC87">
        <v>32343</v>
      </c>
      <c r="AD87">
        <v>124562</v>
      </c>
      <c r="AE87">
        <v>0</v>
      </c>
      <c r="AF87">
        <v>0</v>
      </c>
      <c r="AG87">
        <v>0</v>
      </c>
      <c r="AH87">
        <v>0</v>
      </c>
      <c r="AI87">
        <v>0</v>
      </c>
      <c r="AJ87">
        <v>202134</v>
      </c>
      <c r="AK87">
        <v>0</v>
      </c>
      <c r="AL87">
        <v>0</v>
      </c>
      <c r="AM87">
        <v>0</v>
      </c>
      <c r="AN87">
        <v>-1010301</v>
      </c>
      <c r="AP87">
        <v>0</v>
      </c>
      <c r="AQ87">
        <v>2090365</v>
      </c>
      <c r="AR87">
        <v>5265473</v>
      </c>
      <c r="AS87">
        <v>0</v>
      </c>
      <c r="AT87">
        <v>-364629</v>
      </c>
      <c r="AU87">
        <v>0</v>
      </c>
      <c r="AV87">
        <v>0</v>
      </c>
      <c r="AX87">
        <v>0</v>
      </c>
      <c r="AY87">
        <v>0</v>
      </c>
      <c r="AZ87">
        <v>0</v>
      </c>
      <c r="BA87">
        <v>0</v>
      </c>
      <c r="BB87">
        <v>0</v>
      </c>
      <c r="BC87">
        <v>0</v>
      </c>
      <c r="BD87">
        <v>0</v>
      </c>
      <c r="BE87">
        <v>0</v>
      </c>
      <c r="BH87">
        <v>0</v>
      </c>
      <c r="BI87">
        <v>0</v>
      </c>
      <c r="BJ87">
        <v>0</v>
      </c>
      <c r="BK87">
        <v>0</v>
      </c>
      <c r="BL87">
        <v>0</v>
      </c>
      <c r="BM87">
        <v>0</v>
      </c>
      <c r="BN87">
        <v>0</v>
      </c>
      <c r="BO87">
        <v>0</v>
      </c>
      <c r="BP87">
        <v>0</v>
      </c>
      <c r="BQ87">
        <v>1</v>
      </c>
      <c r="BR87">
        <v>0</v>
      </c>
      <c r="BS87">
        <v>0</v>
      </c>
      <c r="BT87">
        <v>0</v>
      </c>
      <c r="BU87">
        <v>1</v>
      </c>
      <c r="BV87">
        <v>0</v>
      </c>
      <c r="BW87">
        <v>0</v>
      </c>
      <c r="BX87">
        <v>0</v>
      </c>
      <c r="BY87">
        <v>0</v>
      </c>
      <c r="BZ87">
        <v>0</v>
      </c>
      <c r="CA87">
        <v>0</v>
      </c>
    </row>
    <row r="88" spans="1:79" x14ac:dyDescent="0.3">
      <c r="A88" s="155">
        <v>378</v>
      </c>
      <c r="B88" t="s">
        <v>102</v>
      </c>
      <c r="D88">
        <v>0</v>
      </c>
      <c r="E88">
        <v>0</v>
      </c>
      <c r="F88">
        <v>0</v>
      </c>
      <c r="G88">
        <v>0</v>
      </c>
      <c r="H88">
        <v>0</v>
      </c>
      <c r="I88">
        <v>0</v>
      </c>
      <c r="J88">
        <v>0</v>
      </c>
      <c r="K88">
        <v>0</v>
      </c>
      <c r="L88">
        <v>0</v>
      </c>
      <c r="M88">
        <v>0</v>
      </c>
      <c r="N88">
        <v>0</v>
      </c>
      <c r="P88">
        <v>0</v>
      </c>
      <c r="Q88">
        <v>0</v>
      </c>
      <c r="R88">
        <v>0</v>
      </c>
      <c r="S88">
        <v>0</v>
      </c>
      <c r="T88">
        <v>0</v>
      </c>
      <c r="U88">
        <v>0</v>
      </c>
      <c r="V88">
        <v>0</v>
      </c>
      <c r="W88">
        <v>0</v>
      </c>
      <c r="X88">
        <v>0</v>
      </c>
      <c r="Y88">
        <v>0</v>
      </c>
      <c r="Z88">
        <v>-59894</v>
      </c>
      <c r="AA88">
        <v>0</v>
      </c>
      <c r="AB88">
        <v>0</v>
      </c>
      <c r="AC88">
        <v>0</v>
      </c>
      <c r="AD88">
        <v>0</v>
      </c>
      <c r="AE88">
        <v>59786</v>
      </c>
      <c r="AF88">
        <v>0</v>
      </c>
      <c r="AG88">
        <v>0</v>
      </c>
      <c r="AH88">
        <v>0</v>
      </c>
      <c r="AI88">
        <v>0</v>
      </c>
      <c r="AJ88">
        <v>1077439</v>
      </c>
      <c r="AK88">
        <v>0</v>
      </c>
      <c r="AL88">
        <v>0</v>
      </c>
      <c r="AM88">
        <v>0</v>
      </c>
      <c r="AN88">
        <v>0</v>
      </c>
      <c r="AP88">
        <v>0</v>
      </c>
      <c r="AQ88">
        <v>0</v>
      </c>
      <c r="AR88">
        <v>0</v>
      </c>
      <c r="AS88">
        <v>0</v>
      </c>
      <c r="AT88">
        <v>0</v>
      </c>
      <c r="AU88">
        <v>1</v>
      </c>
      <c r="AV88">
        <v>0</v>
      </c>
      <c r="AX88">
        <v>0</v>
      </c>
      <c r="AY88">
        <v>0</v>
      </c>
      <c r="AZ88">
        <v>0</v>
      </c>
      <c r="BA88">
        <v>0</v>
      </c>
      <c r="BB88">
        <v>0</v>
      </c>
      <c r="BC88">
        <v>0</v>
      </c>
      <c r="BD88">
        <v>0</v>
      </c>
      <c r="BE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row>
    <row r="89" spans="1:79" x14ac:dyDescent="0.3">
      <c r="A89" s="155">
        <v>379</v>
      </c>
      <c r="B89" t="s">
        <v>110</v>
      </c>
      <c r="D89">
        <v>1064164</v>
      </c>
      <c r="E89">
        <v>28981262</v>
      </c>
      <c r="F89">
        <v>779610</v>
      </c>
      <c r="G89">
        <v>42240469</v>
      </c>
      <c r="H89">
        <v>5647808</v>
      </c>
      <c r="I89">
        <v>656874</v>
      </c>
      <c r="J89">
        <v>2886108</v>
      </c>
      <c r="K89">
        <v>1808627</v>
      </c>
      <c r="L89">
        <v>76610220</v>
      </c>
      <c r="M89">
        <v>339592</v>
      </c>
      <c r="N89">
        <v>977821</v>
      </c>
      <c r="P89">
        <v>24672190</v>
      </c>
      <c r="Q89">
        <v>30294597</v>
      </c>
      <c r="R89">
        <v>3952967</v>
      </c>
      <c r="S89">
        <v>12718187</v>
      </c>
      <c r="T89">
        <v>510630</v>
      </c>
      <c r="U89">
        <v>15237461</v>
      </c>
      <c r="V89">
        <v>277109</v>
      </c>
      <c r="W89">
        <v>14842593</v>
      </c>
      <c r="X89">
        <v>14549984</v>
      </c>
      <c r="Y89">
        <v>8378896</v>
      </c>
      <c r="Z89">
        <v>2933398</v>
      </c>
      <c r="AA89">
        <v>5764296</v>
      </c>
      <c r="AB89">
        <v>1777384</v>
      </c>
      <c r="AC89">
        <v>337982</v>
      </c>
      <c r="AD89">
        <v>1884983</v>
      </c>
      <c r="AE89">
        <v>2946805</v>
      </c>
      <c r="AF89">
        <v>153817</v>
      </c>
      <c r="AG89">
        <v>91259</v>
      </c>
      <c r="AH89">
        <v>267673</v>
      </c>
      <c r="AI89">
        <v>2849470</v>
      </c>
      <c r="AJ89">
        <v>5241464</v>
      </c>
      <c r="AK89">
        <v>487411</v>
      </c>
      <c r="AL89">
        <v>131202</v>
      </c>
      <c r="AM89">
        <v>19204724</v>
      </c>
      <c r="AN89">
        <v>18314616</v>
      </c>
      <c r="AP89">
        <v>8492756</v>
      </c>
      <c r="AQ89">
        <v>15625506</v>
      </c>
      <c r="AR89">
        <v>3115961</v>
      </c>
      <c r="AS89">
        <v>665526</v>
      </c>
      <c r="AT89">
        <v>3307191</v>
      </c>
      <c r="AU89">
        <v>9668593</v>
      </c>
      <c r="AV89">
        <v>310359</v>
      </c>
      <c r="AX89">
        <v>6457282</v>
      </c>
      <c r="AY89">
        <v>4043954</v>
      </c>
      <c r="AZ89">
        <v>3511318</v>
      </c>
      <c r="BA89">
        <v>216784</v>
      </c>
      <c r="BB89">
        <v>3174976</v>
      </c>
      <c r="BC89">
        <v>1405741</v>
      </c>
      <c r="BD89">
        <v>425466</v>
      </c>
      <c r="BE89">
        <v>10617464</v>
      </c>
      <c r="BH89">
        <v>3612182</v>
      </c>
      <c r="BI89">
        <v>5165121</v>
      </c>
      <c r="BJ89">
        <v>881728</v>
      </c>
      <c r="BK89">
        <v>5335044</v>
      </c>
      <c r="BL89">
        <v>7714731</v>
      </c>
      <c r="BM89">
        <v>198415</v>
      </c>
      <c r="BN89">
        <v>6368475</v>
      </c>
      <c r="BO89">
        <v>5381975</v>
      </c>
      <c r="BP89">
        <v>1877167</v>
      </c>
      <c r="BQ89">
        <v>2510181</v>
      </c>
      <c r="BR89">
        <v>2831008</v>
      </c>
      <c r="BS89">
        <v>20430061</v>
      </c>
      <c r="BT89">
        <v>3104656</v>
      </c>
      <c r="BU89">
        <v>3846884</v>
      </c>
      <c r="BV89">
        <v>1079444</v>
      </c>
      <c r="BW89">
        <v>1797245</v>
      </c>
      <c r="BX89">
        <v>232213</v>
      </c>
      <c r="BY89">
        <v>217798</v>
      </c>
      <c r="BZ89">
        <v>23641683</v>
      </c>
      <c r="CA89">
        <v>111613</v>
      </c>
    </row>
    <row r="90" spans="1:79" x14ac:dyDescent="0.3">
      <c r="A90" s="155">
        <v>380</v>
      </c>
      <c r="B90" t="s">
        <v>113</v>
      </c>
      <c r="D90">
        <v>5847</v>
      </c>
      <c r="E90">
        <v>53999</v>
      </c>
      <c r="F90">
        <v>53018</v>
      </c>
      <c r="G90">
        <v>271768</v>
      </c>
      <c r="H90">
        <v>998973</v>
      </c>
      <c r="I90">
        <v>35824</v>
      </c>
      <c r="J90">
        <v>105179</v>
      </c>
      <c r="K90">
        <v>120423</v>
      </c>
      <c r="L90">
        <v>17608683</v>
      </c>
      <c r="M90">
        <v>3636</v>
      </c>
      <c r="N90">
        <v>35674</v>
      </c>
      <c r="P90">
        <v>236361</v>
      </c>
      <c r="Q90">
        <v>68313</v>
      </c>
      <c r="R90">
        <v>58600</v>
      </c>
      <c r="S90">
        <v>90389</v>
      </c>
      <c r="T90">
        <v>16946</v>
      </c>
      <c r="U90">
        <v>529627</v>
      </c>
      <c r="V90">
        <v>854</v>
      </c>
      <c r="W90">
        <v>56336</v>
      </c>
      <c r="X90">
        <v>159760</v>
      </c>
      <c r="Y90">
        <v>1101812</v>
      </c>
      <c r="Z90">
        <v>61983</v>
      </c>
      <c r="AA90">
        <v>262189</v>
      </c>
      <c r="AB90">
        <v>313</v>
      </c>
      <c r="AC90">
        <v>0</v>
      </c>
      <c r="AD90">
        <v>6137</v>
      </c>
      <c r="AE90">
        <v>84934</v>
      </c>
      <c r="AF90">
        <v>3691</v>
      </c>
      <c r="AG90">
        <v>1094</v>
      </c>
      <c r="AH90">
        <v>588</v>
      </c>
      <c r="AI90">
        <v>4397</v>
      </c>
      <c r="AJ90">
        <v>792595</v>
      </c>
      <c r="AK90">
        <v>4216</v>
      </c>
      <c r="AL90">
        <v>739</v>
      </c>
      <c r="AM90">
        <v>32046</v>
      </c>
      <c r="AN90">
        <v>422888</v>
      </c>
      <c r="AP90">
        <v>22115</v>
      </c>
      <c r="AQ90">
        <v>240464</v>
      </c>
      <c r="AR90">
        <v>124963</v>
      </c>
      <c r="AS90">
        <v>14519</v>
      </c>
      <c r="AT90">
        <v>12526</v>
      </c>
      <c r="AU90">
        <v>32000</v>
      </c>
      <c r="AV90">
        <v>397</v>
      </c>
      <c r="AX90">
        <v>43055</v>
      </c>
      <c r="AY90">
        <v>28381</v>
      </c>
      <c r="AZ90">
        <v>32690</v>
      </c>
      <c r="BA90">
        <v>4238</v>
      </c>
      <c r="BB90">
        <v>33188</v>
      </c>
      <c r="BC90">
        <v>14551</v>
      </c>
      <c r="BD90">
        <v>1682</v>
      </c>
      <c r="BE90">
        <v>651563</v>
      </c>
      <c r="BH90">
        <v>51616</v>
      </c>
      <c r="BI90">
        <v>36424</v>
      </c>
      <c r="BJ90">
        <v>0</v>
      </c>
      <c r="BK90">
        <v>7068</v>
      </c>
      <c r="BL90">
        <v>21042</v>
      </c>
      <c r="BM90">
        <v>0</v>
      </c>
      <c r="BN90">
        <v>275933</v>
      </c>
      <c r="BO90">
        <v>55162</v>
      </c>
      <c r="BP90">
        <v>18241</v>
      </c>
      <c r="BQ90">
        <v>0</v>
      </c>
      <c r="BR90">
        <v>1348</v>
      </c>
      <c r="BS90">
        <v>183559</v>
      </c>
      <c r="BT90">
        <v>488655</v>
      </c>
      <c r="BU90">
        <v>32264</v>
      </c>
      <c r="BV90">
        <v>26319</v>
      </c>
      <c r="BW90">
        <v>2060</v>
      </c>
      <c r="BX90">
        <v>12462</v>
      </c>
      <c r="BY90">
        <v>697</v>
      </c>
      <c r="BZ90">
        <v>197862</v>
      </c>
      <c r="CA90">
        <v>9026</v>
      </c>
    </row>
    <row r="91" spans="1:79" x14ac:dyDescent="0.3">
      <c r="A91" s="155">
        <v>381</v>
      </c>
      <c r="B91" t="s">
        <v>105</v>
      </c>
      <c r="D91">
        <v>0</v>
      </c>
      <c r="E91">
        <v>0</v>
      </c>
      <c r="F91">
        <v>868686</v>
      </c>
      <c r="G91">
        <v>143296285</v>
      </c>
      <c r="H91">
        <v>26603544</v>
      </c>
      <c r="I91">
        <v>842907</v>
      </c>
      <c r="J91">
        <v>11510330</v>
      </c>
      <c r="K91">
        <v>8529979</v>
      </c>
      <c r="L91">
        <v>164588714</v>
      </c>
      <c r="M91">
        <v>0</v>
      </c>
      <c r="N91">
        <v>3830743</v>
      </c>
      <c r="P91">
        <v>0</v>
      </c>
      <c r="Q91">
        <v>27374673</v>
      </c>
      <c r="R91">
        <v>36266457</v>
      </c>
      <c r="S91">
        <v>59328020</v>
      </c>
      <c r="T91">
        <v>2334896</v>
      </c>
      <c r="U91">
        <v>92003485</v>
      </c>
      <c r="V91">
        <v>0</v>
      </c>
      <c r="W91">
        <v>0</v>
      </c>
      <c r="X91">
        <v>0</v>
      </c>
      <c r="Y91">
        <v>11634287</v>
      </c>
      <c r="Z91">
        <v>9887449</v>
      </c>
      <c r="AA91">
        <v>9416083</v>
      </c>
      <c r="AB91">
        <v>0</v>
      </c>
      <c r="AC91">
        <v>434054</v>
      </c>
      <c r="AD91">
        <v>10571869</v>
      </c>
      <c r="AE91">
        <v>14587507</v>
      </c>
      <c r="AF91">
        <v>633630</v>
      </c>
      <c r="AG91">
        <v>0</v>
      </c>
      <c r="AH91">
        <v>0</v>
      </c>
      <c r="AI91">
        <v>0</v>
      </c>
      <c r="AJ91">
        <v>43413915</v>
      </c>
      <c r="AK91">
        <v>1778074</v>
      </c>
      <c r="AL91">
        <v>0</v>
      </c>
      <c r="AM91">
        <v>0</v>
      </c>
      <c r="AN91">
        <v>83315337</v>
      </c>
      <c r="AP91">
        <v>0</v>
      </c>
      <c r="AQ91">
        <v>55272377</v>
      </c>
      <c r="AR91">
        <v>6732615</v>
      </c>
      <c r="AS91">
        <v>4621862</v>
      </c>
      <c r="AT91">
        <v>6724430</v>
      </c>
      <c r="AU91">
        <v>35422022</v>
      </c>
      <c r="AV91">
        <v>1951171</v>
      </c>
      <c r="AX91">
        <v>13012309</v>
      </c>
      <c r="AY91">
        <v>9368630</v>
      </c>
      <c r="AZ91">
        <v>17467151</v>
      </c>
      <c r="BA91">
        <v>5335</v>
      </c>
      <c r="BB91">
        <v>4083398</v>
      </c>
      <c r="BC91">
        <v>3301359</v>
      </c>
      <c r="BD91">
        <v>0</v>
      </c>
      <c r="BE91">
        <v>71037642</v>
      </c>
      <c r="BH91">
        <v>7282314</v>
      </c>
      <c r="BI91">
        <v>7923784</v>
      </c>
      <c r="BJ91">
        <v>6832373</v>
      </c>
      <c r="BK91">
        <v>14724393</v>
      </c>
      <c r="BL91">
        <v>9473033</v>
      </c>
      <c r="BM91">
        <v>0</v>
      </c>
      <c r="BN91">
        <v>21428547</v>
      </c>
      <c r="BO91">
        <v>12716017</v>
      </c>
      <c r="BP91">
        <v>8937531</v>
      </c>
      <c r="BQ91">
        <v>8558933</v>
      </c>
      <c r="BR91">
        <v>0</v>
      </c>
      <c r="BS91">
        <v>0</v>
      </c>
      <c r="BT91">
        <v>6885527</v>
      </c>
      <c r="BU91">
        <v>17217720</v>
      </c>
      <c r="BV91">
        <v>6358345</v>
      </c>
      <c r="BW91">
        <v>3503140</v>
      </c>
      <c r="BX91">
        <v>0</v>
      </c>
      <c r="BY91">
        <v>0</v>
      </c>
      <c r="BZ91">
        <v>87983794</v>
      </c>
      <c r="CA91">
        <v>0</v>
      </c>
    </row>
    <row r="92" spans="1:79" x14ac:dyDescent="0.3">
      <c r="A92" s="155">
        <v>382</v>
      </c>
      <c r="B92" t="s">
        <v>106</v>
      </c>
      <c r="D92">
        <v>0</v>
      </c>
      <c r="E92">
        <v>0</v>
      </c>
      <c r="F92">
        <v>0</v>
      </c>
      <c r="G92">
        <v>0</v>
      </c>
      <c r="H92">
        <v>0</v>
      </c>
      <c r="I92">
        <v>0</v>
      </c>
      <c r="J92">
        <v>0</v>
      </c>
      <c r="K92">
        <v>0</v>
      </c>
      <c r="L92">
        <v>0</v>
      </c>
      <c r="M92">
        <v>0</v>
      </c>
      <c r="N92">
        <v>0</v>
      </c>
      <c r="P92">
        <v>0</v>
      </c>
      <c r="Q92">
        <v>0</v>
      </c>
      <c r="R92">
        <v>0</v>
      </c>
      <c r="S92">
        <v>12198727</v>
      </c>
      <c r="T92">
        <v>0</v>
      </c>
      <c r="U92">
        <v>76169041</v>
      </c>
      <c r="V92">
        <v>0</v>
      </c>
      <c r="W92">
        <v>0</v>
      </c>
      <c r="X92">
        <v>0</v>
      </c>
      <c r="Y92">
        <v>0</v>
      </c>
      <c r="Z92">
        <v>7024621</v>
      </c>
      <c r="AA92">
        <v>1106129</v>
      </c>
      <c r="AB92">
        <v>0</v>
      </c>
      <c r="AC92">
        <v>0</v>
      </c>
      <c r="AD92">
        <v>0</v>
      </c>
      <c r="AE92">
        <v>5894916</v>
      </c>
      <c r="AF92">
        <v>0</v>
      </c>
      <c r="AG92">
        <v>0</v>
      </c>
      <c r="AH92">
        <v>0</v>
      </c>
      <c r="AI92">
        <v>0</v>
      </c>
      <c r="AJ92">
        <v>16644208</v>
      </c>
      <c r="AK92">
        <v>0</v>
      </c>
      <c r="AL92">
        <v>0</v>
      </c>
      <c r="AM92">
        <v>0</v>
      </c>
      <c r="AN92">
        <v>0</v>
      </c>
      <c r="AP92">
        <v>0</v>
      </c>
      <c r="AQ92">
        <v>79228816</v>
      </c>
      <c r="AR92">
        <v>0</v>
      </c>
      <c r="AS92">
        <v>0</v>
      </c>
      <c r="AT92">
        <v>0</v>
      </c>
      <c r="AU92">
        <v>10416515</v>
      </c>
      <c r="AV92">
        <v>0</v>
      </c>
      <c r="AX92">
        <v>0</v>
      </c>
      <c r="AY92">
        <v>0</v>
      </c>
      <c r="AZ92">
        <v>6731447</v>
      </c>
      <c r="BA92">
        <v>0</v>
      </c>
      <c r="BB92">
        <v>0</v>
      </c>
      <c r="BC92">
        <v>7792986</v>
      </c>
      <c r="BD92">
        <v>0</v>
      </c>
      <c r="BE92">
        <v>34248947</v>
      </c>
      <c r="BH92">
        <v>0</v>
      </c>
      <c r="BI92">
        <v>0</v>
      </c>
      <c r="BJ92">
        <v>0</v>
      </c>
      <c r="BK92">
        <v>6466424</v>
      </c>
      <c r="BL92">
        <v>0</v>
      </c>
      <c r="BM92">
        <v>0</v>
      </c>
      <c r="BN92">
        <v>0</v>
      </c>
      <c r="BO92">
        <v>0</v>
      </c>
      <c r="BP92">
        <v>0</v>
      </c>
      <c r="BQ92">
        <v>0</v>
      </c>
      <c r="BR92">
        <v>0</v>
      </c>
      <c r="BS92">
        <v>0</v>
      </c>
      <c r="BT92">
        <v>0</v>
      </c>
      <c r="BU92">
        <v>0</v>
      </c>
      <c r="BV92">
        <v>0</v>
      </c>
      <c r="BW92">
        <v>0</v>
      </c>
      <c r="BX92">
        <v>0</v>
      </c>
      <c r="BY92">
        <v>0</v>
      </c>
      <c r="BZ92">
        <v>0</v>
      </c>
      <c r="CA92">
        <v>0</v>
      </c>
    </row>
    <row r="93" spans="1:79" x14ac:dyDescent="0.3">
      <c r="A93" s="155">
        <v>383</v>
      </c>
      <c r="B93" t="s">
        <v>212</v>
      </c>
      <c r="D93">
        <v>0</v>
      </c>
      <c r="E93">
        <v>0</v>
      </c>
      <c r="F93">
        <v>0</v>
      </c>
      <c r="G93">
        <v>0</v>
      </c>
      <c r="H93">
        <v>0</v>
      </c>
      <c r="I93">
        <v>0</v>
      </c>
      <c r="J93">
        <v>0</v>
      </c>
      <c r="K93">
        <v>0</v>
      </c>
      <c r="L93">
        <v>0</v>
      </c>
      <c r="M93">
        <v>0</v>
      </c>
      <c r="N93">
        <v>0</v>
      </c>
      <c r="P93">
        <v>0</v>
      </c>
      <c r="Q93">
        <v>0</v>
      </c>
      <c r="R93">
        <v>0</v>
      </c>
      <c r="S93">
        <v>0</v>
      </c>
      <c r="T93">
        <v>0</v>
      </c>
      <c r="U93">
        <v>0</v>
      </c>
      <c r="V93">
        <v>0</v>
      </c>
      <c r="W93">
        <v>0</v>
      </c>
      <c r="X93">
        <v>0</v>
      </c>
      <c r="Y93">
        <v>0</v>
      </c>
      <c r="Z93">
        <v>16886</v>
      </c>
      <c r="AA93">
        <v>212975</v>
      </c>
      <c r="AB93">
        <v>0</v>
      </c>
      <c r="AC93">
        <v>0</v>
      </c>
      <c r="AD93">
        <v>0</v>
      </c>
      <c r="AE93">
        <v>0</v>
      </c>
      <c r="AF93">
        <v>0</v>
      </c>
      <c r="AG93">
        <v>0</v>
      </c>
      <c r="AH93">
        <v>0</v>
      </c>
      <c r="AI93">
        <v>0</v>
      </c>
      <c r="AJ93">
        <v>0</v>
      </c>
      <c r="AK93">
        <v>0</v>
      </c>
      <c r="AL93">
        <v>0</v>
      </c>
      <c r="AM93">
        <v>0</v>
      </c>
      <c r="AN93">
        <v>0</v>
      </c>
      <c r="AP93">
        <v>0</v>
      </c>
      <c r="AQ93">
        <v>0</v>
      </c>
      <c r="AR93">
        <v>0</v>
      </c>
      <c r="AS93">
        <v>6170</v>
      </c>
      <c r="AT93">
        <v>0</v>
      </c>
      <c r="AU93">
        <v>0</v>
      </c>
      <c r="AV93">
        <v>0</v>
      </c>
      <c r="AX93">
        <v>0</v>
      </c>
      <c r="AY93">
        <v>0</v>
      </c>
      <c r="AZ93">
        <v>0</v>
      </c>
      <c r="BA93">
        <v>0</v>
      </c>
      <c r="BB93">
        <v>0</v>
      </c>
      <c r="BC93">
        <v>0</v>
      </c>
      <c r="BD93">
        <v>0</v>
      </c>
      <c r="BE93">
        <v>0</v>
      </c>
      <c r="BH93">
        <v>0</v>
      </c>
      <c r="BI93">
        <v>0</v>
      </c>
      <c r="BJ93">
        <v>0</v>
      </c>
      <c r="BK93">
        <v>0</v>
      </c>
      <c r="BL93">
        <v>0</v>
      </c>
      <c r="BM93">
        <v>0</v>
      </c>
      <c r="BN93">
        <v>0</v>
      </c>
      <c r="BO93">
        <v>6873</v>
      </c>
      <c r="BP93">
        <v>0</v>
      </c>
      <c r="BQ93">
        <v>0</v>
      </c>
      <c r="BR93">
        <v>0</v>
      </c>
      <c r="BS93">
        <v>0</v>
      </c>
      <c r="BT93">
        <v>0</v>
      </c>
      <c r="BU93">
        <v>0</v>
      </c>
      <c r="BV93">
        <v>0</v>
      </c>
      <c r="BW93">
        <v>0</v>
      </c>
      <c r="BX93">
        <v>0</v>
      </c>
      <c r="BY93">
        <v>0</v>
      </c>
      <c r="BZ93">
        <v>0</v>
      </c>
      <c r="CA93">
        <v>0</v>
      </c>
    </row>
    <row r="94" spans="1:79" x14ac:dyDescent="0.3">
      <c r="A94" s="155">
        <v>384</v>
      </c>
      <c r="B94" t="s">
        <v>116</v>
      </c>
      <c r="D94">
        <v>0</v>
      </c>
      <c r="E94">
        <v>0</v>
      </c>
      <c r="F94">
        <v>0</v>
      </c>
      <c r="G94">
        <v>0</v>
      </c>
      <c r="H94">
        <v>0</v>
      </c>
      <c r="I94">
        <v>0</v>
      </c>
      <c r="J94">
        <v>0</v>
      </c>
      <c r="K94">
        <v>0</v>
      </c>
      <c r="L94">
        <v>0</v>
      </c>
      <c r="M94">
        <v>0</v>
      </c>
      <c r="N94">
        <v>0</v>
      </c>
      <c r="P94">
        <v>0</v>
      </c>
      <c r="Q94">
        <v>0</v>
      </c>
      <c r="R94">
        <v>0</v>
      </c>
      <c r="S94">
        <v>0</v>
      </c>
      <c r="T94">
        <v>0</v>
      </c>
      <c r="U94">
        <v>0</v>
      </c>
      <c r="V94">
        <v>0</v>
      </c>
      <c r="W94">
        <v>0</v>
      </c>
      <c r="X94">
        <v>0</v>
      </c>
      <c r="Y94">
        <v>0</v>
      </c>
      <c r="Z94">
        <v>21107</v>
      </c>
      <c r="AA94">
        <v>0</v>
      </c>
      <c r="AB94">
        <v>0</v>
      </c>
      <c r="AC94">
        <v>0</v>
      </c>
      <c r="AD94">
        <v>0</v>
      </c>
      <c r="AE94">
        <v>0</v>
      </c>
      <c r="AF94">
        <v>0</v>
      </c>
      <c r="AG94">
        <v>0</v>
      </c>
      <c r="AH94">
        <v>0</v>
      </c>
      <c r="AI94">
        <v>0</v>
      </c>
      <c r="AJ94">
        <v>0</v>
      </c>
      <c r="AK94">
        <v>0</v>
      </c>
      <c r="AL94">
        <v>0</v>
      </c>
      <c r="AM94">
        <v>0</v>
      </c>
      <c r="AN94">
        <v>0</v>
      </c>
      <c r="AP94">
        <v>0</v>
      </c>
      <c r="AQ94">
        <v>0</v>
      </c>
      <c r="AR94">
        <v>0</v>
      </c>
      <c r="AS94">
        <v>0</v>
      </c>
      <c r="AT94">
        <v>0</v>
      </c>
      <c r="AU94">
        <v>0</v>
      </c>
      <c r="AV94">
        <v>0</v>
      </c>
      <c r="AX94">
        <v>0</v>
      </c>
      <c r="AY94">
        <v>0</v>
      </c>
      <c r="AZ94">
        <v>0</v>
      </c>
      <c r="BA94">
        <v>0</v>
      </c>
      <c r="BB94">
        <v>0</v>
      </c>
      <c r="BC94">
        <v>0</v>
      </c>
      <c r="BD94">
        <v>0</v>
      </c>
      <c r="BE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row>
    <row r="95" spans="1:79" x14ac:dyDescent="0.3">
      <c r="A95" s="155">
        <v>385</v>
      </c>
      <c r="B95" t="s">
        <v>107</v>
      </c>
      <c r="D95">
        <v>6907418</v>
      </c>
      <c r="E95">
        <v>115256806</v>
      </c>
      <c r="F95">
        <v>1087971</v>
      </c>
      <c r="G95">
        <v>180317889</v>
      </c>
      <c r="H95">
        <v>18940554</v>
      </c>
      <c r="I95">
        <v>818393</v>
      </c>
      <c r="J95">
        <v>4349504</v>
      </c>
      <c r="K95">
        <v>5931555</v>
      </c>
      <c r="L95">
        <v>371259393</v>
      </c>
      <c r="M95">
        <v>428622</v>
      </c>
      <c r="N95">
        <v>2505832</v>
      </c>
      <c r="P95">
        <v>198800343</v>
      </c>
      <c r="Q95">
        <v>74123689</v>
      </c>
      <c r="R95">
        <v>18010406</v>
      </c>
      <c r="S95">
        <v>40480548</v>
      </c>
      <c r="T95">
        <v>878366</v>
      </c>
      <c r="U95">
        <v>60962430</v>
      </c>
      <c r="V95">
        <v>278063</v>
      </c>
      <c r="W95">
        <v>37621797</v>
      </c>
      <c r="X95">
        <v>141351324</v>
      </c>
      <c r="Y95">
        <v>22742424</v>
      </c>
      <c r="Z95">
        <v>6337195</v>
      </c>
      <c r="AA95">
        <v>36458646</v>
      </c>
      <c r="AB95">
        <v>2507307</v>
      </c>
      <c r="AC95">
        <v>706965</v>
      </c>
      <c r="AD95">
        <v>4201260</v>
      </c>
      <c r="AE95">
        <v>11672864</v>
      </c>
      <c r="AF95">
        <v>1714491</v>
      </c>
      <c r="AG95">
        <v>185295</v>
      </c>
      <c r="AH95">
        <v>1270346</v>
      </c>
      <c r="AI95">
        <v>7175023</v>
      </c>
      <c r="AJ95">
        <v>24151368</v>
      </c>
      <c r="AK95">
        <v>1363421</v>
      </c>
      <c r="AL95">
        <v>159398</v>
      </c>
      <c r="AM95">
        <v>150929802</v>
      </c>
      <c r="AN95">
        <v>50907108</v>
      </c>
      <c r="AP95">
        <v>25433246</v>
      </c>
      <c r="AQ95">
        <v>83241245</v>
      </c>
      <c r="AR95">
        <v>6595482</v>
      </c>
      <c r="AS95">
        <v>2906427</v>
      </c>
      <c r="AT95">
        <v>12859259</v>
      </c>
      <c r="AU95">
        <v>38875106</v>
      </c>
      <c r="AV95">
        <v>1195686</v>
      </c>
      <c r="AX95">
        <v>19084320</v>
      </c>
      <c r="AY95">
        <v>8535374</v>
      </c>
      <c r="AZ95">
        <v>12747258</v>
      </c>
      <c r="BA95">
        <v>257423</v>
      </c>
      <c r="BB95">
        <v>7806767</v>
      </c>
      <c r="BC95">
        <v>2620015</v>
      </c>
      <c r="BD95">
        <v>448225</v>
      </c>
      <c r="BE95">
        <v>69538896</v>
      </c>
      <c r="BH95">
        <v>13203243</v>
      </c>
      <c r="BI95">
        <v>13452584</v>
      </c>
      <c r="BJ95">
        <v>1264606</v>
      </c>
      <c r="BK95">
        <v>18097402</v>
      </c>
      <c r="BL95">
        <v>16925786</v>
      </c>
      <c r="BM95">
        <v>237783</v>
      </c>
      <c r="BN95">
        <v>20054096</v>
      </c>
      <c r="BO95">
        <v>9837493</v>
      </c>
      <c r="BP95">
        <v>2548726</v>
      </c>
      <c r="BQ95">
        <v>5802420</v>
      </c>
      <c r="BR95">
        <v>15686236</v>
      </c>
      <c r="BS95">
        <v>289168054</v>
      </c>
      <c r="BT95">
        <v>6001654</v>
      </c>
      <c r="BU95">
        <v>8268115</v>
      </c>
      <c r="BV95">
        <v>2629744</v>
      </c>
      <c r="BW95">
        <v>5087501</v>
      </c>
      <c r="BX95">
        <v>238276</v>
      </c>
      <c r="BY95">
        <v>262073</v>
      </c>
      <c r="BZ95">
        <v>97289750</v>
      </c>
      <c r="CA95">
        <v>379794</v>
      </c>
    </row>
    <row r="96" spans="1:79" x14ac:dyDescent="0.3">
      <c r="A96" s="155">
        <v>386</v>
      </c>
      <c r="B96" t="s">
        <v>185</v>
      </c>
      <c r="D96">
        <v>0</v>
      </c>
      <c r="E96">
        <v>0</v>
      </c>
      <c r="F96">
        <v>0</v>
      </c>
      <c r="G96">
        <v>0</v>
      </c>
      <c r="H96">
        <v>0</v>
      </c>
      <c r="I96">
        <v>0</v>
      </c>
      <c r="J96">
        <v>0</v>
      </c>
      <c r="K96">
        <v>5205</v>
      </c>
      <c r="L96">
        <v>7514713</v>
      </c>
      <c r="M96">
        <v>0</v>
      </c>
      <c r="N96">
        <v>0</v>
      </c>
      <c r="P96">
        <v>0</v>
      </c>
      <c r="Q96">
        <v>0</v>
      </c>
      <c r="R96">
        <v>0</v>
      </c>
      <c r="S96">
        <v>1500000</v>
      </c>
      <c r="T96">
        <v>0</v>
      </c>
      <c r="U96">
        <v>2259630</v>
      </c>
      <c r="V96">
        <v>0</v>
      </c>
      <c r="W96">
        <v>0</v>
      </c>
      <c r="X96">
        <v>40700</v>
      </c>
      <c r="Y96">
        <v>0</v>
      </c>
      <c r="Z96">
        <v>0</v>
      </c>
      <c r="AA96">
        <v>1600000</v>
      </c>
      <c r="AB96">
        <v>0</v>
      </c>
      <c r="AC96">
        <v>0</v>
      </c>
      <c r="AD96">
        <v>0</v>
      </c>
      <c r="AE96">
        <v>0</v>
      </c>
      <c r="AF96">
        <v>0</v>
      </c>
      <c r="AG96">
        <v>0</v>
      </c>
      <c r="AH96">
        <v>0</v>
      </c>
      <c r="AI96">
        <v>0</v>
      </c>
      <c r="AJ96">
        <v>446572</v>
      </c>
      <c r="AK96">
        <v>0</v>
      </c>
      <c r="AL96">
        <v>0</v>
      </c>
      <c r="AM96">
        <v>0</v>
      </c>
      <c r="AN96">
        <v>0</v>
      </c>
      <c r="AP96">
        <v>0</v>
      </c>
      <c r="AQ96">
        <v>2321571</v>
      </c>
      <c r="AR96">
        <v>0</v>
      </c>
      <c r="AS96">
        <v>28632</v>
      </c>
      <c r="AT96">
        <v>0</v>
      </c>
      <c r="AU96">
        <v>419687</v>
      </c>
      <c r="AV96">
        <v>20000</v>
      </c>
      <c r="AX96">
        <v>0</v>
      </c>
      <c r="AY96">
        <v>60000</v>
      </c>
      <c r="AZ96">
        <v>405068</v>
      </c>
      <c r="BA96">
        <v>0</v>
      </c>
      <c r="BB96">
        <v>0</v>
      </c>
      <c r="BC96">
        <v>0</v>
      </c>
      <c r="BD96">
        <v>0</v>
      </c>
      <c r="BE96">
        <v>449365</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row>
    <row r="97" spans="1:79" x14ac:dyDescent="0.3">
      <c r="A97" s="155">
        <v>387</v>
      </c>
      <c r="B97" t="s">
        <v>186</v>
      </c>
      <c r="D97">
        <v>0</v>
      </c>
      <c r="E97">
        <v>6125</v>
      </c>
      <c r="F97">
        <v>0</v>
      </c>
      <c r="G97">
        <v>2832800</v>
      </c>
      <c r="H97">
        <v>0</v>
      </c>
      <c r="I97">
        <v>0</v>
      </c>
      <c r="J97">
        <v>0</v>
      </c>
      <c r="K97">
        <v>0</v>
      </c>
      <c r="L97">
        <v>0</v>
      </c>
      <c r="M97">
        <v>0</v>
      </c>
      <c r="N97">
        <v>0</v>
      </c>
      <c r="P97">
        <v>213724</v>
      </c>
      <c r="Q97">
        <v>0</v>
      </c>
      <c r="R97">
        <v>77531</v>
      </c>
      <c r="S97">
        <v>0</v>
      </c>
      <c r="T97">
        <v>0</v>
      </c>
      <c r="U97">
        <v>0</v>
      </c>
      <c r="V97">
        <v>0</v>
      </c>
      <c r="W97">
        <v>0</v>
      </c>
      <c r="X97">
        <v>0</v>
      </c>
      <c r="Y97">
        <v>0</v>
      </c>
      <c r="Z97">
        <v>478841</v>
      </c>
      <c r="AA97">
        <v>1783888</v>
      </c>
      <c r="AB97">
        <v>0</v>
      </c>
      <c r="AC97">
        <v>0</v>
      </c>
      <c r="AD97">
        <v>0</v>
      </c>
      <c r="AE97">
        <v>10759</v>
      </c>
      <c r="AF97">
        <v>0</v>
      </c>
      <c r="AG97">
        <v>0</v>
      </c>
      <c r="AH97">
        <v>0</v>
      </c>
      <c r="AI97">
        <v>0</v>
      </c>
      <c r="AJ97">
        <v>0</v>
      </c>
      <c r="AK97">
        <v>61494</v>
      </c>
      <c r="AL97">
        <v>0</v>
      </c>
      <c r="AM97">
        <v>0</v>
      </c>
      <c r="AN97">
        <v>0</v>
      </c>
      <c r="AP97">
        <v>0</v>
      </c>
      <c r="AQ97">
        <v>450000</v>
      </c>
      <c r="AR97">
        <v>0</v>
      </c>
      <c r="AS97">
        <v>79545</v>
      </c>
      <c r="AT97">
        <v>0</v>
      </c>
      <c r="AU97">
        <v>0</v>
      </c>
      <c r="AV97">
        <v>0</v>
      </c>
      <c r="AX97">
        <v>0</v>
      </c>
      <c r="AY97">
        <v>0</v>
      </c>
      <c r="AZ97">
        <v>0</v>
      </c>
      <c r="BA97">
        <v>0</v>
      </c>
      <c r="BB97">
        <v>0</v>
      </c>
      <c r="BC97">
        <v>0</v>
      </c>
      <c r="BD97">
        <v>0</v>
      </c>
      <c r="BE97">
        <v>0</v>
      </c>
      <c r="BH97">
        <v>337182</v>
      </c>
      <c r="BI97">
        <v>0</v>
      </c>
      <c r="BJ97">
        <v>0</v>
      </c>
      <c r="BK97">
        <v>0</v>
      </c>
      <c r="BL97">
        <v>0</v>
      </c>
      <c r="BM97">
        <v>0</v>
      </c>
      <c r="BN97">
        <v>954304</v>
      </c>
      <c r="BO97">
        <v>0</v>
      </c>
      <c r="BP97">
        <v>144689</v>
      </c>
      <c r="BQ97">
        <v>0</v>
      </c>
      <c r="BR97">
        <v>0</v>
      </c>
      <c r="BS97">
        <v>0</v>
      </c>
      <c r="BT97">
        <v>3258</v>
      </c>
      <c r="BU97">
        <v>56303</v>
      </c>
      <c r="BV97">
        <v>0</v>
      </c>
      <c r="BW97">
        <v>0</v>
      </c>
      <c r="BX97">
        <v>0</v>
      </c>
      <c r="BY97">
        <v>0</v>
      </c>
      <c r="BZ97">
        <v>423868</v>
      </c>
      <c r="CA97">
        <v>0</v>
      </c>
    </row>
    <row r="98" spans="1:79" x14ac:dyDescent="0.3">
      <c r="A98" s="155">
        <v>388</v>
      </c>
      <c r="B98" t="s">
        <v>180</v>
      </c>
      <c r="D98">
        <v>2359446</v>
      </c>
      <c r="E98">
        <v>15917408</v>
      </c>
      <c r="F98">
        <v>418837</v>
      </c>
      <c r="G98">
        <v>49969672</v>
      </c>
      <c r="H98">
        <v>5278722</v>
      </c>
      <c r="I98">
        <v>350175</v>
      </c>
      <c r="J98">
        <v>1502238</v>
      </c>
      <c r="K98">
        <v>2299652</v>
      </c>
      <c r="L98">
        <v>57597276</v>
      </c>
      <c r="M98">
        <v>101598</v>
      </c>
      <c r="N98">
        <v>1037643</v>
      </c>
      <c r="P98">
        <v>36771136</v>
      </c>
      <c r="Q98">
        <v>19458756</v>
      </c>
      <c r="R98">
        <v>7636830</v>
      </c>
      <c r="S98">
        <v>16787169</v>
      </c>
      <c r="T98">
        <v>133945</v>
      </c>
      <c r="U98">
        <v>27824615</v>
      </c>
      <c r="V98">
        <v>39337</v>
      </c>
      <c r="W98">
        <v>12081398</v>
      </c>
      <c r="X98">
        <v>22681107</v>
      </c>
      <c r="Y98">
        <v>6022618</v>
      </c>
      <c r="Z98">
        <v>1751129</v>
      </c>
      <c r="AA98">
        <v>6142144</v>
      </c>
      <c r="AB98">
        <v>1327063</v>
      </c>
      <c r="AC98">
        <v>295342</v>
      </c>
      <c r="AD98">
        <v>1486622</v>
      </c>
      <c r="AE98">
        <v>4162354</v>
      </c>
      <c r="AF98">
        <v>153474</v>
      </c>
      <c r="AG98">
        <v>56047</v>
      </c>
      <c r="AH98">
        <v>160519</v>
      </c>
      <c r="AI98">
        <v>2915539</v>
      </c>
      <c r="AJ98">
        <v>8245481</v>
      </c>
      <c r="AK98">
        <v>228730</v>
      </c>
      <c r="AL98">
        <v>28247</v>
      </c>
      <c r="AM98">
        <v>26666551</v>
      </c>
      <c r="AN98">
        <v>22066172</v>
      </c>
      <c r="AP98">
        <v>4860555</v>
      </c>
      <c r="AQ98">
        <v>27638572</v>
      </c>
      <c r="AR98">
        <v>3388799</v>
      </c>
      <c r="AS98">
        <v>615959</v>
      </c>
      <c r="AT98">
        <v>5227515</v>
      </c>
      <c r="AU98">
        <v>14295755</v>
      </c>
      <c r="AV98">
        <v>130012</v>
      </c>
      <c r="AX98">
        <v>4149088</v>
      </c>
      <c r="AY98">
        <v>4644017</v>
      </c>
      <c r="AZ98">
        <v>4344961</v>
      </c>
      <c r="BA98">
        <v>62805</v>
      </c>
      <c r="BB98">
        <v>2878533</v>
      </c>
      <c r="BC98">
        <v>677821</v>
      </c>
      <c r="BD98">
        <v>76346</v>
      </c>
      <c r="BE98">
        <v>31448295</v>
      </c>
      <c r="BH98">
        <v>4240926</v>
      </c>
      <c r="BI98">
        <v>2798905</v>
      </c>
      <c r="BJ98">
        <v>669178</v>
      </c>
      <c r="BK98">
        <v>9827968</v>
      </c>
      <c r="BL98">
        <v>5360550</v>
      </c>
      <c r="BM98">
        <v>36117</v>
      </c>
      <c r="BN98">
        <v>7994212</v>
      </c>
      <c r="BO98">
        <v>2160921</v>
      </c>
      <c r="BP98">
        <v>1085203</v>
      </c>
      <c r="BQ98">
        <v>2371198</v>
      </c>
      <c r="BR98">
        <v>1962362</v>
      </c>
      <c r="BS98">
        <v>24960713</v>
      </c>
      <c r="BT98">
        <v>2382815</v>
      </c>
      <c r="BU98">
        <v>3725661</v>
      </c>
      <c r="BV98">
        <v>900220</v>
      </c>
      <c r="BW98">
        <v>909865</v>
      </c>
      <c r="BX98">
        <v>23145</v>
      </c>
      <c r="BY98">
        <v>37898</v>
      </c>
      <c r="BZ98">
        <v>20826914</v>
      </c>
      <c r="CA98">
        <v>74684</v>
      </c>
    </row>
    <row r="99" spans="1:79" x14ac:dyDescent="0.3">
      <c r="A99" s="155">
        <v>389</v>
      </c>
      <c r="B99" t="s">
        <v>187</v>
      </c>
      <c r="D99">
        <v>0</v>
      </c>
      <c r="E99">
        <v>0</v>
      </c>
      <c r="F99">
        <v>0</v>
      </c>
      <c r="G99">
        <v>0</v>
      </c>
      <c r="H99">
        <v>0</v>
      </c>
      <c r="I99">
        <v>0</v>
      </c>
      <c r="J99">
        <v>0</v>
      </c>
      <c r="K99">
        <v>0</v>
      </c>
      <c r="L99">
        <v>0</v>
      </c>
      <c r="M99">
        <v>0</v>
      </c>
      <c r="N99">
        <v>0</v>
      </c>
      <c r="P99">
        <v>0</v>
      </c>
      <c r="Q99">
        <v>0</v>
      </c>
      <c r="R99">
        <v>0</v>
      </c>
      <c r="S99">
        <v>0</v>
      </c>
      <c r="T99">
        <v>0</v>
      </c>
      <c r="U99">
        <v>0</v>
      </c>
      <c r="V99">
        <v>0</v>
      </c>
      <c r="W99">
        <v>0</v>
      </c>
      <c r="X99">
        <v>0</v>
      </c>
      <c r="Y99">
        <v>0</v>
      </c>
      <c r="Z99">
        <v>0</v>
      </c>
      <c r="AA99">
        <v>0</v>
      </c>
      <c r="AB99">
        <v>0</v>
      </c>
      <c r="AC99">
        <v>0</v>
      </c>
      <c r="AD99">
        <v>0</v>
      </c>
      <c r="AE99">
        <v>0</v>
      </c>
      <c r="AF99">
        <v>0</v>
      </c>
      <c r="AG99">
        <v>0</v>
      </c>
      <c r="AH99">
        <v>0</v>
      </c>
      <c r="AI99">
        <v>926374</v>
      </c>
      <c r="AJ99">
        <v>0</v>
      </c>
      <c r="AK99">
        <v>0</v>
      </c>
      <c r="AL99">
        <v>0</v>
      </c>
      <c r="AM99">
        <v>0</v>
      </c>
      <c r="AN99">
        <v>0</v>
      </c>
      <c r="AP99">
        <v>0</v>
      </c>
      <c r="AQ99">
        <v>0</v>
      </c>
      <c r="AR99">
        <v>0</v>
      </c>
      <c r="AS99">
        <v>0</v>
      </c>
      <c r="AT99">
        <v>0</v>
      </c>
      <c r="AU99">
        <v>0</v>
      </c>
      <c r="AV99">
        <v>0</v>
      </c>
      <c r="AX99">
        <v>0</v>
      </c>
      <c r="AY99">
        <v>0</v>
      </c>
      <c r="AZ99">
        <v>0</v>
      </c>
      <c r="BA99">
        <v>0</v>
      </c>
      <c r="BB99">
        <v>0</v>
      </c>
      <c r="BC99">
        <v>0</v>
      </c>
      <c r="BD99">
        <v>0</v>
      </c>
      <c r="BE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row>
    <row r="100" spans="1:79" x14ac:dyDescent="0.3">
      <c r="A100" s="155">
        <v>391</v>
      </c>
      <c r="B100" t="s">
        <v>192</v>
      </c>
      <c r="D100">
        <v>418207</v>
      </c>
      <c r="E100">
        <v>5567397</v>
      </c>
      <c r="F100">
        <v>25129</v>
      </c>
      <c r="G100">
        <v>8857387</v>
      </c>
      <c r="H100">
        <v>963166</v>
      </c>
      <c r="I100">
        <v>55154</v>
      </c>
      <c r="J100">
        <v>164292</v>
      </c>
      <c r="K100">
        <v>486999</v>
      </c>
      <c r="L100">
        <v>5985748</v>
      </c>
      <c r="M100">
        <v>11487</v>
      </c>
      <c r="N100">
        <v>145175</v>
      </c>
      <c r="P100">
        <v>3754716</v>
      </c>
      <c r="Q100">
        <v>7370707</v>
      </c>
      <c r="R100">
        <v>679370</v>
      </c>
      <c r="S100">
        <v>1406546</v>
      </c>
      <c r="T100">
        <v>135612</v>
      </c>
      <c r="U100">
        <v>3850634</v>
      </c>
      <c r="V100">
        <v>3771</v>
      </c>
      <c r="W100">
        <v>1590069</v>
      </c>
      <c r="X100">
        <v>3607395</v>
      </c>
      <c r="Y100">
        <v>580548</v>
      </c>
      <c r="Z100">
        <v>107997</v>
      </c>
      <c r="AA100">
        <v>1227501</v>
      </c>
      <c r="AB100">
        <v>128568</v>
      </c>
      <c r="AC100">
        <v>12115</v>
      </c>
      <c r="AD100">
        <v>183884</v>
      </c>
      <c r="AE100">
        <v>406670</v>
      </c>
      <c r="AF100">
        <v>11250</v>
      </c>
      <c r="AG100">
        <v>3957</v>
      </c>
      <c r="AH100">
        <v>7658</v>
      </c>
      <c r="AI100">
        <v>306508</v>
      </c>
      <c r="AJ100">
        <v>1490477</v>
      </c>
      <c r="AK100">
        <v>25821</v>
      </c>
      <c r="AL100">
        <v>2746</v>
      </c>
      <c r="AM100">
        <v>2475404</v>
      </c>
      <c r="AN100">
        <v>1919872</v>
      </c>
      <c r="AP100">
        <v>485581</v>
      </c>
      <c r="AQ100">
        <v>6085456</v>
      </c>
      <c r="AR100">
        <v>626463</v>
      </c>
      <c r="AS100">
        <v>60999</v>
      </c>
      <c r="AT100">
        <v>1209240</v>
      </c>
      <c r="AU100">
        <v>1242039</v>
      </c>
      <c r="AV100">
        <v>10943</v>
      </c>
      <c r="AX100">
        <v>360686</v>
      </c>
      <c r="AY100">
        <v>402936</v>
      </c>
      <c r="AZ100">
        <v>1130723</v>
      </c>
      <c r="BA100">
        <v>48105</v>
      </c>
      <c r="BB100">
        <v>243585</v>
      </c>
      <c r="BC100">
        <v>83251</v>
      </c>
      <c r="BD100">
        <v>9348</v>
      </c>
      <c r="BE100">
        <v>2735344</v>
      </c>
      <c r="BH100">
        <v>335988</v>
      </c>
      <c r="BI100">
        <v>473893</v>
      </c>
      <c r="BJ100">
        <v>174099</v>
      </c>
      <c r="BK100">
        <v>534644</v>
      </c>
      <c r="BL100">
        <v>463008</v>
      </c>
      <c r="BM100">
        <v>5800</v>
      </c>
      <c r="BN100">
        <v>1771630</v>
      </c>
      <c r="BO100">
        <v>444915</v>
      </c>
      <c r="BP100">
        <v>100003</v>
      </c>
      <c r="BQ100">
        <v>201582</v>
      </c>
      <c r="BR100">
        <v>111257</v>
      </c>
      <c r="BS100">
        <v>1808214</v>
      </c>
      <c r="BT100">
        <v>215180</v>
      </c>
      <c r="BU100">
        <v>1305977</v>
      </c>
      <c r="BV100">
        <v>118000</v>
      </c>
      <c r="BW100">
        <v>502940</v>
      </c>
      <c r="BX100">
        <v>964</v>
      </c>
      <c r="BY100">
        <v>6075</v>
      </c>
      <c r="BZ100">
        <v>4182828</v>
      </c>
      <c r="CA100">
        <v>4050</v>
      </c>
    </row>
    <row r="101" spans="1:79" x14ac:dyDescent="0.3">
      <c r="A101" s="155">
        <v>500</v>
      </c>
      <c r="B101" t="s">
        <v>175</v>
      </c>
      <c r="D101">
        <v>1744521</v>
      </c>
      <c r="E101">
        <v>28271561</v>
      </c>
      <c r="F101">
        <v>233698</v>
      </c>
      <c r="G101">
        <v>9710772</v>
      </c>
      <c r="H101">
        <v>2327789</v>
      </c>
      <c r="I101">
        <v>123804</v>
      </c>
      <c r="J101">
        <v>388230</v>
      </c>
      <c r="K101">
        <v>458073</v>
      </c>
      <c r="L101">
        <v>2519641</v>
      </c>
      <c r="M101">
        <v>37847</v>
      </c>
      <c r="N101">
        <v>183321</v>
      </c>
      <c r="P101">
        <v>2565653</v>
      </c>
      <c r="Q101">
        <v>10996690</v>
      </c>
      <c r="R101">
        <v>2044133</v>
      </c>
      <c r="S101">
        <v>857071</v>
      </c>
      <c r="T101">
        <v>253649</v>
      </c>
      <c r="U101">
        <v>0</v>
      </c>
      <c r="V101">
        <v>106586</v>
      </c>
      <c r="W101">
        <v>9655540</v>
      </c>
      <c r="X101">
        <v>5296606</v>
      </c>
      <c r="Y101">
        <v>404410</v>
      </c>
      <c r="Z101">
        <v>815604</v>
      </c>
      <c r="AA101">
        <v>16506420</v>
      </c>
      <c r="AB101">
        <v>695660</v>
      </c>
      <c r="AC101">
        <v>59</v>
      </c>
      <c r="AD101">
        <v>152622</v>
      </c>
      <c r="AE101">
        <v>948527</v>
      </c>
      <c r="AF101">
        <v>268441</v>
      </c>
      <c r="AG101">
        <v>9304</v>
      </c>
      <c r="AH101">
        <v>102488</v>
      </c>
      <c r="AI101">
        <v>771547</v>
      </c>
      <c r="AJ101">
        <v>3050794</v>
      </c>
      <c r="AK101">
        <v>139259</v>
      </c>
      <c r="AL101">
        <v>8764</v>
      </c>
      <c r="AM101">
        <v>8744587</v>
      </c>
      <c r="AN101">
        <v>335707</v>
      </c>
      <c r="AP101">
        <v>1514720</v>
      </c>
      <c r="AQ101">
        <v>3119024</v>
      </c>
      <c r="AR101">
        <v>1115198</v>
      </c>
      <c r="AS101">
        <v>39859</v>
      </c>
      <c r="AT101">
        <v>490832</v>
      </c>
      <c r="AU101">
        <v>1674959</v>
      </c>
      <c r="AV101">
        <v>30158</v>
      </c>
      <c r="AX101">
        <v>2754691</v>
      </c>
      <c r="AY101">
        <v>1605689</v>
      </c>
      <c r="AZ101">
        <v>1031340</v>
      </c>
      <c r="BA101">
        <v>50684</v>
      </c>
      <c r="BB101">
        <v>3022879</v>
      </c>
      <c r="BC101">
        <v>447208</v>
      </c>
      <c r="BD101">
        <v>15239</v>
      </c>
      <c r="BE101">
        <v>981002</v>
      </c>
      <c r="BH101">
        <v>3689908</v>
      </c>
      <c r="BI101">
        <v>266277</v>
      </c>
      <c r="BJ101">
        <v>126035</v>
      </c>
      <c r="BK101">
        <v>606490</v>
      </c>
      <c r="BL101">
        <v>336342</v>
      </c>
      <c r="BM101">
        <v>15750</v>
      </c>
      <c r="BN101">
        <v>1033536</v>
      </c>
      <c r="BO101">
        <v>492902</v>
      </c>
      <c r="BP101">
        <v>181693</v>
      </c>
      <c r="BQ101">
        <v>569636</v>
      </c>
      <c r="BR101">
        <v>332744</v>
      </c>
      <c r="BS101">
        <v>3118085</v>
      </c>
      <c r="BT101">
        <v>778567</v>
      </c>
      <c r="BU101">
        <v>1841397</v>
      </c>
      <c r="BV101">
        <v>0</v>
      </c>
      <c r="BW101">
        <v>81441</v>
      </c>
      <c r="BX101">
        <v>20429</v>
      </c>
      <c r="BY101">
        <v>30108</v>
      </c>
      <c r="BZ101">
        <v>2259324</v>
      </c>
      <c r="CA101">
        <v>77743</v>
      </c>
    </row>
    <row r="102" spans="1:79" x14ac:dyDescent="0.3">
      <c r="A102" s="155">
        <v>502</v>
      </c>
      <c r="B102" t="s">
        <v>177</v>
      </c>
      <c r="D102">
        <v>0</v>
      </c>
      <c r="E102">
        <v>5076594</v>
      </c>
      <c r="F102">
        <v>252338</v>
      </c>
      <c r="G102">
        <v>58877282</v>
      </c>
      <c r="H102">
        <v>0</v>
      </c>
      <c r="I102">
        <v>229515</v>
      </c>
      <c r="J102">
        <v>6497405</v>
      </c>
      <c r="K102">
        <v>716449</v>
      </c>
      <c r="L102">
        <v>17686755</v>
      </c>
      <c r="M102">
        <v>0</v>
      </c>
      <c r="N102">
        <v>1708328</v>
      </c>
      <c r="P102">
        <v>1274611</v>
      </c>
      <c r="Q102">
        <v>8063107</v>
      </c>
      <c r="R102">
        <v>7155256</v>
      </c>
      <c r="S102">
        <v>12464987</v>
      </c>
      <c r="T102">
        <v>28098</v>
      </c>
      <c r="U102">
        <v>54581181</v>
      </c>
      <c r="V102">
        <v>0</v>
      </c>
      <c r="W102">
        <v>0</v>
      </c>
      <c r="X102">
        <v>0</v>
      </c>
      <c r="Y102">
        <v>3327113</v>
      </c>
      <c r="Z102">
        <v>1680681</v>
      </c>
      <c r="AA102">
        <v>1049354</v>
      </c>
      <c r="AB102">
        <v>0</v>
      </c>
      <c r="AC102">
        <v>83004</v>
      </c>
      <c r="AD102">
        <v>2257700</v>
      </c>
      <c r="AE102">
        <v>4081779</v>
      </c>
      <c r="AF102">
        <v>39268</v>
      </c>
      <c r="AG102">
        <v>0</v>
      </c>
      <c r="AH102">
        <v>0</v>
      </c>
      <c r="AI102">
        <v>71635</v>
      </c>
      <c r="AJ102">
        <v>4663450</v>
      </c>
      <c r="AK102">
        <v>100651</v>
      </c>
      <c r="AL102">
        <v>0</v>
      </c>
      <c r="AM102">
        <v>0</v>
      </c>
      <c r="AN102">
        <v>10909415</v>
      </c>
      <c r="AP102">
        <v>0</v>
      </c>
      <c r="AQ102">
        <v>50766373</v>
      </c>
      <c r="AR102">
        <v>889111</v>
      </c>
      <c r="AS102">
        <v>263869</v>
      </c>
      <c r="AT102">
        <v>1104928</v>
      </c>
      <c r="AU102">
        <v>12636740</v>
      </c>
      <c r="AV102">
        <v>1302798</v>
      </c>
      <c r="AX102">
        <v>949613</v>
      </c>
      <c r="AY102">
        <v>1188711</v>
      </c>
      <c r="AZ102">
        <v>2732126</v>
      </c>
      <c r="BA102">
        <v>5335</v>
      </c>
      <c r="BB102">
        <v>632893</v>
      </c>
      <c r="BC102">
        <v>7240597</v>
      </c>
      <c r="BD102">
        <v>0</v>
      </c>
      <c r="BE102">
        <v>7297745</v>
      </c>
      <c r="BH102">
        <v>697700</v>
      </c>
      <c r="BI102">
        <v>2493203</v>
      </c>
      <c r="BJ102">
        <v>0</v>
      </c>
      <c r="BK102">
        <v>8754452</v>
      </c>
      <c r="BL102">
        <v>3553312</v>
      </c>
      <c r="BM102">
        <v>0</v>
      </c>
      <c r="BN102">
        <v>2556527</v>
      </c>
      <c r="BO102">
        <v>3928745</v>
      </c>
      <c r="BP102">
        <v>1563787</v>
      </c>
      <c r="BQ102">
        <v>2817493</v>
      </c>
      <c r="BR102">
        <v>0</v>
      </c>
      <c r="BS102">
        <v>0</v>
      </c>
      <c r="BT102">
        <v>1024178</v>
      </c>
      <c r="BU102">
        <v>1948068</v>
      </c>
      <c r="BV102">
        <v>720068</v>
      </c>
      <c r="BW102">
        <v>1606939</v>
      </c>
      <c r="BX102">
        <v>0</v>
      </c>
      <c r="BY102">
        <v>0</v>
      </c>
      <c r="BZ102">
        <v>10061364</v>
      </c>
      <c r="CA102">
        <v>0</v>
      </c>
    </row>
    <row r="103" spans="1:79" x14ac:dyDescent="0.3">
      <c r="A103" s="155">
        <v>503</v>
      </c>
      <c r="B103" t="s">
        <v>178</v>
      </c>
      <c r="D103">
        <v>0</v>
      </c>
      <c r="E103">
        <v>0</v>
      </c>
      <c r="F103">
        <v>11083</v>
      </c>
      <c r="G103">
        <v>5006759</v>
      </c>
      <c r="H103">
        <v>0</v>
      </c>
      <c r="I103">
        <v>29726</v>
      </c>
      <c r="J103">
        <v>81450</v>
      </c>
      <c r="K103">
        <v>23151</v>
      </c>
      <c r="L103">
        <v>6074984</v>
      </c>
      <c r="M103">
        <v>0</v>
      </c>
      <c r="N103">
        <v>196004</v>
      </c>
      <c r="P103">
        <v>0</v>
      </c>
      <c r="Q103">
        <v>1340159</v>
      </c>
      <c r="R103">
        <v>492399</v>
      </c>
      <c r="S103">
        <v>630584</v>
      </c>
      <c r="T103">
        <v>0</v>
      </c>
      <c r="U103">
        <v>1775612</v>
      </c>
      <c r="V103">
        <v>0</v>
      </c>
      <c r="W103">
        <v>0</v>
      </c>
      <c r="X103">
        <v>0</v>
      </c>
      <c r="Y103">
        <v>350756</v>
      </c>
      <c r="Z103">
        <v>2213994</v>
      </c>
      <c r="AA103">
        <v>0</v>
      </c>
      <c r="AB103">
        <v>0</v>
      </c>
      <c r="AC103">
        <v>0</v>
      </c>
      <c r="AD103">
        <v>36827</v>
      </c>
      <c r="AE103">
        <v>152243</v>
      </c>
      <c r="AF103">
        <v>6833</v>
      </c>
      <c r="AG103">
        <v>0</v>
      </c>
      <c r="AH103">
        <v>0</v>
      </c>
      <c r="AI103">
        <v>0</v>
      </c>
      <c r="AJ103">
        <v>870289</v>
      </c>
      <c r="AK103">
        <v>15300</v>
      </c>
      <c r="AL103">
        <v>0</v>
      </c>
      <c r="AM103">
        <v>0</v>
      </c>
      <c r="AN103">
        <v>193081</v>
      </c>
      <c r="AP103">
        <v>0</v>
      </c>
      <c r="AQ103">
        <v>17682769</v>
      </c>
      <c r="AR103">
        <v>24759</v>
      </c>
      <c r="AS103">
        <v>27126</v>
      </c>
      <c r="AT103">
        <v>145119</v>
      </c>
      <c r="AU103">
        <v>420986</v>
      </c>
      <c r="AV103">
        <v>52189</v>
      </c>
      <c r="AX103">
        <v>110394</v>
      </c>
      <c r="AY103">
        <v>75689</v>
      </c>
      <c r="AZ103">
        <v>1059221</v>
      </c>
      <c r="BA103">
        <v>0</v>
      </c>
      <c r="BB103">
        <v>142492</v>
      </c>
      <c r="BC103">
        <v>132789</v>
      </c>
      <c r="BD103">
        <v>0</v>
      </c>
      <c r="BE103">
        <v>6321049</v>
      </c>
      <c r="BH103">
        <v>44920</v>
      </c>
      <c r="BI103">
        <v>0</v>
      </c>
      <c r="BJ103">
        <v>127870</v>
      </c>
      <c r="BK103">
        <v>185738</v>
      </c>
      <c r="BL103">
        <v>203472</v>
      </c>
      <c r="BM103">
        <v>0</v>
      </c>
      <c r="BN103">
        <v>338259</v>
      </c>
      <c r="BO103">
        <v>90875</v>
      </c>
      <c r="BP103">
        <v>37740</v>
      </c>
      <c r="BQ103">
        <v>63994</v>
      </c>
      <c r="BR103">
        <v>0</v>
      </c>
      <c r="BS103">
        <v>0</v>
      </c>
      <c r="BT103">
        <v>0</v>
      </c>
      <c r="BU103">
        <v>82494</v>
      </c>
      <c r="BV103">
        <v>167368</v>
      </c>
      <c r="BW103">
        <v>27259</v>
      </c>
      <c r="BX103">
        <v>0</v>
      </c>
      <c r="BY103">
        <v>0</v>
      </c>
      <c r="BZ103">
        <v>14484677</v>
      </c>
      <c r="CA103">
        <v>0</v>
      </c>
    </row>
    <row r="104" spans="1:79" x14ac:dyDescent="0.3">
      <c r="A104" s="155">
        <v>504</v>
      </c>
      <c r="B104" t="s">
        <v>182</v>
      </c>
      <c r="D104">
        <v>18963</v>
      </c>
      <c r="E104">
        <v>948751</v>
      </c>
      <c r="F104">
        <v>211589</v>
      </c>
      <c r="G104">
        <v>9800722</v>
      </c>
      <c r="H104">
        <v>886491</v>
      </c>
      <c r="I104">
        <v>93023</v>
      </c>
      <c r="J104">
        <v>319218</v>
      </c>
      <c r="K104">
        <v>343909</v>
      </c>
      <c r="L104">
        <v>13845920</v>
      </c>
      <c r="M104">
        <v>8049</v>
      </c>
      <c r="N104">
        <v>47855</v>
      </c>
      <c r="P104">
        <v>4117241</v>
      </c>
      <c r="Q104">
        <v>1198912</v>
      </c>
      <c r="R104">
        <v>1721897</v>
      </c>
      <c r="S104">
        <v>2811090</v>
      </c>
      <c r="T104">
        <v>25121</v>
      </c>
      <c r="U104">
        <v>958879</v>
      </c>
      <c r="V104">
        <v>5391</v>
      </c>
      <c r="W104">
        <v>173036</v>
      </c>
      <c r="X104">
        <v>2755342</v>
      </c>
      <c r="Y104">
        <v>382339</v>
      </c>
      <c r="Z104">
        <v>261855</v>
      </c>
      <c r="AA104">
        <v>539405</v>
      </c>
      <c r="AB104">
        <v>97273</v>
      </c>
      <c r="AC104">
        <v>14653</v>
      </c>
      <c r="AD104">
        <v>319845</v>
      </c>
      <c r="AE104">
        <v>398246</v>
      </c>
      <c r="AF104">
        <v>45443</v>
      </c>
      <c r="AG104">
        <v>2970</v>
      </c>
      <c r="AH104">
        <v>30030</v>
      </c>
      <c r="AI104">
        <v>143085</v>
      </c>
      <c r="AJ104">
        <v>956717</v>
      </c>
      <c r="AK104">
        <v>152607</v>
      </c>
      <c r="AL104">
        <v>0</v>
      </c>
      <c r="AM104">
        <v>423300</v>
      </c>
      <c r="AN104">
        <v>2151084</v>
      </c>
      <c r="AP104">
        <v>1607748</v>
      </c>
      <c r="AQ104">
        <v>1382085</v>
      </c>
      <c r="AR104">
        <v>108738</v>
      </c>
      <c r="AS104">
        <v>84544</v>
      </c>
      <c r="AT104">
        <v>757192</v>
      </c>
      <c r="AU104">
        <v>1446519</v>
      </c>
      <c r="AV104">
        <v>5552</v>
      </c>
      <c r="AX104">
        <v>179612</v>
      </c>
      <c r="AY104">
        <v>356293</v>
      </c>
      <c r="AZ104">
        <v>769712</v>
      </c>
      <c r="BA104">
        <v>16460</v>
      </c>
      <c r="BB104">
        <v>2102170</v>
      </c>
      <c r="BC104">
        <v>31178</v>
      </c>
      <c r="BD104">
        <v>4079</v>
      </c>
      <c r="BE104">
        <v>4606309</v>
      </c>
      <c r="BH104">
        <v>621511</v>
      </c>
      <c r="BI104">
        <v>79439</v>
      </c>
      <c r="BJ104">
        <v>34771</v>
      </c>
      <c r="BK104">
        <v>1045157</v>
      </c>
      <c r="BL104">
        <v>86467</v>
      </c>
      <c r="BM104">
        <v>0</v>
      </c>
      <c r="BN104">
        <v>1998967</v>
      </c>
      <c r="BO104">
        <v>10000</v>
      </c>
      <c r="BP104">
        <v>177655</v>
      </c>
      <c r="BQ104">
        <v>136571</v>
      </c>
      <c r="BR104">
        <v>602957</v>
      </c>
      <c r="BS104">
        <v>6305242</v>
      </c>
      <c r="BT104">
        <v>129176</v>
      </c>
      <c r="BU104">
        <v>280717</v>
      </c>
      <c r="BV104">
        <v>118541</v>
      </c>
      <c r="BW104">
        <v>25707</v>
      </c>
      <c r="BX104">
        <v>3730</v>
      </c>
      <c r="BY104">
        <v>3145</v>
      </c>
      <c r="BZ104">
        <v>1071973</v>
      </c>
      <c r="CA104">
        <v>5475</v>
      </c>
    </row>
    <row r="105" spans="1:79" x14ac:dyDescent="0.3">
      <c r="A105" s="155">
        <v>505</v>
      </c>
      <c r="B105" t="s">
        <v>183</v>
      </c>
      <c r="D105">
        <v>16499</v>
      </c>
      <c r="E105">
        <v>13094535</v>
      </c>
      <c r="F105">
        <v>0</v>
      </c>
      <c r="G105">
        <v>4043035</v>
      </c>
      <c r="H105">
        <v>369401</v>
      </c>
      <c r="I105">
        <v>0</v>
      </c>
      <c r="J105">
        <v>0</v>
      </c>
      <c r="K105">
        <v>0</v>
      </c>
      <c r="L105">
        <v>3989941</v>
      </c>
      <c r="M105">
        <v>0</v>
      </c>
      <c r="N105">
        <v>0</v>
      </c>
      <c r="P105">
        <v>588071</v>
      </c>
      <c r="Q105">
        <v>4491675</v>
      </c>
      <c r="R105">
        <v>1000000</v>
      </c>
      <c r="S105">
        <v>0</v>
      </c>
      <c r="T105">
        <v>0</v>
      </c>
      <c r="U105">
        <v>0</v>
      </c>
      <c r="V105">
        <v>0</v>
      </c>
      <c r="W105">
        <v>1229245</v>
      </c>
      <c r="X105">
        <v>2550000</v>
      </c>
      <c r="Y105">
        <v>0</v>
      </c>
      <c r="Z105">
        <v>478841</v>
      </c>
      <c r="AA105">
        <v>882854</v>
      </c>
      <c r="AB105">
        <v>0</v>
      </c>
      <c r="AC105">
        <v>8900</v>
      </c>
      <c r="AD105">
        <v>0</v>
      </c>
      <c r="AE105">
        <v>12167</v>
      </c>
      <c r="AF105">
        <v>98825</v>
      </c>
      <c r="AG105">
        <v>0</v>
      </c>
      <c r="AH105">
        <v>0</v>
      </c>
      <c r="AI105">
        <v>317000</v>
      </c>
      <c r="AJ105">
        <v>0</v>
      </c>
      <c r="AK105">
        <v>205580</v>
      </c>
      <c r="AL105">
        <v>0</v>
      </c>
      <c r="AM105">
        <v>9008644</v>
      </c>
      <c r="AN105">
        <v>181045</v>
      </c>
      <c r="AP105">
        <v>277430</v>
      </c>
      <c r="AQ105">
        <v>0</v>
      </c>
      <c r="AR105">
        <v>224000</v>
      </c>
      <c r="AS105">
        <v>45316</v>
      </c>
      <c r="AT105">
        <v>653637</v>
      </c>
      <c r="AU105">
        <v>1385764</v>
      </c>
      <c r="AV105">
        <v>30000</v>
      </c>
      <c r="AX105">
        <v>6322</v>
      </c>
      <c r="AY105">
        <v>0</v>
      </c>
      <c r="AZ105">
        <v>754416</v>
      </c>
      <c r="BA105">
        <v>0</v>
      </c>
      <c r="BB105">
        <v>0</v>
      </c>
      <c r="BC105">
        <v>0</v>
      </c>
      <c r="BD105">
        <v>0</v>
      </c>
      <c r="BE105">
        <v>2212932</v>
      </c>
      <c r="BH105">
        <v>0</v>
      </c>
      <c r="BI105">
        <v>0</v>
      </c>
      <c r="BJ105">
        <v>0</v>
      </c>
      <c r="BK105">
        <v>0</v>
      </c>
      <c r="BL105">
        <v>0</v>
      </c>
      <c r="BM105">
        <v>0</v>
      </c>
      <c r="BN105">
        <v>697700</v>
      </c>
      <c r="BO105">
        <v>220988</v>
      </c>
      <c r="BP105">
        <v>0</v>
      </c>
      <c r="BQ105">
        <v>0</v>
      </c>
      <c r="BR105">
        <v>731018</v>
      </c>
      <c r="BS105">
        <v>718653</v>
      </c>
      <c r="BT105">
        <v>0</v>
      </c>
      <c r="BU105">
        <v>24000</v>
      </c>
      <c r="BV105">
        <v>0</v>
      </c>
      <c r="BW105">
        <v>0</v>
      </c>
      <c r="BX105">
        <v>0</v>
      </c>
      <c r="BY105">
        <v>9472</v>
      </c>
      <c r="BZ105">
        <v>4284192</v>
      </c>
      <c r="CA105">
        <v>0</v>
      </c>
    </row>
    <row r="106" spans="1:79" x14ac:dyDescent="0.3">
      <c r="A106" s="155">
        <v>506</v>
      </c>
      <c r="B106" t="s">
        <v>189</v>
      </c>
      <c r="D106">
        <v>626991</v>
      </c>
      <c r="E106">
        <v>24078219</v>
      </c>
      <c r="F106">
        <v>660802</v>
      </c>
      <c r="G106">
        <v>27026385</v>
      </c>
      <c r="H106">
        <v>3259100</v>
      </c>
      <c r="I106">
        <v>440637</v>
      </c>
      <c r="J106">
        <v>2545472</v>
      </c>
      <c r="K106">
        <v>1161016</v>
      </c>
      <c r="L106">
        <v>50067285</v>
      </c>
      <c r="M106">
        <v>286622</v>
      </c>
      <c r="N106">
        <v>783353</v>
      </c>
      <c r="P106">
        <v>18102966</v>
      </c>
      <c r="Q106">
        <v>20356718</v>
      </c>
      <c r="R106">
        <v>2977947</v>
      </c>
      <c r="S106">
        <v>10769995</v>
      </c>
      <c r="T106">
        <v>212133</v>
      </c>
      <c r="U106">
        <v>12595981</v>
      </c>
      <c r="V106">
        <v>166751</v>
      </c>
      <c r="W106">
        <v>9964317</v>
      </c>
      <c r="X106">
        <v>10514875</v>
      </c>
      <c r="Y106">
        <v>6512653</v>
      </c>
      <c r="Z106">
        <v>2411952</v>
      </c>
      <c r="AA106">
        <v>4270158</v>
      </c>
      <c r="AB106">
        <v>1416249</v>
      </c>
      <c r="AC106">
        <v>325808</v>
      </c>
      <c r="AD106">
        <v>1542340</v>
      </c>
      <c r="AE106">
        <v>1951036</v>
      </c>
      <c r="AF106">
        <v>120435</v>
      </c>
      <c r="AG106">
        <v>76904</v>
      </c>
      <c r="AH106">
        <v>167857</v>
      </c>
      <c r="AI106">
        <v>2439206</v>
      </c>
      <c r="AJ106">
        <v>2784006</v>
      </c>
      <c r="AK106">
        <v>346631</v>
      </c>
      <c r="AL106">
        <v>127717</v>
      </c>
      <c r="AM106">
        <v>11703495</v>
      </c>
      <c r="AN106">
        <v>15966260</v>
      </c>
      <c r="AP106">
        <v>7274408</v>
      </c>
      <c r="AQ106">
        <v>12033437</v>
      </c>
      <c r="AR106">
        <v>2364535</v>
      </c>
      <c r="AS106">
        <v>571114</v>
      </c>
      <c r="AT106">
        <v>1853238</v>
      </c>
      <c r="AU106">
        <v>8060745</v>
      </c>
      <c r="AV106">
        <v>290054</v>
      </c>
      <c r="AX106">
        <v>3611312</v>
      </c>
      <c r="AY106">
        <v>3009156</v>
      </c>
      <c r="AZ106">
        <v>2199202</v>
      </c>
      <c r="BA106">
        <v>132754</v>
      </c>
      <c r="BB106">
        <v>2371779</v>
      </c>
      <c r="BC106">
        <v>1044301</v>
      </c>
      <c r="BD106">
        <v>399197</v>
      </c>
      <c r="BE106">
        <v>6729661</v>
      </c>
      <c r="BH106">
        <v>3224578</v>
      </c>
      <c r="BI106">
        <v>4668289</v>
      </c>
      <c r="BJ106">
        <v>500803</v>
      </c>
      <c r="BK106">
        <v>4503062</v>
      </c>
      <c r="BL106">
        <v>7126650</v>
      </c>
      <c r="BM106">
        <v>176865</v>
      </c>
      <c r="BN106">
        <v>4276370</v>
      </c>
      <c r="BO106">
        <v>4697973</v>
      </c>
      <c r="BP106">
        <v>1577230</v>
      </c>
      <c r="BQ106">
        <v>2128446</v>
      </c>
      <c r="BR106">
        <v>2487709</v>
      </c>
      <c r="BS106">
        <v>17395340</v>
      </c>
      <c r="BT106">
        <v>2321055</v>
      </c>
      <c r="BU106">
        <v>1967927</v>
      </c>
      <c r="BV106">
        <v>935125</v>
      </c>
      <c r="BW106">
        <v>1530804</v>
      </c>
      <c r="BX106">
        <v>210446</v>
      </c>
      <c r="BY106">
        <v>188656</v>
      </c>
      <c r="BZ106">
        <v>18906921</v>
      </c>
      <c r="CA106">
        <v>54257</v>
      </c>
    </row>
    <row r="107" spans="1:79" x14ac:dyDescent="0.3">
      <c r="A107" s="155">
        <v>507</v>
      </c>
      <c r="B107" t="s">
        <v>886</v>
      </c>
      <c r="D107">
        <v>0</v>
      </c>
      <c r="E107">
        <v>0</v>
      </c>
      <c r="F107">
        <v>0</v>
      </c>
      <c r="G107">
        <v>0</v>
      </c>
      <c r="H107">
        <v>8088</v>
      </c>
      <c r="I107">
        <v>0</v>
      </c>
      <c r="J107">
        <v>0</v>
      </c>
      <c r="K107">
        <v>0</v>
      </c>
      <c r="L107">
        <v>951105</v>
      </c>
      <c r="M107">
        <v>0</v>
      </c>
      <c r="N107">
        <v>0</v>
      </c>
      <c r="P107">
        <v>0</v>
      </c>
      <c r="Q107">
        <v>0</v>
      </c>
      <c r="R107">
        <v>-2</v>
      </c>
      <c r="S107">
        <v>0</v>
      </c>
      <c r="T107">
        <v>0</v>
      </c>
      <c r="U107">
        <v>0</v>
      </c>
      <c r="V107">
        <v>0</v>
      </c>
      <c r="W107">
        <v>0</v>
      </c>
      <c r="X107">
        <v>0</v>
      </c>
      <c r="Y107">
        <v>-2</v>
      </c>
      <c r="Z107">
        <v>-9373</v>
      </c>
      <c r="AA107">
        <v>0</v>
      </c>
      <c r="AB107">
        <v>0</v>
      </c>
      <c r="AC107">
        <v>44461</v>
      </c>
      <c r="AD107">
        <v>0</v>
      </c>
      <c r="AE107">
        <v>0</v>
      </c>
      <c r="AF107">
        <v>0</v>
      </c>
      <c r="AG107">
        <v>0</v>
      </c>
      <c r="AH107">
        <v>0</v>
      </c>
      <c r="AI107">
        <v>-1155</v>
      </c>
      <c r="AJ107">
        <v>431620</v>
      </c>
      <c r="AK107">
        <v>0</v>
      </c>
      <c r="AL107">
        <v>0</v>
      </c>
      <c r="AM107">
        <v>0</v>
      </c>
      <c r="AN107">
        <v>3227</v>
      </c>
      <c r="AP107">
        <v>0</v>
      </c>
      <c r="AQ107">
        <v>-2090365</v>
      </c>
      <c r="AR107">
        <v>3055687</v>
      </c>
      <c r="AS107">
        <v>0</v>
      </c>
      <c r="AT107">
        <v>0</v>
      </c>
      <c r="AU107">
        <v>-1</v>
      </c>
      <c r="AV107">
        <v>0</v>
      </c>
      <c r="AX107">
        <v>-1</v>
      </c>
      <c r="AY107">
        <v>0</v>
      </c>
      <c r="AZ107">
        <v>0</v>
      </c>
      <c r="BA107">
        <v>0</v>
      </c>
      <c r="BB107">
        <v>0</v>
      </c>
      <c r="BC107">
        <v>0</v>
      </c>
      <c r="BD107">
        <v>0</v>
      </c>
      <c r="BE107">
        <v>0</v>
      </c>
      <c r="BH107">
        <v>0</v>
      </c>
      <c r="BI107">
        <v>0</v>
      </c>
      <c r="BJ107">
        <v>0</v>
      </c>
      <c r="BK107">
        <v>0</v>
      </c>
      <c r="BL107">
        <v>0</v>
      </c>
      <c r="BM107">
        <v>0</v>
      </c>
      <c r="BN107">
        <v>0</v>
      </c>
      <c r="BO107">
        <v>0</v>
      </c>
      <c r="BP107">
        <v>0</v>
      </c>
      <c r="BQ107">
        <v>-3</v>
      </c>
      <c r="BR107">
        <v>0</v>
      </c>
      <c r="BS107">
        <v>0</v>
      </c>
      <c r="BT107">
        <v>0</v>
      </c>
      <c r="BU107">
        <v>0</v>
      </c>
      <c r="BV107">
        <v>0</v>
      </c>
      <c r="BW107">
        <v>0</v>
      </c>
      <c r="BX107">
        <v>0</v>
      </c>
      <c r="BY107">
        <v>0</v>
      </c>
      <c r="BZ107">
        <v>1</v>
      </c>
      <c r="CA107">
        <v>0</v>
      </c>
    </row>
    <row r="108" spans="1:79" x14ac:dyDescent="0.3">
      <c r="A108" s="155">
        <v>508</v>
      </c>
      <c r="B108" t="s">
        <v>204</v>
      </c>
      <c r="D108">
        <v>0</v>
      </c>
      <c r="E108">
        <v>0</v>
      </c>
      <c r="F108">
        <v>0</v>
      </c>
      <c r="G108">
        <v>0</v>
      </c>
      <c r="H108">
        <v>0</v>
      </c>
      <c r="I108">
        <v>0</v>
      </c>
      <c r="J108">
        <v>0</v>
      </c>
      <c r="K108">
        <v>0</v>
      </c>
      <c r="L108">
        <v>0</v>
      </c>
      <c r="M108">
        <v>0</v>
      </c>
      <c r="N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P108">
        <v>0</v>
      </c>
      <c r="AQ108">
        <v>0</v>
      </c>
      <c r="AR108">
        <v>0</v>
      </c>
      <c r="AS108">
        <v>0</v>
      </c>
      <c r="AT108">
        <v>0</v>
      </c>
      <c r="AU108">
        <v>0</v>
      </c>
      <c r="AV108">
        <v>0</v>
      </c>
      <c r="AX108">
        <v>0</v>
      </c>
      <c r="AY108">
        <v>0</v>
      </c>
      <c r="AZ108">
        <v>0</v>
      </c>
      <c r="BA108">
        <v>0</v>
      </c>
      <c r="BB108">
        <v>0</v>
      </c>
      <c r="BC108">
        <v>0</v>
      </c>
      <c r="BD108">
        <v>0</v>
      </c>
      <c r="BE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row>
    <row r="109" spans="1:79" x14ac:dyDescent="0.3">
      <c r="A109" s="155">
        <v>509</v>
      </c>
      <c r="B109" t="s">
        <v>205</v>
      </c>
      <c r="D109">
        <v>0</v>
      </c>
      <c r="E109">
        <v>0</v>
      </c>
      <c r="F109">
        <v>0</v>
      </c>
      <c r="G109">
        <v>0</v>
      </c>
      <c r="H109">
        <v>0</v>
      </c>
      <c r="I109">
        <v>0</v>
      </c>
      <c r="J109">
        <v>0</v>
      </c>
      <c r="K109">
        <v>0</v>
      </c>
      <c r="L109">
        <v>0</v>
      </c>
      <c r="M109">
        <v>0</v>
      </c>
      <c r="N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P109">
        <v>0</v>
      </c>
      <c r="AQ109">
        <v>0</v>
      </c>
      <c r="AR109">
        <v>0</v>
      </c>
      <c r="AS109">
        <v>0</v>
      </c>
      <c r="AT109">
        <v>0</v>
      </c>
      <c r="AU109">
        <v>0</v>
      </c>
      <c r="AV109">
        <v>0</v>
      </c>
      <c r="AX109">
        <v>0</v>
      </c>
      <c r="AY109">
        <v>0</v>
      </c>
      <c r="AZ109">
        <v>0</v>
      </c>
      <c r="BA109">
        <v>0</v>
      </c>
      <c r="BB109">
        <v>0</v>
      </c>
      <c r="BC109">
        <v>0</v>
      </c>
      <c r="BD109">
        <v>0</v>
      </c>
      <c r="BE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row>
    <row r="110" spans="1:79" x14ac:dyDescent="0.3">
      <c r="A110" s="155">
        <v>510</v>
      </c>
      <c r="B110" t="s">
        <v>211</v>
      </c>
      <c r="D110">
        <v>0</v>
      </c>
      <c r="E110">
        <v>0</v>
      </c>
      <c r="F110">
        <v>0</v>
      </c>
      <c r="G110">
        <v>252048</v>
      </c>
      <c r="H110">
        <v>13638</v>
      </c>
      <c r="I110">
        <v>0</v>
      </c>
      <c r="J110">
        <v>0</v>
      </c>
      <c r="K110">
        <v>41532</v>
      </c>
      <c r="L110">
        <v>0</v>
      </c>
      <c r="M110">
        <v>0</v>
      </c>
      <c r="N110">
        <v>0</v>
      </c>
      <c r="P110">
        <v>0</v>
      </c>
      <c r="Q110">
        <v>161111</v>
      </c>
      <c r="R110">
        <v>0</v>
      </c>
      <c r="S110">
        <v>405462</v>
      </c>
      <c r="T110">
        <v>975</v>
      </c>
      <c r="U110">
        <v>464243</v>
      </c>
      <c r="V110">
        <v>0</v>
      </c>
      <c r="W110">
        <v>0</v>
      </c>
      <c r="X110">
        <v>0</v>
      </c>
      <c r="Y110">
        <v>0</v>
      </c>
      <c r="Z110">
        <v>122966</v>
      </c>
      <c r="AA110">
        <v>32265</v>
      </c>
      <c r="AB110">
        <v>0</v>
      </c>
      <c r="AC110">
        <v>0</v>
      </c>
      <c r="AD110">
        <v>6304</v>
      </c>
      <c r="AE110">
        <v>0</v>
      </c>
      <c r="AF110">
        <v>0</v>
      </c>
      <c r="AG110">
        <v>0</v>
      </c>
      <c r="AH110">
        <v>0</v>
      </c>
      <c r="AI110">
        <v>0</v>
      </c>
      <c r="AJ110">
        <v>172168</v>
      </c>
      <c r="AK110">
        <v>0</v>
      </c>
      <c r="AL110">
        <v>0</v>
      </c>
      <c r="AM110">
        <v>0</v>
      </c>
      <c r="AN110">
        <v>145497</v>
      </c>
      <c r="AP110">
        <v>0</v>
      </c>
      <c r="AQ110">
        <v>592371</v>
      </c>
      <c r="AR110">
        <v>0</v>
      </c>
      <c r="AS110">
        <v>0</v>
      </c>
      <c r="AT110">
        <v>43510</v>
      </c>
      <c r="AU110">
        <v>102039</v>
      </c>
      <c r="AV110">
        <v>0</v>
      </c>
      <c r="AX110">
        <v>0</v>
      </c>
      <c r="AY110">
        <v>190709</v>
      </c>
      <c r="AZ110">
        <v>21276</v>
      </c>
      <c r="BA110">
        <v>0</v>
      </c>
      <c r="BB110">
        <v>56650</v>
      </c>
      <c r="BC110">
        <v>0</v>
      </c>
      <c r="BD110">
        <v>0</v>
      </c>
      <c r="BE110">
        <v>826000</v>
      </c>
      <c r="BH110">
        <v>0</v>
      </c>
      <c r="BI110">
        <v>1310</v>
      </c>
      <c r="BJ110">
        <v>0</v>
      </c>
      <c r="BK110">
        <v>199690</v>
      </c>
      <c r="BL110">
        <v>0</v>
      </c>
      <c r="BM110">
        <v>0</v>
      </c>
      <c r="BN110">
        <v>57152</v>
      </c>
      <c r="BO110">
        <v>70947</v>
      </c>
      <c r="BP110">
        <v>0</v>
      </c>
      <c r="BQ110">
        <v>72805</v>
      </c>
      <c r="BR110">
        <v>0</v>
      </c>
      <c r="BS110">
        <v>0</v>
      </c>
      <c r="BT110">
        <v>22446</v>
      </c>
      <c r="BU110">
        <v>165165</v>
      </c>
      <c r="BV110">
        <v>3747</v>
      </c>
      <c r="BW110">
        <v>177</v>
      </c>
      <c r="BX110">
        <v>0</v>
      </c>
      <c r="BY110">
        <v>0</v>
      </c>
      <c r="BZ110">
        <v>0</v>
      </c>
      <c r="CA110">
        <v>0</v>
      </c>
    </row>
    <row r="111" spans="1:79" x14ac:dyDescent="0.3">
      <c r="A111" s="155">
        <v>511</v>
      </c>
      <c r="B111" t="s">
        <v>216</v>
      </c>
      <c r="D111">
        <v>0</v>
      </c>
      <c r="E111">
        <v>0</v>
      </c>
      <c r="F111">
        <v>0</v>
      </c>
      <c r="G111">
        <v>0</v>
      </c>
      <c r="H111">
        <v>0</v>
      </c>
      <c r="I111">
        <v>0</v>
      </c>
      <c r="J111">
        <v>0</v>
      </c>
      <c r="K111">
        <v>0</v>
      </c>
      <c r="L111">
        <v>0</v>
      </c>
      <c r="M111">
        <v>0</v>
      </c>
      <c r="N111">
        <v>0</v>
      </c>
      <c r="P111">
        <v>0</v>
      </c>
      <c r="Q111">
        <v>0</v>
      </c>
      <c r="R111">
        <v>0</v>
      </c>
      <c r="S111">
        <v>387000</v>
      </c>
      <c r="T111">
        <v>0</v>
      </c>
      <c r="U111">
        <v>1610354</v>
      </c>
      <c r="V111">
        <v>0</v>
      </c>
      <c r="W111">
        <v>0</v>
      </c>
      <c r="X111">
        <v>0</v>
      </c>
      <c r="Y111">
        <v>0</v>
      </c>
      <c r="Z111">
        <v>205837</v>
      </c>
      <c r="AA111">
        <v>0</v>
      </c>
      <c r="AB111">
        <v>0</v>
      </c>
      <c r="AC111">
        <v>0</v>
      </c>
      <c r="AD111">
        <v>0</v>
      </c>
      <c r="AE111">
        <v>0</v>
      </c>
      <c r="AF111">
        <v>0</v>
      </c>
      <c r="AG111">
        <v>0</v>
      </c>
      <c r="AH111">
        <v>0</v>
      </c>
      <c r="AI111">
        <v>0</v>
      </c>
      <c r="AJ111">
        <v>876613</v>
      </c>
      <c r="AK111">
        <v>0</v>
      </c>
      <c r="AL111">
        <v>0</v>
      </c>
      <c r="AM111">
        <v>0</v>
      </c>
      <c r="AN111">
        <v>0</v>
      </c>
      <c r="AP111">
        <v>0</v>
      </c>
      <c r="AQ111">
        <v>2707432</v>
      </c>
      <c r="AR111">
        <v>0</v>
      </c>
      <c r="AS111">
        <v>0</v>
      </c>
      <c r="AT111">
        <v>0</v>
      </c>
      <c r="AU111">
        <v>70456</v>
      </c>
      <c r="AV111">
        <v>0</v>
      </c>
      <c r="AX111">
        <v>0</v>
      </c>
      <c r="AY111">
        <v>0</v>
      </c>
      <c r="AZ111">
        <v>0</v>
      </c>
      <c r="BA111">
        <v>0</v>
      </c>
      <c r="BB111">
        <v>0</v>
      </c>
      <c r="BC111">
        <v>0</v>
      </c>
      <c r="BD111">
        <v>0</v>
      </c>
      <c r="BE111">
        <v>676130</v>
      </c>
      <c r="BH111">
        <v>0</v>
      </c>
      <c r="BI111">
        <v>0</v>
      </c>
      <c r="BJ111">
        <v>0</v>
      </c>
      <c r="BK111">
        <v>502936</v>
      </c>
      <c r="BL111">
        <v>0</v>
      </c>
      <c r="BM111">
        <v>0</v>
      </c>
      <c r="BN111">
        <v>0</v>
      </c>
      <c r="BO111">
        <v>0</v>
      </c>
      <c r="BP111">
        <v>0</v>
      </c>
      <c r="BQ111">
        <v>0</v>
      </c>
      <c r="BR111">
        <v>0</v>
      </c>
      <c r="BS111">
        <v>0</v>
      </c>
      <c r="BT111">
        <v>0</v>
      </c>
      <c r="BU111">
        <v>0</v>
      </c>
      <c r="BV111">
        <v>0</v>
      </c>
      <c r="BW111">
        <v>0</v>
      </c>
      <c r="BX111">
        <v>0</v>
      </c>
      <c r="BY111">
        <v>0</v>
      </c>
      <c r="BZ111">
        <v>0</v>
      </c>
      <c r="CA111">
        <v>0</v>
      </c>
    </row>
    <row r="112" spans="1:79" x14ac:dyDescent="0.3">
      <c r="A112" s="155">
        <v>512</v>
      </c>
      <c r="B112" t="s">
        <v>243</v>
      </c>
      <c r="D112">
        <v>0</v>
      </c>
      <c r="E112">
        <v>0</v>
      </c>
      <c r="F112">
        <v>0</v>
      </c>
      <c r="G112">
        <v>0</v>
      </c>
      <c r="H112">
        <v>0</v>
      </c>
      <c r="I112">
        <v>0</v>
      </c>
      <c r="J112">
        <v>0</v>
      </c>
      <c r="K112">
        <v>0</v>
      </c>
      <c r="L112">
        <v>0</v>
      </c>
      <c r="M112">
        <v>0</v>
      </c>
      <c r="N112">
        <v>0</v>
      </c>
      <c r="P112">
        <v>641648</v>
      </c>
      <c r="Q112">
        <v>515290</v>
      </c>
      <c r="R112">
        <v>0</v>
      </c>
      <c r="S112">
        <v>250726</v>
      </c>
      <c r="T112">
        <v>0</v>
      </c>
      <c r="U112">
        <v>0</v>
      </c>
      <c r="V112">
        <v>0</v>
      </c>
      <c r="W112">
        <v>0</v>
      </c>
      <c r="X112">
        <v>0</v>
      </c>
      <c r="Y112">
        <v>0</v>
      </c>
      <c r="Z112">
        <v>0</v>
      </c>
      <c r="AA112">
        <v>30384</v>
      </c>
      <c r="AB112">
        <v>0</v>
      </c>
      <c r="AC112">
        <v>0</v>
      </c>
      <c r="AD112">
        <v>0</v>
      </c>
      <c r="AE112">
        <v>0</v>
      </c>
      <c r="AF112">
        <v>0</v>
      </c>
      <c r="AG112">
        <v>0</v>
      </c>
      <c r="AH112">
        <v>0</v>
      </c>
      <c r="AI112">
        <v>0</v>
      </c>
      <c r="AJ112">
        <v>0</v>
      </c>
      <c r="AK112">
        <v>0</v>
      </c>
      <c r="AL112">
        <v>0</v>
      </c>
      <c r="AM112">
        <v>0</v>
      </c>
      <c r="AN112">
        <v>0</v>
      </c>
      <c r="AP112">
        <v>0</v>
      </c>
      <c r="AQ112">
        <v>0</v>
      </c>
      <c r="AR112">
        <v>0</v>
      </c>
      <c r="AS112">
        <v>42690</v>
      </c>
      <c r="AT112">
        <v>0</v>
      </c>
      <c r="AU112">
        <v>0</v>
      </c>
      <c r="AV112">
        <v>0</v>
      </c>
      <c r="AX112">
        <v>0</v>
      </c>
      <c r="AY112">
        <v>0</v>
      </c>
      <c r="AZ112">
        <v>0</v>
      </c>
      <c r="BA112">
        <v>0</v>
      </c>
      <c r="BB112">
        <v>0</v>
      </c>
      <c r="BC112">
        <v>0</v>
      </c>
      <c r="BD112">
        <v>0</v>
      </c>
      <c r="BE112">
        <v>0</v>
      </c>
      <c r="BH112">
        <v>181165</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row>
    <row r="113" spans="1:79" x14ac:dyDescent="0.3">
      <c r="A113" s="155">
        <v>513</v>
      </c>
      <c r="B113" t="s">
        <v>249</v>
      </c>
      <c r="D113">
        <v>0</v>
      </c>
      <c r="E113">
        <v>0</v>
      </c>
      <c r="F113">
        <v>0</v>
      </c>
      <c r="G113">
        <v>0</v>
      </c>
      <c r="H113">
        <v>0</v>
      </c>
      <c r="I113">
        <v>0</v>
      </c>
      <c r="J113">
        <v>0</v>
      </c>
      <c r="K113">
        <v>0</v>
      </c>
      <c r="L113">
        <v>0</v>
      </c>
      <c r="M113">
        <v>0</v>
      </c>
      <c r="N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P113">
        <v>0</v>
      </c>
      <c r="AQ113">
        <v>0</v>
      </c>
      <c r="AR113">
        <v>0</v>
      </c>
      <c r="AS113">
        <v>0</v>
      </c>
      <c r="AT113">
        <v>0</v>
      </c>
      <c r="AU113">
        <v>0</v>
      </c>
      <c r="AV113">
        <v>0</v>
      </c>
      <c r="AX113">
        <v>0</v>
      </c>
      <c r="AY113">
        <v>0</v>
      </c>
      <c r="AZ113">
        <v>0</v>
      </c>
      <c r="BA113">
        <v>0</v>
      </c>
      <c r="BB113">
        <v>0</v>
      </c>
      <c r="BC113">
        <v>0</v>
      </c>
      <c r="BD113">
        <v>0</v>
      </c>
      <c r="BE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row>
    <row r="114" spans="1:79" x14ac:dyDescent="0.3">
      <c r="A114" s="155">
        <v>514</v>
      </c>
      <c r="B114" t="s">
        <v>250</v>
      </c>
      <c r="D114">
        <v>0</v>
      </c>
      <c r="E114">
        <v>0</v>
      </c>
      <c r="F114">
        <v>0</v>
      </c>
      <c r="G114">
        <v>0</v>
      </c>
      <c r="H114">
        <v>0</v>
      </c>
      <c r="I114">
        <v>0</v>
      </c>
      <c r="J114">
        <v>0</v>
      </c>
      <c r="K114">
        <v>0</v>
      </c>
      <c r="L114">
        <v>0</v>
      </c>
      <c r="M114">
        <v>0</v>
      </c>
      <c r="N114">
        <v>0</v>
      </c>
      <c r="P114">
        <v>0</v>
      </c>
      <c r="Q114">
        <v>0</v>
      </c>
      <c r="R114">
        <v>0</v>
      </c>
      <c r="S114">
        <v>1000000</v>
      </c>
      <c r="T114">
        <v>0</v>
      </c>
      <c r="U114">
        <v>2722330</v>
      </c>
      <c r="V114">
        <v>0</v>
      </c>
      <c r="W114">
        <v>0</v>
      </c>
      <c r="X114">
        <v>0</v>
      </c>
      <c r="Y114">
        <v>0</v>
      </c>
      <c r="Z114">
        <v>0</v>
      </c>
      <c r="AA114">
        <v>0</v>
      </c>
      <c r="AB114">
        <v>0</v>
      </c>
      <c r="AC114">
        <v>0</v>
      </c>
      <c r="AD114">
        <v>0</v>
      </c>
      <c r="AE114">
        <v>650</v>
      </c>
      <c r="AF114">
        <v>0</v>
      </c>
      <c r="AG114">
        <v>0</v>
      </c>
      <c r="AH114">
        <v>0</v>
      </c>
      <c r="AI114">
        <v>0</v>
      </c>
      <c r="AJ114">
        <v>683586</v>
      </c>
      <c r="AK114">
        <v>0</v>
      </c>
      <c r="AL114">
        <v>0</v>
      </c>
      <c r="AM114">
        <v>0</v>
      </c>
      <c r="AN114">
        <v>0</v>
      </c>
      <c r="AP114">
        <v>0</v>
      </c>
      <c r="AQ114">
        <v>1200000</v>
      </c>
      <c r="AR114">
        <v>0</v>
      </c>
      <c r="AS114">
        <v>0</v>
      </c>
      <c r="AT114">
        <v>0</v>
      </c>
      <c r="AU114">
        <v>30465</v>
      </c>
      <c r="AV114">
        <v>0</v>
      </c>
      <c r="AX114">
        <v>0</v>
      </c>
      <c r="AY114">
        <v>0</v>
      </c>
      <c r="AZ114">
        <v>405068</v>
      </c>
      <c r="BA114">
        <v>0</v>
      </c>
      <c r="BB114">
        <v>0</v>
      </c>
      <c r="BC114">
        <v>0</v>
      </c>
      <c r="BD114">
        <v>0</v>
      </c>
      <c r="BE114">
        <v>1525000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row>
    <row r="115" spans="1:79" x14ac:dyDescent="0.3">
      <c r="A115" s="1042">
        <v>515</v>
      </c>
      <c r="B115" s="1043" t="s">
        <v>262</v>
      </c>
      <c r="D115">
        <v>0</v>
      </c>
      <c r="E115">
        <v>0</v>
      </c>
      <c r="F115">
        <v>0</v>
      </c>
      <c r="G115">
        <v>114994069</v>
      </c>
      <c r="H115">
        <v>1419157</v>
      </c>
      <c r="I115">
        <v>0</v>
      </c>
      <c r="J115">
        <v>0</v>
      </c>
      <c r="K115">
        <v>0</v>
      </c>
      <c r="L115">
        <v>23416054</v>
      </c>
      <c r="M115">
        <v>0</v>
      </c>
      <c r="N115">
        <v>0</v>
      </c>
      <c r="P115">
        <v>0</v>
      </c>
      <c r="Q115">
        <v>432323</v>
      </c>
      <c r="R115">
        <v>494360</v>
      </c>
      <c r="S115">
        <v>14550217</v>
      </c>
      <c r="T115">
        <v>0</v>
      </c>
      <c r="U115">
        <v>41958129</v>
      </c>
      <c r="V115">
        <v>0</v>
      </c>
      <c r="W115">
        <v>0</v>
      </c>
      <c r="X115">
        <v>0</v>
      </c>
      <c r="Y115">
        <v>793162</v>
      </c>
      <c r="Z115">
        <v>0</v>
      </c>
      <c r="AA115">
        <v>0</v>
      </c>
      <c r="AB115">
        <v>0</v>
      </c>
      <c r="AC115">
        <v>0</v>
      </c>
      <c r="AD115">
        <v>0</v>
      </c>
      <c r="AE115">
        <v>219072</v>
      </c>
      <c r="AF115">
        <v>0</v>
      </c>
      <c r="AG115">
        <v>0</v>
      </c>
      <c r="AH115">
        <v>0</v>
      </c>
      <c r="AI115">
        <v>0</v>
      </c>
      <c r="AJ115">
        <v>0</v>
      </c>
      <c r="AK115">
        <v>73000</v>
      </c>
      <c r="AL115">
        <v>0</v>
      </c>
      <c r="AM115">
        <v>0</v>
      </c>
      <c r="AN115">
        <v>0</v>
      </c>
      <c r="AP115">
        <v>0</v>
      </c>
      <c r="AQ115">
        <v>699043</v>
      </c>
      <c r="AR115">
        <v>438864</v>
      </c>
      <c r="AS115">
        <v>33338</v>
      </c>
      <c r="AT115">
        <v>267595</v>
      </c>
      <c r="AU115">
        <v>14333287</v>
      </c>
      <c r="AV115">
        <v>108060</v>
      </c>
      <c r="AX115">
        <v>0</v>
      </c>
      <c r="AY115">
        <v>0</v>
      </c>
      <c r="AZ115">
        <v>834343</v>
      </c>
      <c r="BA115">
        <v>0</v>
      </c>
      <c r="BB115">
        <v>16683</v>
      </c>
      <c r="BC115">
        <v>0</v>
      </c>
      <c r="BD115">
        <v>0</v>
      </c>
      <c r="BE115">
        <v>18580814</v>
      </c>
      <c r="BH115">
        <v>0</v>
      </c>
      <c r="BI115">
        <v>0</v>
      </c>
      <c r="BJ115">
        <v>0</v>
      </c>
      <c r="BK115">
        <v>390955</v>
      </c>
      <c r="BL115">
        <v>7987925</v>
      </c>
      <c r="BM115">
        <v>0</v>
      </c>
      <c r="BN115">
        <v>7538404</v>
      </c>
      <c r="BO115">
        <v>671860</v>
      </c>
      <c r="BP115">
        <v>0</v>
      </c>
      <c r="BQ115">
        <v>364151</v>
      </c>
      <c r="BR115">
        <v>0</v>
      </c>
      <c r="BS115">
        <v>0</v>
      </c>
      <c r="BT115">
        <v>2483050</v>
      </c>
      <c r="BU115">
        <v>0</v>
      </c>
      <c r="BV115">
        <v>0</v>
      </c>
      <c r="BW115">
        <v>0</v>
      </c>
      <c r="BX115">
        <v>0</v>
      </c>
      <c r="BY115">
        <v>0</v>
      </c>
      <c r="BZ115">
        <v>9796576</v>
      </c>
      <c r="CA115">
        <v>0</v>
      </c>
    </row>
    <row r="116" spans="1:79" x14ac:dyDescent="0.3">
      <c r="A116" s="1042">
        <v>516</v>
      </c>
      <c r="B116" s="1043" t="s">
        <v>263</v>
      </c>
      <c r="D116">
        <v>0</v>
      </c>
      <c r="E116">
        <v>0</v>
      </c>
      <c r="F116">
        <v>2815924</v>
      </c>
      <c r="G116">
        <v>137131786</v>
      </c>
      <c r="H116">
        <v>13389527</v>
      </c>
      <c r="I116">
        <v>1932498</v>
      </c>
      <c r="J116">
        <v>10450708</v>
      </c>
      <c r="K116">
        <v>8234235</v>
      </c>
      <c r="L116">
        <v>150301905</v>
      </c>
      <c r="M116">
        <v>0</v>
      </c>
      <c r="N116">
        <v>5168694</v>
      </c>
      <c r="P116">
        <v>0</v>
      </c>
      <c r="Q116">
        <v>24323641</v>
      </c>
      <c r="R116">
        <v>39955221</v>
      </c>
      <c r="S116">
        <v>31120557</v>
      </c>
      <c r="T116">
        <v>3487307</v>
      </c>
      <c r="U116">
        <v>68585866</v>
      </c>
      <c r="V116">
        <v>0</v>
      </c>
      <c r="W116">
        <v>0</v>
      </c>
      <c r="X116">
        <v>0</v>
      </c>
      <c r="Y116">
        <v>10874172</v>
      </c>
      <c r="Z116">
        <v>15387508</v>
      </c>
      <c r="AA116">
        <v>10784179</v>
      </c>
      <c r="AB116">
        <v>0</v>
      </c>
      <c r="AC116">
        <v>960289</v>
      </c>
      <c r="AD116">
        <v>14236357</v>
      </c>
      <c r="AE116">
        <v>18573247</v>
      </c>
      <c r="AF116">
        <v>1286321</v>
      </c>
      <c r="AG116">
        <v>0</v>
      </c>
      <c r="AH116">
        <v>0</v>
      </c>
      <c r="AI116">
        <v>0</v>
      </c>
      <c r="AJ116">
        <v>61294286</v>
      </c>
      <c r="AK116">
        <v>2131288</v>
      </c>
      <c r="AL116">
        <v>0</v>
      </c>
      <c r="AM116">
        <v>0</v>
      </c>
      <c r="AN116">
        <v>86671271</v>
      </c>
      <c r="AP116">
        <v>0</v>
      </c>
      <c r="AQ116">
        <v>72785489</v>
      </c>
      <c r="AR116">
        <v>9650211</v>
      </c>
      <c r="AS116">
        <v>6049094</v>
      </c>
      <c r="AT116">
        <v>7884243</v>
      </c>
      <c r="AU116">
        <v>47673483</v>
      </c>
      <c r="AV116">
        <v>1742830</v>
      </c>
      <c r="AX116">
        <v>14869143</v>
      </c>
      <c r="AY116">
        <v>17597375</v>
      </c>
      <c r="AZ116">
        <v>28119811</v>
      </c>
      <c r="BA116">
        <v>20457</v>
      </c>
      <c r="BB116">
        <v>790666</v>
      </c>
      <c r="BC116">
        <v>5117525</v>
      </c>
      <c r="BD116">
        <v>0</v>
      </c>
      <c r="BE116">
        <v>77480074</v>
      </c>
      <c r="BH116">
        <v>11744116</v>
      </c>
      <c r="BI116">
        <v>8234496</v>
      </c>
      <c r="BJ116">
        <v>9540734</v>
      </c>
      <c r="BK116">
        <v>17122640</v>
      </c>
      <c r="BL116">
        <v>2900999</v>
      </c>
      <c r="BM116">
        <v>0</v>
      </c>
      <c r="BN116">
        <v>24673278</v>
      </c>
      <c r="BO116">
        <v>15564246</v>
      </c>
      <c r="BP116">
        <v>15049071</v>
      </c>
      <c r="BQ116">
        <v>6860871</v>
      </c>
      <c r="BR116">
        <v>0</v>
      </c>
      <c r="BS116">
        <v>0</v>
      </c>
      <c r="BT116">
        <v>5109890</v>
      </c>
      <c r="BU116">
        <v>24073444</v>
      </c>
      <c r="BV116">
        <v>7418635</v>
      </c>
      <c r="BW116">
        <v>2225233</v>
      </c>
      <c r="BX116">
        <v>0</v>
      </c>
      <c r="BY116">
        <v>0</v>
      </c>
      <c r="BZ116">
        <v>69553613</v>
      </c>
      <c r="CA116">
        <v>0</v>
      </c>
    </row>
    <row r="117" spans="1:79" x14ac:dyDescent="0.3">
      <c r="A117" s="1042">
        <v>517</v>
      </c>
      <c r="B117" s="1043" t="s">
        <v>264</v>
      </c>
      <c r="D117">
        <v>0</v>
      </c>
      <c r="E117">
        <v>0</v>
      </c>
      <c r="F117">
        <v>0</v>
      </c>
      <c r="G117">
        <v>0</v>
      </c>
      <c r="H117">
        <v>0</v>
      </c>
      <c r="I117">
        <v>0</v>
      </c>
      <c r="J117">
        <v>0</v>
      </c>
      <c r="K117">
        <v>0</v>
      </c>
      <c r="L117">
        <v>0</v>
      </c>
      <c r="M117">
        <v>0</v>
      </c>
      <c r="N117">
        <v>0</v>
      </c>
      <c r="P117">
        <v>0</v>
      </c>
      <c r="Q117">
        <v>0</v>
      </c>
      <c r="R117">
        <v>0</v>
      </c>
      <c r="S117">
        <v>0</v>
      </c>
      <c r="T117">
        <v>0</v>
      </c>
      <c r="U117">
        <v>575177</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P117">
        <v>0</v>
      </c>
      <c r="AQ117">
        <v>0</v>
      </c>
      <c r="AR117">
        <v>56277</v>
      </c>
      <c r="AS117">
        <v>0</v>
      </c>
      <c r="AT117">
        <v>0</v>
      </c>
      <c r="AU117">
        <v>0</v>
      </c>
      <c r="AV117">
        <v>0</v>
      </c>
      <c r="AX117">
        <v>0</v>
      </c>
      <c r="AY117">
        <v>0</v>
      </c>
      <c r="AZ117">
        <v>0</v>
      </c>
      <c r="BA117">
        <v>0</v>
      </c>
      <c r="BB117">
        <v>6492801</v>
      </c>
      <c r="BC117">
        <v>0</v>
      </c>
      <c r="BD117">
        <v>0</v>
      </c>
      <c r="BE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row>
    <row r="118" spans="1:79" x14ac:dyDescent="0.3">
      <c r="A118" s="1042">
        <v>518</v>
      </c>
      <c r="B118" s="1043" t="s">
        <v>265</v>
      </c>
      <c r="D118">
        <v>0</v>
      </c>
      <c r="E118">
        <v>0</v>
      </c>
      <c r="F118">
        <v>57409</v>
      </c>
      <c r="G118">
        <v>10603292</v>
      </c>
      <c r="H118">
        <v>12196997</v>
      </c>
      <c r="I118">
        <v>256138</v>
      </c>
      <c r="J118">
        <v>378286</v>
      </c>
      <c r="K118">
        <v>0</v>
      </c>
      <c r="L118">
        <v>5670365</v>
      </c>
      <c r="M118">
        <v>0</v>
      </c>
      <c r="N118">
        <v>496033</v>
      </c>
      <c r="P118">
        <v>0</v>
      </c>
      <c r="Q118">
        <v>6829502</v>
      </c>
      <c r="R118">
        <v>2022655</v>
      </c>
      <c r="S118">
        <v>64620758</v>
      </c>
      <c r="T118">
        <v>0</v>
      </c>
      <c r="U118">
        <v>6889015</v>
      </c>
      <c r="V118">
        <v>0</v>
      </c>
      <c r="W118">
        <v>0</v>
      </c>
      <c r="X118">
        <v>0</v>
      </c>
      <c r="Y118">
        <v>1244782</v>
      </c>
      <c r="Z118">
        <v>1665601</v>
      </c>
      <c r="AA118">
        <v>532723</v>
      </c>
      <c r="AB118">
        <v>0</v>
      </c>
      <c r="AC118">
        <v>60562</v>
      </c>
      <c r="AD118">
        <v>701624</v>
      </c>
      <c r="AE118">
        <v>1784180</v>
      </c>
      <c r="AF118">
        <v>17089</v>
      </c>
      <c r="AG118">
        <v>0</v>
      </c>
      <c r="AH118">
        <v>0</v>
      </c>
      <c r="AI118">
        <v>0</v>
      </c>
      <c r="AJ118">
        <v>5774242</v>
      </c>
      <c r="AK118">
        <v>99649</v>
      </c>
      <c r="AL118">
        <v>0</v>
      </c>
      <c r="AM118">
        <v>0</v>
      </c>
      <c r="AN118">
        <v>5069142</v>
      </c>
      <c r="AP118">
        <v>0</v>
      </c>
      <c r="AQ118">
        <v>4725722</v>
      </c>
      <c r="AR118">
        <v>740143</v>
      </c>
      <c r="AS118">
        <v>93558</v>
      </c>
      <c r="AT118">
        <v>1102090</v>
      </c>
      <c r="AU118">
        <v>11813029</v>
      </c>
      <c r="AV118">
        <v>20574</v>
      </c>
      <c r="AX118">
        <v>440545</v>
      </c>
      <c r="AY118">
        <v>625740</v>
      </c>
      <c r="AZ118">
        <v>0</v>
      </c>
      <c r="BA118">
        <v>0</v>
      </c>
      <c r="BB118">
        <v>727391</v>
      </c>
      <c r="BC118">
        <v>128061</v>
      </c>
      <c r="BD118">
        <v>0</v>
      </c>
      <c r="BE118">
        <v>16458527</v>
      </c>
      <c r="BH118">
        <v>1028616</v>
      </c>
      <c r="BI118">
        <v>457524</v>
      </c>
      <c r="BJ118">
        <v>402945</v>
      </c>
      <c r="BK118">
        <v>2065046</v>
      </c>
      <c r="BL118">
        <v>705775</v>
      </c>
      <c r="BM118">
        <v>0</v>
      </c>
      <c r="BN118">
        <v>5125592</v>
      </c>
      <c r="BO118">
        <v>546904</v>
      </c>
      <c r="BP118">
        <v>151001</v>
      </c>
      <c r="BQ118">
        <v>720898</v>
      </c>
      <c r="BR118">
        <v>0</v>
      </c>
      <c r="BS118">
        <v>0</v>
      </c>
      <c r="BT118">
        <v>1983749</v>
      </c>
      <c r="BU118">
        <v>1245145</v>
      </c>
      <c r="BV118">
        <v>419954</v>
      </c>
      <c r="BW118">
        <v>0</v>
      </c>
      <c r="BX118">
        <v>0</v>
      </c>
      <c r="BY118">
        <v>0</v>
      </c>
      <c r="BZ118">
        <v>2523612</v>
      </c>
      <c r="CA118">
        <v>0</v>
      </c>
    </row>
    <row r="119" spans="1:79" x14ac:dyDescent="0.3">
      <c r="A119" s="155">
        <v>519</v>
      </c>
      <c r="B119" t="s">
        <v>266</v>
      </c>
      <c r="D119">
        <v>0</v>
      </c>
      <c r="E119">
        <v>0</v>
      </c>
      <c r="F119">
        <v>0</v>
      </c>
      <c r="G119">
        <v>2667982</v>
      </c>
      <c r="H119">
        <v>32680</v>
      </c>
      <c r="I119">
        <v>0</v>
      </c>
      <c r="J119">
        <v>0</v>
      </c>
      <c r="K119">
        <v>0</v>
      </c>
      <c r="L119">
        <v>1058787</v>
      </c>
      <c r="M119">
        <v>0</v>
      </c>
      <c r="N119">
        <v>0</v>
      </c>
      <c r="P119">
        <v>0</v>
      </c>
      <c r="Q119">
        <v>1867</v>
      </c>
      <c r="R119">
        <v>8520</v>
      </c>
      <c r="S119">
        <v>160878</v>
      </c>
      <c r="T119">
        <v>0</v>
      </c>
      <c r="U119">
        <v>985857</v>
      </c>
      <c r="V119">
        <v>0</v>
      </c>
      <c r="W119">
        <v>0</v>
      </c>
      <c r="X119">
        <v>0</v>
      </c>
      <c r="Y119">
        <v>19830</v>
      </c>
      <c r="Z119">
        <v>0</v>
      </c>
      <c r="AA119">
        <v>0</v>
      </c>
      <c r="AB119">
        <v>0</v>
      </c>
      <c r="AC119">
        <v>0</v>
      </c>
      <c r="AD119">
        <v>0</v>
      </c>
      <c r="AE119">
        <v>7557</v>
      </c>
      <c r="AF119">
        <v>0</v>
      </c>
      <c r="AG119">
        <v>0</v>
      </c>
      <c r="AH119">
        <v>0</v>
      </c>
      <c r="AI119">
        <v>0</v>
      </c>
      <c r="AJ119">
        <v>0</v>
      </c>
      <c r="AK119">
        <v>0</v>
      </c>
      <c r="AL119">
        <v>0</v>
      </c>
      <c r="AM119">
        <v>0</v>
      </c>
      <c r="AN119">
        <v>0</v>
      </c>
      <c r="AP119">
        <v>0</v>
      </c>
      <c r="AQ119">
        <v>27771</v>
      </c>
      <c r="AR119">
        <v>11919</v>
      </c>
      <c r="AS119">
        <v>667</v>
      </c>
      <c r="AT119">
        <v>8453</v>
      </c>
      <c r="AU119">
        <v>339470</v>
      </c>
      <c r="AV119">
        <v>2874</v>
      </c>
      <c r="AX119">
        <v>0</v>
      </c>
      <c r="AY119">
        <v>0</v>
      </c>
      <c r="AZ119">
        <v>20859</v>
      </c>
      <c r="BA119">
        <v>0</v>
      </c>
      <c r="BB119">
        <v>0</v>
      </c>
      <c r="BC119">
        <v>0</v>
      </c>
      <c r="BD119">
        <v>0</v>
      </c>
      <c r="BE119">
        <v>262699</v>
      </c>
      <c r="BH119">
        <v>0</v>
      </c>
      <c r="BI119">
        <v>0</v>
      </c>
      <c r="BJ119">
        <v>0</v>
      </c>
      <c r="BK119">
        <v>29563</v>
      </c>
      <c r="BL119">
        <v>217726</v>
      </c>
      <c r="BM119">
        <v>0</v>
      </c>
      <c r="BN119">
        <v>132301</v>
      </c>
      <c r="BO119">
        <v>16488</v>
      </c>
      <c r="BP119">
        <v>0</v>
      </c>
      <c r="BQ119">
        <v>9546</v>
      </c>
      <c r="BR119">
        <v>0</v>
      </c>
      <c r="BS119">
        <v>0</v>
      </c>
      <c r="BT119">
        <v>117584</v>
      </c>
      <c r="BU119">
        <v>0</v>
      </c>
      <c r="BV119">
        <v>0</v>
      </c>
      <c r="BW119">
        <v>0</v>
      </c>
      <c r="BX119">
        <v>0</v>
      </c>
      <c r="BY119">
        <v>0</v>
      </c>
      <c r="BZ119">
        <v>209228</v>
      </c>
      <c r="CA119">
        <v>0</v>
      </c>
    </row>
    <row r="120" spans="1:79" x14ac:dyDescent="0.3">
      <c r="A120" s="155">
        <v>520</v>
      </c>
      <c r="B120" t="s">
        <v>267</v>
      </c>
      <c r="D120">
        <v>0</v>
      </c>
      <c r="E120">
        <v>0</v>
      </c>
      <c r="F120">
        <v>65200</v>
      </c>
      <c r="G120">
        <v>5324940</v>
      </c>
      <c r="H120">
        <v>278514</v>
      </c>
      <c r="I120">
        <v>15471</v>
      </c>
      <c r="J120">
        <v>210032</v>
      </c>
      <c r="K120">
        <v>163417</v>
      </c>
      <c r="L120">
        <v>2210495</v>
      </c>
      <c r="M120">
        <v>0</v>
      </c>
      <c r="N120">
        <v>102980</v>
      </c>
      <c r="P120">
        <v>0</v>
      </c>
      <c r="Q120">
        <v>464189</v>
      </c>
      <c r="R120">
        <v>933747</v>
      </c>
      <c r="S120">
        <v>1118211</v>
      </c>
      <c r="T120">
        <v>89418</v>
      </c>
      <c r="U120">
        <v>1475585</v>
      </c>
      <c r="V120">
        <v>0</v>
      </c>
      <c r="W120">
        <v>0</v>
      </c>
      <c r="X120">
        <v>0</v>
      </c>
      <c r="Y120">
        <v>315813</v>
      </c>
      <c r="Z120">
        <v>287030</v>
      </c>
      <c r="AA120">
        <v>314267</v>
      </c>
      <c r="AB120">
        <v>0</v>
      </c>
      <c r="AC120">
        <v>5761</v>
      </c>
      <c r="AD120">
        <v>307898</v>
      </c>
      <c r="AE120">
        <v>398547</v>
      </c>
      <c r="AF120">
        <v>26928</v>
      </c>
      <c r="AG120">
        <v>0</v>
      </c>
      <c r="AH120">
        <v>0</v>
      </c>
      <c r="AI120">
        <v>0</v>
      </c>
      <c r="AJ120">
        <v>1325933</v>
      </c>
      <c r="AK120">
        <v>44598</v>
      </c>
      <c r="AL120">
        <v>0</v>
      </c>
      <c r="AM120">
        <v>0</v>
      </c>
      <c r="AN120">
        <v>1333570</v>
      </c>
      <c r="AP120">
        <v>0</v>
      </c>
      <c r="AQ120">
        <v>1045555</v>
      </c>
      <c r="AR120">
        <v>197335</v>
      </c>
      <c r="AS120">
        <v>120301</v>
      </c>
      <c r="AT120">
        <v>231691</v>
      </c>
      <c r="AU120">
        <v>1090411</v>
      </c>
      <c r="AV120">
        <v>53595</v>
      </c>
      <c r="AX120">
        <v>210757</v>
      </c>
      <c r="AY120">
        <v>329766</v>
      </c>
      <c r="AZ120">
        <v>615931</v>
      </c>
      <c r="BA120">
        <v>0</v>
      </c>
      <c r="BB120">
        <v>44395</v>
      </c>
      <c r="BC120">
        <v>106869</v>
      </c>
      <c r="BD120">
        <v>0</v>
      </c>
      <c r="BE120">
        <v>1387037</v>
      </c>
      <c r="BH120">
        <v>231349</v>
      </c>
      <c r="BI120">
        <v>167015</v>
      </c>
      <c r="BJ120">
        <v>259307</v>
      </c>
      <c r="BK120">
        <v>320971</v>
      </c>
      <c r="BL120">
        <v>68756</v>
      </c>
      <c r="BM120">
        <v>0</v>
      </c>
      <c r="BN120">
        <v>566687</v>
      </c>
      <c r="BO120">
        <v>296751</v>
      </c>
      <c r="BP120">
        <v>304183</v>
      </c>
      <c r="BQ120">
        <v>359809</v>
      </c>
      <c r="BR120">
        <v>0</v>
      </c>
      <c r="BS120">
        <v>0</v>
      </c>
      <c r="BT120">
        <v>60236</v>
      </c>
      <c r="BU120">
        <v>477213</v>
      </c>
      <c r="BV120">
        <v>171604</v>
      </c>
      <c r="BW120">
        <v>45281</v>
      </c>
      <c r="BX120">
        <v>0</v>
      </c>
      <c r="BY120">
        <v>0</v>
      </c>
      <c r="BZ120">
        <v>1441766</v>
      </c>
      <c r="CA120">
        <v>0</v>
      </c>
    </row>
    <row r="121" spans="1:79" x14ac:dyDescent="0.3">
      <c r="A121" s="155">
        <v>521</v>
      </c>
      <c r="B121" t="s">
        <v>268</v>
      </c>
      <c r="D121">
        <v>0</v>
      </c>
      <c r="E121">
        <v>0</v>
      </c>
      <c r="F121">
        <v>0</v>
      </c>
      <c r="G121">
        <v>0</v>
      </c>
      <c r="H121">
        <v>0</v>
      </c>
      <c r="I121">
        <v>0</v>
      </c>
      <c r="J121">
        <v>0</v>
      </c>
      <c r="K121">
        <v>0</v>
      </c>
      <c r="L121">
        <v>0</v>
      </c>
      <c r="M121">
        <v>0</v>
      </c>
      <c r="N121">
        <v>0</v>
      </c>
      <c r="P121">
        <v>0</v>
      </c>
      <c r="Q121">
        <v>0</v>
      </c>
      <c r="R121">
        <v>0</v>
      </c>
      <c r="S121">
        <v>0</v>
      </c>
      <c r="T121">
        <v>0</v>
      </c>
      <c r="U121">
        <v>28580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P121">
        <v>0</v>
      </c>
      <c r="AQ121">
        <v>0</v>
      </c>
      <c r="AR121">
        <v>1838</v>
      </c>
      <c r="AS121">
        <v>0</v>
      </c>
      <c r="AT121">
        <v>0</v>
      </c>
      <c r="AU121">
        <v>0</v>
      </c>
      <c r="AV121">
        <v>0</v>
      </c>
      <c r="AX121">
        <v>0</v>
      </c>
      <c r="AY121">
        <v>0</v>
      </c>
      <c r="AZ121">
        <v>0</v>
      </c>
      <c r="BA121">
        <v>0</v>
      </c>
      <c r="BB121">
        <v>101554</v>
      </c>
      <c r="BC121">
        <v>0</v>
      </c>
      <c r="BD121">
        <v>0</v>
      </c>
      <c r="BE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row>
    <row r="122" spans="1:79" x14ac:dyDescent="0.3">
      <c r="A122" s="155">
        <v>522</v>
      </c>
      <c r="B122" t="s">
        <v>269</v>
      </c>
      <c r="D122">
        <v>0</v>
      </c>
      <c r="E122">
        <v>0</v>
      </c>
      <c r="F122">
        <v>6681</v>
      </c>
      <c r="G122">
        <v>598312</v>
      </c>
      <c r="H122">
        <v>404636</v>
      </c>
      <c r="I122">
        <v>12551</v>
      </c>
      <c r="J122">
        <v>20734</v>
      </c>
      <c r="K122">
        <v>0</v>
      </c>
      <c r="L122">
        <v>320276</v>
      </c>
      <c r="M122">
        <v>0</v>
      </c>
      <c r="N122">
        <v>31622</v>
      </c>
      <c r="P122">
        <v>0</v>
      </c>
      <c r="Q122">
        <v>244621</v>
      </c>
      <c r="R122">
        <v>90819</v>
      </c>
      <c r="S122">
        <v>1639383</v>
      </c>
      <c r="T122">
        <v>0</v>
      </c>
      <c r="U122">
        <v>375392</v>
      </c>
      <c r="V122">
        <v>0</v>
      </c>
      <c r="W122">
        <v>0</v>
      </c>
      <c r="X122">
        <v>0</v>
      </c>
      <c r="Y122">
        <v>50734</v>
      </c>
      <c r="Z122">
        <v>47889</v>
      </c>
      <c r="AA122">
        <v>25073</v>
      </c>
      <c r="AB122">
        <v>0</v>
      </c>
      <c r="AC122">
        <v>980</v>
      </c>
      <c r="AD122">
        <v>37360</v>
      </c>
      <c r="AE122">
        <v>151289</v>
      </c>
      <c r="AF122">
        <v>0</v>
      </c>
      <c r="AG122">
        <v>0</v>
      </c>
      <c r="AH122">
        <v>0</v>
      </c>
      <c r="AI122">
        <v>0</v>
      </c>
      <c r="AJ122">
        <v>309267</v>
      </c>
      <c r="AK122">
        <v>0</v>
      </c>
      <c r="AL122">
        <v>0</v>
      </c>
      <c r="AM122">
        <v>0</v>
      </c>
      <c r="AN122">
        <v>303676</v>
      </c>
      <c r="AP122">
        <v>0</v>
      </c>
      <c r="AQ122">
        <v>396072</v>
      </c>
      <c r="AR122">
        <v>46971</v>
      </c>
      <c r="AS122">
        <v>1918</v>
      </c>
      <c r="AT122">
        <v>69751</v>
      </c>
      <c r="AU122">
        <v>500135</v>
      </c>
      <c r="AV122">
        <v>0</v>
      </c>
      <c r="AX122">
        <v>164847</v>
      </c>
      <c r="AY122">
        <v>16181</v>
      </c>
      <c r="AZ122">
        <v>0</v>
      </c>
      <c r="BA122">
        <v>0</v>
      </c>
      <c r="BB122">
        <v>25136</v>
      </c>
      <c r="BC122">
        <v>9746</v>
      </c>
      <c r="BD122">
        <v>0</v>
      </c>
      <c r="BE122">
        <v>322359</v>
      </c>
      <c r="BH122">
        <v>8147</v>
      </c>
      <c r="BI122">
        <v>19416</v>
      </c>
      <c r="BJ122">
        <v>21498</v>
      </c>
      <c r="BK122">
        <v>51500</v>
      </c>
      <c r="BL122">
        <v>52689</v>
      </c>
      <c r="BM122">
        <v>0</v>
      </c>
      <c r="BN122">
        <v>201723</v>
      </c>
      <c r="BO122">
        <v>17314</v>
      </c>
      <c r="BP122">
        <v>12952</v>
      </c>
      <c r="BQ122">
        <v>49592</v>
      </c>
      <c r="BR122">
        <v>0</v>
      </c>
      <c r="BS122">
        <v>0</v>
      </c>
      <c r="BT122">
        <v>58632</v>
      </c>
      <c r="BU122">
        <v>70488</v>
      </c>
      <c r="BV122">
        <v>15134</v>
      </c>
      <c r="BW122">
        <v>0</v>
      </c>
      <c r="BX122">
        <v>0</v>
      </c>
      <c r="BY122">
        <v>0</v>
      </c>
      <c r="BZ122">
        <v>114676</v>
      </c>
      <c r="CA122">
        <v>0</v>
      </c>
    </row>
    <row r="123" spans="1:79" x14ac:dyDescent="0.3">
      <c r="A123" s="552">
        <v>523</v>
      </c>
      <c r="B123" s="553" t="s">
        <v>270</v>
      </c>
      <c r="D123">
        <v>0</v>
      </c>
      <c r="E123">
        <v>0</v>
      </c>
      <c r="F123">
        <v>0</v>
      </c>
      <c r="G123">
        <v>95194693</v>
      </c>
      <c r="H123">
        <v>222056</v>
      </c>
      <c r="I123">
        <v>0</v>
      </c>
      <c r="J123">
        <v>0</v>
      </c>
      <c r="K123">
        <v>0</v>
      </c>
      <c r="L123">
        <v>11676783</v>
      </c>
      <c r="M123">
        <v>0</v>
      </c>
      <c r="N123">
        <v>0</v>
      </c>
      <c r="P123">
        <v>0</v>
      </c>
      <c r="Q123">
        <v>393838</v>
      </c>
      <c r="R123">
        <v>336221</v>
      </c>
      <c r="S123">
        <v>13092448</v>
      </c>
      <c r="T123">
        <v>0</v>
      </c>
      <c r="U123">
        <v>16602307</v>
      </c>
      <c r="V123">
        <v>0</v>
      </c>
      <c r="W123">
        <v>0</v>
      </c>
      <c r="X123">
        <v>0</v>
      </c>
      <c r="Y123">
        <v>153497</v>
      </c>
      <c r="Z123">
        <v>0</v>
      </c>
      <c r="AA123">
        <v>0</v>
      </c>
      <c r="AB123">
        <v>0</v>
      </c>
      <c r="AC123">
        <v>0</v>
      </c>
      <c r="AD123">
        <v>0</v>
      </c>
      <c r="AE123">
        <v>135935</v>
      </c>
      <c r="AF123">
        <v>0</v>
      </c>
      <c r="AG123">
        <v>0</v>
      </c>
      <c r="AH123">
        <v>0</v>
      </c>
      <c r="AI123">
        <v>0</v>
      </c>
      <c r="AJ123">
        <v>0</v>
      </c>
      <c r="AK123">
        <v>73000</v>
      </c>
      <c r="AL123">
        <v>0</v>
      </c>
      <c r="AM123">
        <v>0</v>
      </c>
      <c r="AN123">
        <v>0</v>
      </c>
      <c r="AP123">
        <v>0</v>
      </c>
      <c r="AQ123">
        <v>184423</v>
      </c>
      <c r="AR123">
        <v>355989</v>
      </c>
      <c r="AS123">
        <v>11920</v>
      </c>
      <c r="AT123">
        <v>184357</v>
      </c>
      <c r="AU123">
        <v>7917284</v>
      </c>
      <c r="AV123">
        <v>77665</v>
      </c>
      <c r="AX123">
        <v>0</v>
      </c>
      <c r="AY123">
        <v>0</v>
      </c>
      <c r="AZ123">
        <v>229444</v>
      </c>
      <c r="BA123">
        <v>0</v>
      </c>
      <c r="BB123">
        <v>16683</v>
      </c>
      <c r="BC123">
        <v>0</v>
      </c>
      <c r="BD123">
        <v>0</v>
      </c>
      <c r="BE123">
        <v>9318310</v>
      </c>
      <c r="BH123">
        <v>0</v>
      </c>
      <c r="BI123">
        <v>0</v>
      </c>
      <c r="BJ123">
        <v>0</v>
      </c>
      <c r="BK123">
        <v>61676</v>
      </c>
      <c r="BL123">
        <v>4492151</v>
      </c>
      <c r="BM123">
        <v>0</v>
      </c>
      <c r="BN123">
        <v>5497755</v>
      </c>
      <c r="BO123">
        <v>225303</v>
      </c>
      <c r="BP123">
        <v>0</v>
      </c>
      <c r="BQ123">
        <v>256446</v>
      </c>
      <c r="BR123">
        <v>0</v>
      </c>
      <c r="BS123">
        <v>0</v>
      </c>
      <c r="BT123">
        <v>479141</v>
      </c>
      <c r="BU123">
        <v>0</v>
      </c>
      <c r="BV123">
        <v>0</v>
      </c>
      <c r="BW123">
        <v>0</v>
      </c>
      <c r="BX123">
        <v>0</v>
      </c>
      <c r="BY123">
        <v>0</v>
      </c>
      <c r="BZ123">
        <v>4060569</v>
      </c>
      <c r="CA123">
        <v>0</v>
      </c>
    </row>
    <row r="124" spans="1:79" x14ac:dyDescent="0.3">
      <c r="A124" s="552">
        <v>524</v>
      </c>
      <c r="B124" s="553" t="s">
        <v>271</v>
      </c>
      <c r="D124">
        <v>0</v>
      </c>
      <c r="E124">
        <v>0</v>
      </c>
      <c r="F124">
        <v>2303138</v>
      </c>
      <c r="G124">
        <v>92089162</v>
      </c>
      <c r="H124">
        <v>7145589</v>
      </c>
      <c r="I124">
        <v>1649899</v>
      </c>
      <c r="J124">
        <v>5932479</v>
      </c>
      <c r="K124">
        <v>2982821</v>
      </c>
      <c r="L124">
        <v>43816401</v>
      </c>
      <c r="M124">
        <v>0</v>
      </c>
      <c r="N124">
        <v>3612255</v>
      </c>
      <c r="P124">
        <v>0</v>
      </c>
      <c r="Q124">
        <v>11467172</v>
      </c>
      <c r="R124">
        <v>16935076</v>
      </c>
      <c r="S124">
        <v>8632505</v>
      </c>
      <c r="T124">
        <v>1330973</v>
      </c>
      <c r="U124">
        <v>38952942</v>
      </c>
      <c r="V124">
        <v>0</v>
      </c>
      <c r="W124">
        <v>0</v>
      </c>
      <c r="X124">
        <v>0</v>
      </c>
      <c r="Y124">
        <v>4705067</v>
      </c>
      <c r="Z124">
        <v>9387390</v>
      </c>
      <c r="AA124">
        <v>4577830</v>
      </c>
      <c r="AB124">
        <v>0</v>
      </c>
      <c r="AC124">
        <v>720836</v>
      </c>
      <c r="AD124">
        <v>7068713</v>
      </c>
      <c r="AE124">
        <v>9444805</v>
      </c>
      <c r="AF124">
        <v>726896</v>
      </c>
      <c r="AG124">
        <v>0</v>
      </c>
      <c r="AH124">
        <v>0</v>
      </c>
      <c r="AI124">
        <v>0</v>
      </c>
      <c r="AJ124">
        <v>26933100</v>
      </c>
      <c r="AK124">
        <v>827427</v>
      </c>
      <c r="AL124">
        <v>0</v>
      </c>
      <c r="AM124">
        <v>0</v>
      </c>
      <c r="AN124">
        <v>30956585</v>
      </c>
      <c r="AP124">
        <v>0</v>
      </c>
      <c r="AQ124">
        <v>41186594</v>
      </c>
      <c r="AR124">
        <v>6327067</v>
      </c>
      <c r="AS124">
        <v>1837501</v>
      </c>
      <c r="AT124">
        <v>3625021</v>
      </c>
      <c r="AU124">
        <v>32042837</v>
      </c>
      <c r="AV124">
        <v>1287753</v>
      </c>
      <c r="AX124">
        <v>5296530</v>
      </c>
      <c r="AY124">
        <v>10669331</v>
      </c>
      <c r="AZ124">
        <v>15426828</v>
      </c>
      <c r="BA124">
        <v>20457</v>
      </c>
      <c r="BB124">
        <v>566333</v>
      </c>
      <c r="BC124">
        <v>3771214</v>
      </c>
      <c r="BD124">
        <v>0</v>
      </c>
      <c r="BE124">
        <v>32505924</v>
      </c>
      <c r="BH124">
        <v>7665849</v>
      </c>
      <c r="BI124">
        <v>3442623</v>
      </c>
      <c r="BJ124">
        <v>4224449</v>
      </c>
      <c r="BK124">
        <v>10636774</v>
      </c>
      <c r="BL124">
        <v>2252156</v>
      </c>
      <c r="BM124">
        <v>0</v>
      </c>
      <c r="BN124">
        <v>10935496</v>
      </c>
      <c r="BO124">
        <v>7788176</v>
      </c>
      <c r="BP124">
        <v>8003234</v>
      </c>
      <c r="BQ124">
        <v>2594646</v>
      </c>
      <c r="BR124">
        <v>0</v>
      </c>
      <c r="BS124">
        <v>0</v>
      </c>
      <c r="BT124">
        <v>1603405</v>
      </c>
      <c r="BU124">
        <v>10852565</v>
      </c>
      <c r="BV124">
        <v>2526482</v>
      </c>
      <c r="BW124">
        <v>557242</v>
      </c>
      <c r="BX124">
        <v>0</v>
      </c>
      <c r="BY124">
        <v>0</v>
      </c>
      <c r="BZ124">
        <v>18905033</v>
      </c>
      <c r="CA124">
        <v>0</v>
      </c>
    </row>
    <row r="125" spans="1:79" x14ac:dyDescent="0.3">
      <c r="A125" s="552">
        <v>525</v>
      </c>
      <c r="B125" s="553" t="s">
        <v>272</v>
      </c>
      <c r="D125">
        <v>0</v>
      </c>
      <c r="E125">
        <v>0</v>
      </c>
      <c r="F125">
        <v>0</v>
      </c>
      <c r="G125">
        <v>0</v>
      </c>
      <c r="H125">
        <v>0</v>
      </c>
      <c r="I125">
        <v>0</v>
      </c>
      <c r="J125">
        <v>0</v>
      </c>
      <c r="K125">
        <v>0</v>
      </c>
      <c r="L125">
        <v>0</v>
      </c>
      <c r="M125">
        <v>0</v>
      </c>
      <c r="N125">
        <v>0</v>
      </c>
      <c r="P125">
        <v>0</v>
      </c>
      <c r="Q125">
        <v>0</v>
      </c>
      <c r="R125">
        <v>0</v>
      </c>
      <c r="S125">
        <v>0</v>
      </c>
      <c r="T125">
        <v>0</v>
      </c>
      <c r="U125">
        <v>250951</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P125">
        <v>0</v>
      </c>
      <c r="AQ125">
        <v>0</v>
      </c>
      <c r="AR125">
        <v>53189</v>
      </c>
      <c r="AS125">
        <v>0</v>
      </c>
      <c r="AT125">
        <v>0</v>
      </c>
      <c r="AU125">
        <v>0</v>
      </c>
      <c r="AV125">
        <v>0</v>
      </c>
      <c r="AX125">
        <v>0</v>
      </c>
      <c r="AY125">
        <v>0</v>
      </c>
      <c r="AZ125">
        <v>0</v>
      </c>
      <c r="BA125">
        <v>0</v>
      </c>
      <c r="BB125">
        <v>4213657</v>
      </c>
      <c r="BC125">
        <v>0</v>
      </c>
      <c r="BD125">
        <v>0</v>
      </c>
      <c r="BE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row>
    <row r="126" spans="1:79" x14ac:dyDescent="0.3">
      <c r="A126" s="552">
        <v>526</v>
      </c>
      <c r="B126" s="553" t="s">
        <v>273</v>
      </c>
      <c r="D126">
        <v>0</v>
      </c>
      <c r="E126">
        <v>0</v>
      </c>
      <c r="F126">
        <v>44038</v>
      </c>
      <c r="G126">
        <v>9154718</v>
      </c>
      <c r="H126">
        <v>4956348</v>
      </c>
      <c r="I126">
        <v>80146</v>
      </c>
      <c r="J126">
        <v>330120</v>
      </c>
      <c r="K126">
        <v>0</v>
      </c>
      <c r="L126">
        <v>3932187</v>
      </c>
      <c r="M126">
        <v>0</v>
      </c>
      <c r="N126">
        <v>423785</v>
      </c>
      <c r="P126">
        <v>0</v>
      </c>
      <c r="Q126">
        <v>4959555</v>
      </c>
      <c r="R126">
        <v>1677710</v>
      </c>
      <c r="S126">
        <v>46875124</v>
      </c>
      <c r="T126">
        <v>0</v>
      </c>
      <c r="U126">
        <v>5918718</v>
      </c>
      <c r="V126">
        <v>0</v>
      </c>
      <c r="W126">
        <v>0</v>
      </c>
      <c r="X126">
        <v>0</v>
      </c>
      <c r="Y126">
        <v>834427</v>
      </c>
      <c r="Z126">
        <v>1028828</v>
      </c>
      <c r="AA126">
        <v>420423</v>
      </c>
      <c r="AB126">
        <v>0</v>
      </c>
      <c r="AC126">
        <v>50967</v>
      </c>
      <c r="AD126">
        <v>401605</v>
      </c>
      <c r="AE126">
        <v>1197446</v>
      </c>
      <c r="AF126">
        <v>11089</v>
      </c>
      <c r="AG126">
        <v>0</v>
      </c>
      <c r="AH126">
        <v>0</v>
      </c>
      <c r="AI126">
        <v>0</v>
      </c>
      <c r="AJ126">
        <v>3939876</v>
      </c>
      <c r="AK126">
        <v>99649</v>
      </c>
      <c r="AL126">
        <v>0</v>
      </c>
      <c r="AM126">
        <v>0</v>
      </c>
      <c r="AN126">
        <v>4546580</v>
      </c>
      <c r="AP126">
        <v>0</v>
      </c>
      <c r="AQ126">
        <v>3313159</v>
      </c>
      <c r="AR126">
        <v>613525</v>
      </c>
      <c r="AS126">
        <v>83272</v>
      </c>
      <c r="AT126">
        <v>757684</v>
      </c>
      <c r="AU126">
        <v>8679157</v>
      </c>
      <c r="AV126">
        <v>20572</v>
      </c>
      <c r="AX126">
        <v>172072</v>
      </c>
      <c r="AY126">
        <v>494572</v>
      </c>
      <c r="AZ126">
        <v>0</v>
      </c>
      <c r="BA126">
        <v>0</v>
      </c>
      <c r="BB126">
        <v>536394</v>
      </c>
      <c r="BC126">
        <v>76775</v>
      </c>
      <c r="BD126">
        <v>0</v>
      </c>
      <c r="BE126">
        <v>15050496</v>
      </c>
      <c r="BH126">
        <v>1009193</v>
      </c>
      <c r="BI126">
        <v>220675</v>
      </c>
      <c r="BJ126">
        <v>336370</v>
      </c>
      <c r="BK126">
        <v>1762464</v>
      </c>
      <c r="BL126">
        <v>488178</v>
      </c>
      <c r="BM126">
        <v>0</v>
      </c>
      <c r="BN126">
        <v>3603085</v>
      </c>
      <c r="BO126">
        <v>434912</v>
      </c>
      <c r="BP126">
        <v>43463</v>
      </c>
      <c r="BQ126">
        <v>718792</v>
      </c>
      <c r="BR126">
        <v>0</v>
      </c>
      <c r="BS126">
        <v>0</v>
      </c>
      <c r="BT126">
        <v>2312574</v>
      </c>
      <c r="BU126">
        <v>967735</v>
      </c>
      <c r="BV126">
        <v>349074</v>
      </c>
      <c r="BW126">
        <v>0</v>
      </c>
      <c r="BX126">
        <v>0</v>
      </c>
      <c r="BY126">
        <v>0</v>
      </c>
      <c r="BZ126">
        <v>1451351</v>
      </c>
      <c r="CA126">
        <v>0</v>
      </c>
    </row>
    <row r="127" spans="1:79" x14ac:dyDescent="0.3">
      <c r="A127" s="155">
        <v>527</v>
      </c>
      <c r="B127" t="s">
        <v>274</v>
      </c>
      <c r="D127">
        <v>0</v>
      </c>
      <c r="E127">
        <v>0</v>
      </c>
      <c r="F127">
        <v>0</v>
      </c>
      <c r="G127">
        <v>0</v>
      </c>
      <c r="H127">
        <v>0</v>
      </c>
      <c r="I127">
        <v>0</v>
      </c>
      <c r="J127">
        <v>0</v>
      </c>
      <c r="K127">
        <v>0</v>
      </c>
      <c r="L127">
        <v>0</v>
      </c>
      <c r="M127">
        <v>0</v>
      </c>
      <c r="N127">
        <v>0</v>
      </c>
      <c r="P127">
        <v>0</v>
      </c>
      <c r="Q127">
        <v>0</v>
      </c>
      <c r="R127">
        <v>0</v>
      </c>
      <c r="S127">
        <v>1682434</v>
      </c>
      <c r="T127">
        <v>0</v>
      </c>
      <c r="U127">
        <v>16405113</v>
      </c>
      <c r="V127">
        <v>0</v>
      </c>
      <c r="W127">
        <v>0</v>
      </c>
      <c r="X127">
        <v>0</v>
      </c>
      <c r="Y127">
        <v>0</v>
      </c>
      <c r="Z127">
        <v>2747224</v>
      </c>
      <c r="AA127">
        <v>57889</v>
      </c>
      <c r="AB127">
        <v>0</v>
      </c>
      <c r="AC127">
        <v>0</v>
      </c>
      <c r="AD127">
        <v>0</v>
      </c>
      <c r="AE127">
        <v>294748</v>
      </c>
      <c r="AF127">
        <v>0</v>
      </c>
      <c r="AG127">
        <v>0</v>
      </c>
      <c r="AH127">
        <v>0</v>
      </c>
      <c r="AI127">
        <v>0</v>
      </c>
      <c r="AJ127">
        <v>4779814</v>
      </c>
      <c r="AK127">
        <v>0</v>
      </c>
      <c r="AL127">
        <v>0</v>
      </c>
      <c r="AM127">
        <v>0</v>
      </c>
      <c r="AN127">
        <v>0</v>
      </c>
      <c r="AP127">
        <v>0</v>
      </c>
      <c r="AQ127">
        <v>3325924</v>
      </c>
      <c r="AR127">
        <v>0</v>
      </c>
      <c r="AS127">
        <v>0</v>
      </c>
      <c r="AT127">
        <v>0</v>
      </c>
      <c r="AU127">
        <v>199402</v>
      </c>
      <c r="AV127">
        <v>0</v>
      </c>
      <c r="AX127">
        <v>0</v>
      </c>
      <c r="AY127">
        <v>0</v>
      </c>
      <c r="AZ127">
        <v>944815</v>
      </c>
      <c r="BA127">
        <v>0</v>
      </c>
      <c r="BB127">
        <v>0</v>
      </c>
      <c r="BC127">
        <v>54132</v>
      </c>
      <c r="BD127">
        <v>0</v>
      </c>
      <c r="BE127">
        <v>2027595</v>
      </c>
      <c r="BH127">
        <v>0</v>
      </c>
      <c r="BI127">
        <v>0</v>
      </c>
      <c r="BJ127">
        <v>0</v>
      </c>
      <c r="BK127">
        <v>19800</v>
      </c>
      <c r="BL127">
        <v>0</v>
      </c>
      <c r="BM127">
        <v>0</v>
      </c>
      <c r="BN127">
        <v>0</v>
      </c>
      <c r="BO127">
        <v>0</v>
      </c>
      <c r="BP127">
        <v>0</v>
      </c>
      <c r="BQ127">
        <v>0</v>
      </c>
      <c r="BR127">
        <v>0</v>
      </c>
      <c r="BS127">
        <v>0</v>
      </c>
      <c r="BT127">
        <v>0</v>
      </c>
      <c r="BU127">
        <v>0</v>
      </c>
      <c r="BV127">
        <v>0</v>
      </c>
      <c r="BW127">
        <v>0</v>
      </c>
      <c r="BX127">
        <v>0</v>
      </c>
      <c r="BY127">
        <v>0</v>
      </c>
      <c r="BZ127">
        <v>0</v>
      </c>
      <c r="CA127">
        <v>0</v>
      </c>
    </row>
    <row r="128" spans="1:79" x14ac:dyDescent="0.3">
      <c r="A128" s="155">
        <v>528</v>
      </c>
      <c r="B128" t="s">
        <v>257</v>
      </c>
      <c r="D128">
        <v>1386789</v>
      </c>
      <c r="E128">
        <v>9561875</v>
      </c>
      <c r="F128">
        <v>150247</v>
      </c>
      <c r="G128">
        <v>21865195</v>
      </c>
      <c r="H128">
        <v>2246946</v>
      </c>
      <c r="I128">
        <v>111235</v>
      </c>
      <c r="J128">
        <v>618625</v>
      </c>
      <c r="K128">
        <v>829540</v>
      </c>
      <c r="L128">
        <v>31381421</v>
      </c>
      <c r="M128">
        <v>26745</v>
      </c>
      <c r="N128">
        <v>342342</v>
      </c>
      <c r="P128">
        <v>19869505</v>
      </c>
      <c r="Q128">
        <v>9273620</v>
      </c>
      <c r="R128">
        <v>3136904</v>
      </c>
      <c r="S128">
        <v>7559463</v>
      </c>
      <c r="T128">
        <v>89035</v>
      </c>
      <c r="U128">
        <v>9750071</v>
      </c>
      <c r="V128">
        <v>7382</v>
      </c>
      <c r="W128">
        <v>4316515</v>
      </c>
      <c r="X128">
        <v>9687204</v>
      </c>
      <c r="Y128">
        <v>3258487</v>
      </c>
      <c r="Z128">
        <v>595036</v>
      </c>
      <c r="AA128">
        <v>4336734</v>
      </c>
      <c r="AB128">
        <v>667860</v>
      </c>
      <c r="AC128">
        <v>252045</v>
      </c>
      <c r="AD128">
        <v>536774</v>
      </c>
      <c r="AE128">
        <v>1545200</v>
      </c>
      <c r="AF128">
        <v>29273</v>
      </c>
      <c r="AG128">
        <v>8625</v>
      </c>
      <c r="AH128">
        <v>40365</v>
      </c>
      <c r="AI128">
        <v>1828971</v>
      </c>
      <c r="AJ128">
        <v>2945805</v>
      </c>
      <c r="AK128">
        <v>71436</v>
      </c>
      <c r="AL128">
        <v>10237</v>
      </c>
      <c r="AM128">
        <v>8410356</v>
      </c>
      <c r="AN128">
        <v>9193950</v>
      </c>
      <c r="AP128">
        <v>2577014</v>
      </c>
      <c r="AQ128">
        <v>10756516</v>
      </c>
      <c r="AR128">
        <v>1142319</v>
      </c>
      <c r="AS128">
        <v>74203</v>
      </c>
      <c r="AT128">
        <v>1872447</v>
      </c>
      <c r="AU128">
        <v>5105554</v>
      </c>
      <c r="AV128">
        <v>24858</v>
      </c>
      <c r="AX128">
        <v>2016998</v>
      </c>
      <c r="AY128">
        <v>1604550</v>
      </c>
      <c r="AZ128">
        <v>1265982</v>
      </c>
      <c r="BA128">
        <v>25217</v>
      </c>
      <c r="BB128">
        <v>1591014</v>
      </c>
      <c r="BC128">
        <v>158840</v>
      </c>
      <c r="BD128">
        <v>28984</v>
      </c>
      <c r="BE128">
        <v>9590464</v>
      </c>
      <c r="BH128">
        <v>1611569</v>
      </c>
      <c r="BI128">
        <v>1972092</v>
      </c>
      <c r="BJ128">
        <v>166906</v>
      </c>
      <c r="BK128">
        <v>7890322</v>
      </c>
      <c r="BL128">
        <v>2262048</v>
      </c>
      <c r="BM128">
        <v>0</v>
      </c>
      <c r="BN128">
        <v>2794025</v>
      </c>
      <c r="BO128">
        <v>712217</v>
      </c>
      <c r="BP128">
        <v>564579</v>
      </c>
      <c r="BQ128">
        <v>1094781</v>
      </c>
      <c r="BR128">
        <v>888460</v>
      </c>
      <c r="BS128">
        <v>14329482</v>
      </c>
      <c r="BT128">
        <v>661085</v>
      </c>
      <c r="BU128">
        <v>1555929</v>
      </c>
      <c r="BV128">
        <v>234616</v>
      </c>
      <c r="BW128">
        <v>415864</v>
      </c>
      <c r="BX128">
        <v>1543</v>
      </c>
      <c r="BY128">
        <v>8313</v>
      </c>
      <c r="BZ128">
        <v>11594881</v>
      </c>
      <c r="CA128">
        <v>24346</v>
      </c>
    </row>
    <row r="129" spans="1:79" x14ac:dyDescent="0.3">
      <c r="A129" s="155">
        <v>529</v>
      </c>
      <c r="B129" t="s">
        <v>258</v>
      </c>
      <c r="D129">
        <v>19799</v>
      </c>
      <c r="E129">
        <v>1018154</v>
      </c>
      <c r="F129">
        <v>25000</v>
      </c>
      <c r="G129">
        <v>2527523</v>
      </c>
      <c r="H129">
        <v>234209</v>
      </c>
      <c r="I129">
        <v>28083</v>
      </c>
      <c r="J129">
        <v>61850</v>
      </c>
      <c r="K129">
        <v>144054</v>
      </c>
      <c r="L129">
        <v>3047800</v>
      </c>
      <c r="M129">
        <v>4937</v>
      </c>
      <c r="N129">
        <v>35193</v>
      </c>
      <c r="P129">
        <v>1881234</v>
      </c>
      <c r="Q129">
        <v>370576</v>
      </c>
      <c r="R129">
        <v>362394</v>
      </c>
      <c r="S129">
        <v>424094</v>
      </c>
      <c r="T129">
        <v>22234</v>
      </c>
      <c r="U129">
        <v>1181505</v>
      </c>
      <c r="V129">
        <v>1488</v>
      </c>
      <c r="W129">
        <v>213915</v>
      </c>
      <c r="X129">
        <v>858686</v>
      </c>
      <c r="Y129">
        <v>93776</v>
      </c>
      <c r="Z129">
        <v>108466</v>
      </c>
      <c r="AA129">
        <v>92737</v>
      </c>
      <c r="AB129">
        <v>77176</v>
      </c>
      <c r="AC129">
        <v>2064</v>
      </c>
      <c r="AD129">
        <v>34447</v>
      </c>
      <c r="AE129">
        <v>216555</v>
      </c>
      <c r="AF129">
        <v>3771</v>
      </c>
      <c r="AG129">
        <v>1907</v>
      </c>
      <c r="AH129">
        <v>6104</v>
      </c>
      <c r="AI129">
        <v>122598</v>
      </c>
      <c r="AJ129">
        <v>440460</v>
      </c>
      <c r="AK129">
        <v>16165</v>
      </c>
      <c r="AL129">
        <v>1646</v>
      </c>
      <c r="AM129">
        <v>848308</v>
      </c>
      <c r="AN129">
        <v>880039</v>
      </c>
      <c r="AP129">
        <v>298291</v>
      </c>
      <c r="AQ129">
        <v>956411</v>
      </c>
      <c r="AR129">
        <v>146451</v>
      </c>
      <c r="AS129">
        <v>14853</v>
      </c>
      <c r="AT129">
        <v>320069</v>
      </c>
      <c r="AU129">
        <v>586714</v>
      </c>
      <c r="AV129">
        <v>5593</v>
      </c>
      <c r="AX129">
        <v>235219</v>
      </c>
      <c r="AY129">
        <v>203169</v>
      </c>
      <c r="AZ129">
        <v>86882</v>
      </c>
      <c r="BA129">
        <v>4372</v>
      </c>
      <c r="BB129">
        <v>178919</v>
      </c>
      <c r="BC129">
        <v>33764</v>
      </c>
      <c r="BD129">
        <v>3829</v>
      </c>
      <c r="BE129">
        <v>1121434</v>
      </c>
      <c r="BH129">
        <v>132333</v>
      </c>
      <c r="BI129">
        <v>111367</v>
      </c>
      <c r="BJ129">
        <v>44138</v>
      </c>
      <c r="BK129">
        <v>141886</v>
      </c>
      <c r="BL129">
        <v>91027</v>
      </c>
      <c r="BM129">
        <v>0</v>
      </c>
      <c r="BN129">
        <v>259100</v>
      </c>
      <c r="BO129">
        <v>61489</v>
      </c>
      <c r="BP129">
        <v>32549</v>
      </c>
      <c r="BQ129">
        <v>107548</v>
      </c>
      <c r="BR129">
        <v>65707</v>
      </c>
      <c r="BS129">
        <v>993575</v>
      </c>
      <c r="BT129">
        <v>124982</v>
      </c>
      <c r="BU129">
        <v>111044</v>
      </c>
      <c r="BV129">
        <v>36088</v>
      </c>
      <c r="BW129">
        <v>37215</v>
      </c>
      <c r="BX129">
        <v>238</v>
      </c>
      <c r="BY129">
        <v>1807</v>
      </c>
      <c r="BZ129">
        <v>895578</v>
      </c>
      <c r="CA129">
        <v>8600</v>
      </c>
    </row>
    <row r="130" spans="1:79" x14ac:dyDescent="0.3">
      <c r="A130" s="155">
        <v>530</v>
      </c>
      <c r="B130" t="s">
        <v>259</v>
      </c>
      <c r="D130">
        <v>6224</v>
      </c>
      <c r="E130">
        <v>13765</v>
      </c>
      <c r="F130">
        <v>10290</v>
      </c>
      <c r="G130">
        <v>195880</v>
      </c>
      <c r="H130">
        <v>6098</v>
      </c>
      <c r="I130">
        <v>13756</v>
      </c>
      <c r="J130">
        <v>15130</v>
      </c>
      <c r="K130">
        <v>22601</v>
      </c>
      <c r="L130">
        <v>360831</v>
      </c>
      <c r="M130">
        <v>1790</v>
      </c>
      <c r="N130">
        <v>5371</v>
      </c>
      <c r="P130">
        <v>125845</v>
      </c>
      <c r="Q130">
        <v>25346</v>
      </c>
      <c r="R130">
        <v>33906</v>
      </c>
      <c r="S130">
        <v>62914</v>
      </c>
      <c r="T130">
        <v>10513</v>
      </c>
      <c r="U130">
        <v>235774</v>
      </c>
      <c r="V130">
        <v>226</v>
      </c>
      <c r="W130">
        <v>25938</v>
      </c>
      <c r="X130">
        <v>22542</v>
      </c>
      <c r="Y130">
        <v>11183</v>
      </c>
      <c r="Z130">
        <v>32468</v>
      </c>
      <c r="AA130">
        <v>29157</v>
      </c>
      <c r="AB130">
        <v>0</v>
      </c>
      <c r="AC130">
        <v>3238</v>
      </c>
      <c r="AD130">
        <v>6290</v>
      </c>
      <c r="AE130">
        <v>43224</v>
      </c>
      <c r="AF130">
        <v>3209</v>
      </c>
      <c r="AG130">
        <v>392</v>
      </c>
      <c r="AH130">
        <v>580</v>
      </c>
      <c r="AI130">
        <v>2924</v>
      </c>
      <c r="AJ130">
        <v>161962</v>
      </c>
      <c r="AK130">
        <v>2999</v>
      </c>
      <c r="AL130">
        <v>266</v>
      </c>
      <c r="AM130">
        <v>39477</v>
      </c>
      <c r="AN130">
        <v>284879</v>
      </c>
      <c r="AP130">
        <v>9141</v>
      </c>
      <c r="AQ130">
        <v>261778</v>
      </c>
      <c r="AR130">
        <v>11456</v>
      </c>
      <c r="AS130">
        <v>4566</v>
      </c>
      <c r="AT130">
        <v>7222</v>
      </c>
      <c r="AU130">
        <v>49053</v>
      </c>
      <c r="AV130">
        <v>358</v>
      </c>
      <c r="AX130">
        <v>16337</v>
      </c>
      <c r="AY130">
        <v>39797</v>
      </c>
      <c r="AZ130">
        <v>13885</v>
      </c>
      <c r="BA130">
        <v>2000</v>
      </c>
      <c r="BB130">
        <v>18831</v>
      </c>
      <c r="BC130">
        <v>4816</v>
      </c>
      <c r="BD130">
        <v>900</v>
      </c>
      <c r="BE130">
        <v>707618</v>
      </c>
      <c r="BH130">
        <v>22229</v>
      </c>
      <c r="BI130">
        <v>30657</v>
      </c>
      <c r="BJ130">
        <v>12487</v>
      </c>
      <c r="BK130">
        <v>9728</v>
      </c>
      <c r="BL130">
        <v>7611</v>
      </c>
      <c r="BM130">
        <v>0</v>
      </c>
      <c r="BN130">
        <v>14498</v>
      </c>
      <c r="BO130">
        <v>48133</v>
      </c>
      <c r="BP130">
        <v>11398</v>
      </c>
      <c r="BQ130">
        <v>7232</v>
      </c>
      <c r="BR130">
        <v>266</v>
      </c>
      <c r="BS130">
        <v>73314</v>
      </c>
      <c r="BT130">
        <v>120936</v>
      </c>
      <c r="BU130">
        <v>14720</v>
      </c>
      <c r="BV130">
        <v>13161</v>
      </c>
      <c r="BW130">
        <v>1324</v>
      </c>
      <c r="BX130">
        <v>47</v>
      </c>
      <c r="BY130">
        <v>74</v>
      </c>
      <c r="BZ130">
        <v>22170</v>
      </c>
      <c r="CA130">
        <v>2013</v>
      </c>
    </row>
    <row r="131" spans="1:79" x14ac:dyDescent="0.3">
      <c r="A131" s="155">
        <v>531</v>
      </c>
      <c r="B131" t="s">
        <v>260</v>
      </c>
      <c r="D131">
        <v>0</v>
      </c>
      <c r="E131">
        <v>0</v>
      </c>
      <c r="F131">
        <v>0</v>
      </c>
      <c r="G131">
        <v>0</v>
      </c>
      <c r="H131">
        <v>0</v>
      </c>
      <c r="I131">
        <v>0</v>
      </c>
      <c r="J131">
        <v>0</v>
      </c>
      <c r="K131">
        <v>0</v>
      </c>
      <c r="L131">
        <v>0</v>
      </c>
      <c r="M131">
        <v>0</v>
      </c>
      <c r="N131">
        <v>0</v>
      </c>
      <c r="P131">
        <v>0</v>
      </c>
      <c r="Q131">
        <v>0</v>
      </c>
      <c r="R131">
        <v>0</v>
      </c>
      <c r="S131">
        <v>0</v>
      </c>
      <c r="T131">
        <v>860</v>
      </c>
      <c r="U131">
        <v>0</v>
      </c>
      <c r="V131">
        <v>0</v>
      </c>
      <c r="W131">
        <v>0</v>
      </c>
      <c r="X131">
        <v>2561</v>
      </c>
      <c r="Y131">
        <v>0</v>
      </c>
      <c r="Z131">
        <v>0</v>
      </c>
      <c r="AA131">
        <v>0</v>
      </c>
      <c r="AB131">
        <v>0</v>
      </c>
      <c r="AC131">
        <v>0</v>
      </c>
      <c r="AD131">
        <v>0</v>
      </c>
      <c r="AE131">
        <v>1114</v>
      </c>
      <c r="AF131">
        <v>0</v>
      </c>
      <c r="AG131">
        <v>0</v>
      </c>
      <c r="AH131">
        <v>0</v>
      </c>
      <c r="AI131">
        <v>0</v>
      </c>
      <c r="AJ131">
        <v>0</v>
      </c>
      <c r="AK131">
        <v>186</v>
      </c>
      <c r="AL131">
        <v>0</v>
      </c>
      <c r="AM131">
        <v>0</v>
      </c>
      <c r="AN131">
        <v>0</v>
      </c>
      <c r="AP131">
        <v>0</v>
      </c>
      <c r="AQ131">
        <v>0</v>
      </c>
      <c r="AR131">
        <v>0</v>
      </c>
      <c r="AS131">
        <v>0</v>
      </c>
      <c r="AT131">
        <v>0</v>
      </c>
      <c r="AU131">
        <v>0</v>
      </c>
      <c r="AV131">
        <v>0</v>
      </c>
      <c r="AX131">
        <v>481</v>
      </c>
      <c r="AY131">
        <v>0</v>
      </c>
      <c r="AZ131">
        <v>0</v>
      </c>
      <c r="BA131">
        <v>0</v>
      </c>
      <c r="BB131">
        <v>0</v>
      </c>
      <c r="BC131">
        <v>0</v>
      </c>
      <c r="BD131">
        <v>0</v>
      </c>
      <c r="BE131">
        <v>0</v>
      </c>
      <c r="BH131">
        <v>0</v>
      </c>
      <c r="BI131">
        <v>125</v>
      </c>
      <c r="BJ131">
        <v>0</v>
      </c>
      <c r="BK131">
        <v>0</v>
      </c>
      <c r="BL131">
        <v>0</v>
      </c>
      <c r="BM131">
        <v>0</v>
      </c>
      <c r="BN131">
        <v>0</v>
      </c>
      <c r="BO131">
        <v>0</v>
      </c>
      <c r="BP131">
        <v>0</v>
      </c>
      <c r="BQ131">
        <v>0</v>
      </c>
      <c r="BR131">
        <v>0</v>
      </c>
      <c r="BS131">
        <v>0</v>
      </c>
      <c r="BT131">
        <v>1619</v>
      </c>
      <c r="BU131">
        <v>0</v>
      </c>
      <c r="BV131">
        <v>0</v>
      </c>
      <c r="BW131">
        <v>0</v>
      </c>
      <c r="BX131">
        <v>0</v>
      </c>
      <c r="BY131">
        <v>0</v>
      </c>
      <c r="BZ131">
        <v>8023</v>
      </c>
      <c r="CA131">
        <v>0</v>
      </c>
    </row>
    <row r="132" spans="1:79" x14ac:dyDescent="0.3">
      <c r="A132" s="155">
        <v>532</v>
      </c>
      <c r="B132" t="s">
        <v>887</v>
      </c>
      <c r="D132">
        <v>2366377</v>
      </c>
      <c r="E132">
        <v>14861442</v>
      </c>
      <c r="F132">
        <v>325125</v>
      </c>
      <c r="G132">
        <v>46501677</v>
      </c>
      <c r="H132">
        <v>5347081</v>
      </c>
      <c r="I132">
        <v>327825</v>
      </c>
      <c r="J132">
        <v>1531626</v>
      </c>
      <c r="K132">
        <v>2151209</v>
      </c>
      <c r="L132">
        <v>55758578</v>
      </c>
      <c r="M132">
        <v>117974</v>
      </c>
      <c r="N132">
        <v>996559</v>
      </c>
      <c r="P132">
        <v>33032377</v>
      </c>
      <c r="Q132">
        <v>21809012</v>
      </c>
      <c r="R132">
        <v>7703117</v>
      </c>
      <c r="S132">
        <v>15988285</v>
      </c>
      <c r="T132">
        <v>120535</v>
      </c>
      <c r="U132">
        <v>21076203</v>
      </c>
      <c r="V132">
        <v>39102</v>
      </c>
      <c r="W132">
        <v>9826279</v>
      </c>
      <c r="X132">
        <v>25519105</v>
      </c>
      <c r="Y132">
        <v>7174720</v>
      </c>
      <c r="Z132">
        <v>1735072</v>
      </c>
      <c r="AA132">
        <v>7671748</v>
      </c>
      <c r="AB132">
        <v>1305966</v>
      </c>
      <c r="AC132">
        <v>343294</v>
      </c>
      <c r="AD132">
        <v>1284178</v>
      </c>
      <c r="AE132">
        <v>3891729</v>
      </c>
      <c r="AF132">
        <v>164684</v>
      </c>
      <c r="AG132">
        <v>59360</v>
      </c>
      <c r="AH132">
        <v>111396</v>
      </c>
      <c r="AI132">
        <v>3429575</v>
      </c>
      <c r="AJ132">
        <v>8766370</v>
      </c>
      <c r="AK132">
        <v>432049</v>
      </c>
      <c r="AL132">
        <v>27311</v>
      </c>
      <c r="AM132">
        <v>23673023</v>
      </c>
      <c r="AN132">
        <v>18458847</v>
      </c>
      <c r="AP132">
        <v>4575551</v>
      </c>
      <c r="AQ132">
        <v>26674116</v>
      </c>
      <c r="AR132">
        <v>4133353</v>
      </c>
      <c r="AS132">
        <v>707623</v>
      </c>
      <c r="AT132">
        <v>5194662</v>
      </c>
      <c r="AU132">
        <v>13715882</v>
      </c>
      <c r="AV132">
        <v>119936</v>
      </c>
      <c r="AX132">
        <v>4994130</v>
      </c>
      <c r="AY132">
        <v>4573344</v>
      </c>
      <c r="AZ132">
        <v>4546337</v>
      </c>
      <c r="BA132">
        <v>51201</v>
      </c>
      <c r="BB132">
        <v>2817720</v>
      </c>
      <c r="BC132">
        <v>688597</v>
      </c>
      <c r="BD132">
        <v>74524</v>
      </c>
      <c r="BE132">
        <v>27658962</v>
      </c>
      <c r="BH132">
        <v>3573030</v>
      </c>
      <c r="BI132">
        <v>2643933</v>
      </c>
      <c r="BJ132">
        <v>714789</v>
      </c>
      <c r="BK132">
        <v>11138944</v>
      </c>
      <c r="BL132">
        <v>5219744</v>
      </c>
      <c r="BM132">
        <v>32081</v>
      </c>
      <c r="BN132">
        <v>7814230</v>
      </c>
      <c r="BO132">
        <v>2068894</v>
      </c>
      <c r="BP132">
        <v>1054719</v>
      </c>
      <c r="BQ132">
        <v>2746936</v>
      </c>
      <c r="BR132">
        <v>1563854</v>
      </c>
      <c r="BS132">
        <v>27214534</v>
      </c>
      <c r="BT132">
        <v>2261323</v>
      </c>
      <c r="BU132">
        <v>3213649</v>
      </c>
      <c r="BV132">
        <v>915482</v>
      </c>
      <c r="BW132">
        <v>843313</v>
      </c>
      <c r="BX132">
        <v>22280</v>
      </c>
      <c r="BY132">
        <v>44298</v>
      </c>
      <c r="BZ132">
        <v>21397641</v>
      </c>
      <c r="CA132">
        <v>67913</v>
      </c>
    </row>
    <row r="133" spans="1:79" x14ac:dyDescent="0.3">
      <c r="A133" s="155">
        <v>533</v>
      </c>
      <c r="B133" t="s">
        <v>888</v>
      </c>
      <c r="D133">
        <v>101581</v>
      </c>
      <c r="E133">
        <v>0</v>
      </c>
      <c r="F133">
        <v>0</v>
      </c>
      <c r="G133">
        <v>1256582</v>
      </c>
      <c r="H133">
        <v>0</v>
      </c>
      <c r="I133">
        <v>0</v>
      </c>
      <c r="J133">
        <v>0</v>
      </c>
      <c r="K133">
        <v>0</v>
      </c>
      <c r="L133">
        <v>0</v>
      </c>
      <c r="M133">
        <v>0</v>
      </c>
      <c r="N133">
        <v>0</v>
      </c>
      <c r="P133">
        <v>4677972</v>
      </c>
      <c r="Q133">
        <v>1648463</v>
      </c>
      <c r="R133">
        <v>179000</v>
      </c>
      <c r="S133">
        <v>18562</v>
      </c>
      <c r="T133">
        <v>0</v>
      </c>
      <c r="U133">
        <v>95081</v>
      </c>
      <c r="V133">
        <v>0</v>
      </c>
      <c r="W133">
        <v>0</v>
      </c>
      <c r="X133">
        <v>5217000</v>
      </c>
      <c r="Y133">
        <v>219000</v>
      </c>
      <c r="Z133">
        <v>0</v>
      </c>
      <c r="AA133">
        <v>389006</v>
      </c>
      <c r="AB133">
        <v>0</v>
      </c>
      <c r="AC133">
        <v>0</v>
      </c>
      <c r="AD133">
        <v>0</v>
      </c>
      <c r="AE133">
        <v>42091</v>
      </c>
      <c r="AF133">
        <v>0</v>
      </c>
      <c r="AG133">
        <v>0</v>
      </c>
      <c r="AH133">
        <v>0</v>
      </c>
      <c r="AI133">
        <v>45888</v>
      </c>
      <c r="AJ133">
        <v>450087</v>
      </c>
      <c r="AK133">
        <v>0</v>
      </c>
      <c r="AL133">
        <v>0</v>
      </c>
      <c r="AM133">
        <v>1400000</v>
      </c>
      <c r="AN133">
        <v>0</v>
      </c>
      <c r="AP133">
        <v>0</v>
      </c>
      <c r="AQ133">
        <v>149591</v>
      </c>
      <c r="AR133">
        <v>500000</v>
      </c>
      <c r="AS133">
        <v>0</v>
      </c>
      <c r="AT133">
        <v>325000</v>
      </c>
      <c r="AU133">
        <v>0</v>
      </c>
      <c r="AV133">
        <v>0</v>
      </c>
      <c r="AX133">
        <v>0</v>
      </c>
      <c r="AY133">
        <v>301809</v>
      </c>
      <c r="AZ133">
        <v>0</v>
      </c>
      <c r="BA133">
        <v>0</v>
      </c>
      <c r="BB133">
        <v>0</v>
      </c>
      <c r="BC133">
        <v>0</v>
      </c>
      <c r="BD133">
        <v>0</v>
      </c>
      <c r="BE133">
        <v>719482</v>
      </c>
      <c r="BH133">
        <v>0</v>
      </c>
      <c r="BI133">
        <v>9056</v>
      </c>
      <c r="BJ133">
        <v>0</v>
      </c>
      <c r="BK133">
        <v>0</v>
      </c>
      <c r="BL133">
        <v>0</v>
      </c>
      <c r="BM133">
        <v>0</v>
      </c>
      <c r="BN133">
        <v>283000</v>
      </c>
      <c r="BO133">
        <v>0</v>
      </c>
      <c r="BP133">
        <v>0</v>
      </c>
      <c r="BQ133">
        <v>1250000</v>
      </c>
      <c r="BR133">
        <v>0</v>
      </c>
      <c r="BS133">
        <v>1886124</v>
      </c>
      <c r="BT133">
        <v>0</v>
      </c>
      <c r="BU133">
        <v>168822</v>
      </c>
      <c r="BV133">
        <v>0</v>
      </c>
      <c r="BW133">
        <v>0</v>
      </c>
      <c r="BX133">
        <v>0</v>
      </c>
      <c r="BY133">
        <v>0</v>
      </c>
      <c r="BZ133">
        <v>1365000</v>
      </c>
      <c r="CA133">
        <v>0</v>
      </c>
    </row>
    <row r="134" spans="1:79" x14ac:dyDescent="0.3">
      <c r="A134" s="155">
        <v>535</v>
      </c>
      <c r="B134" t="s">
        <v>244</v>
      </c>
      <c r="D134">
        <v>0</v>
      </c>
      <c r="E134">
        <v>8859942</v>
      </c>
      <c r="F134">
        <v>0</v>
      </c>
      <c r="G134">
        <v>6719316</v>
      </c>
      <c r="H134">
        <v>0</v>
      </c>
      <c r="I134">
        <v>0</v>
      </c>
      <c r="J134">
        <v>0</v>
      </c>
      <c r="K134">
        <v>0</v>
      </c>
      <c r="L134">
        <v>5652856</v>
      </c>
      <c r="M134">
        <v>0</v>
      </c>
      <c r="N134">
        <v>0</v>
      </c>
      <c r="P134">
        <v>2221598</v>
      </c>
      <c r="Q134">
        <v>5504870</v>
      </c>
      <c r="R134">
        <v>0</v>
      </c>
      <c r="S134">
        <v>334291</v>
      </c>
      <c r="T134">
        <v>0</v>
      </c>
      <c r="U134">
        <v>0</v>
      </c>
      <c r="V134">
        <v>0</v>
      </c>
      <c r="W134">
        <v>5020429</v>
      </c>
      <c r="X134">
        <v>0</v>
      </c>
      <c r="Y134">
        <v>0</v>
      </c>
      <c r="Z134">
        <v>0</v>
      </c>
      <c r="AA134">
        <v>2752</v>
      </c>
      <c r="AB134">
        <v>0</v>
      </c>
      <c r="AC134">
        <v>0</v>
      </c>
      <c r="AD134">
        <v>0</v>
      </c>
      <c r="AE134">
        <v>0</v>
      </c>
      <c r="AF134">
        <v>0</v>
      </c>
      <c r="AG134">
        <v>0</v>
      </c>
      <c r="AH134">
        <v>0</v>
      </c>
      <c r="AI134">
        <v>0</v>
      </c>
      <c r="AJ134">
        <v>0</v>
      </c>
      <c r="AK134">
        <v>0</v>
      </c>
      <c r="AL134">
        <v>0</v>
      </c>
      <c r="AM134">
        <v>0</v>
      </c>
      <c r="AN134">
        <v>0</v>
      </c>
      <c r="AP134">
        <v>0</v>
      </c>
      <c r="AQ134">
        <v>16800926</v>
      </c>
      <c r="AR134">
        <v>0</v>
      </c>
      <c r="AS134">
        <v>0</v>
      </c>
      <c r="AT134">
        <v>0</v>
      </c>
      <c r="AU134">
        <v>0</v>
      </c>
      <c r="AV134">
        <v>0</v>
      </c>
      <c r="AX134">
        <v>0</v>
      </c>
      <c r="AY134">
        <v>0</v>
      </c>
      <c r="AZ134">
        <v>564046</v>
      </c>
      <c r="BA134">
        <v>0</v>
      </c>
      <c r="BB134">
        <v>0</v>
      </c>
      <c r="BC134">
        <v>0</v>
      </c>
      <c r="BD134">
        <v>0</v>
      </c>
      <c r="BE134">
        <v>0</v>
      </c>
      <c r="BH134">
        <v>0</v>
      </c>
      <c r="BI134">
        <v>0</v>
      </c>
      <c r="BJ134">
        <v>0</v>
      </c>
      <c r="BK134">
        <v>0</v>
      </c>
      <c r="BL134">
        <v>0</v>
      </c>
      <c r="BM134">
        <v>0</v>
      </c>
      <c r="BN134">
        <v>350097</v>
      </c>
      <c r="BO134">
        <v>0</v>
      </c>
      <c r="BP134">
        <v>0</v>
      </c>
      <c r="BQ134">
        <v>0</v>
      </c>
      <c r="BR134">
        <v>0</v>
      </c>
      <c r="BS134">
        <v>0</v>
      </c>
      <c r="BT134">
        <v>1</v>
      </c>
      <c r="BU134">
        <v>0</v>
      </c>
      <c r="BV134">
        <v>0</v>
      </c>
      <c r="BW134">
        <v>0</v>
      </c>
      <c r="BX134">
        <v>0</v>
      </c>
      <c r="BY134">
        <v>0</v>
      </c>
      <c r="BZ134">
        <v>0</v>
      </c>
      <c r="CA134">
        <v>0</v>
      </c>
    </row>
    <row r="135" spans="1:79" x14ac:dyDescent="0.3">
      <c r="A135" s="155">
        <v>536</v>
      </c>
      <c r="B135" t="s">
        <v>190</v>
      </c>
      <c r="D135">
        <v>0</v>
      </c>
      <c r="E135">
        <v>2703453</v>
      </c>
      <c r="F135">
        <v>40661</v>
      </c>
      <c r="G135">
        <v>5103243</v>
      </c>
      <c r="H135">
        <v>375351</v>
      </c>
      <c r="I135">
        <v>123804</v>
      </c>
      <c r="J135">
        <v>71165</v>
      </c>
      <c r="K135">
        <v>40189</v>
      </c>
      <c r="L135">
        <v>2476017</v>
      </c>
      <c r="M135">
        <v>37847</v>
      </c>
      <c r="N135">
        <v>49293</v>
      </c>
      <c r="P135">
        <v>2564259</v>
      </c>
      <c r="Q135">
        <v>4390746</v>
      </c>
      <c r="R135">
        <v>237045</v>
      </c>
      <c r="S135">
        <v>389382</v>
      </c>
      <c r="T135">
        <v>145770</v>
      </c>
      <c r="U135">
        <v>0</v>
      </c>
      <c r="V135">
        <v>106586</v>
      </c>
      <c r="W135">
        <v>3226864</v>
      </c>
      <c r="X135">
        <v>1348581</v>
      </c>
      <c r="Y135">
        <v>154410</v>
      </c>
      <c r="Z135">
        <v>286580</v>
      </c>
      <c r="AA135">
        <v>3668</v>
      </c>
      <c r="AB135">
        <v>229754</v>
      </c>
      <c r="AC135">
        <v>59</v>
      </c>
      <c r="AD135">
        <v>152622</v>
      </c>
      <c r="AE135">
        <v>500958</v>
      </c>
      <c r="AF135">
        <v>18441</v>
      </c>
      <c r="AG135">
        <v>9304</v>
      </c>
      <c r="AH135">
        <v>91570</v>
      </c>
      <c r="AI135">
        <v>90964</v>
      </c>
      <c r="AJ135">
        <v>130344</v>
      </c>
      <c r="AK135">
        <v>106419</v>
      </c>
      <c r="AL135">
        <v>0</v>
      </c>
      <c r="AM135">
        <v>4992881</v>
      </c>
      <c r="AN135">
        <v>0</v>
      </c>
      <c r="AP135">
        <v>710652</v>
      </c>
      <c r="AQ135">
        <v>102075</v>
      </c>
      <c r="AR135">
        <v>227603</v>
      </c>
      <c r="AS135">
        <v>18894</v>
      </c>
      <c r="AT135">
        <v>215607</v>
      </c>
      <c r="AU135">
        <v>318599</v>
      </c>
      <c r="AV135">
        <v>8965</v>
      </c>
      <c r="AX135">
        <v>2330736</v>
      </c>
      <c r="AY135">
        <v>587423</v>
      </c>
      <c r="AZ135">
        <v>148703</v>
      </c>
      <c r="BA135">
        <v>31687</v>
      </c>
      <c r="BB135">
        <v>526424</v>
      </c>
      <c r="BC135">
        <v>263638</v>
      </c>
      <c r="BD135">
        <v>15239</v>
      </c>
      <c r="BE135">
        <v>373495</v>
      </c>
      <c r="BH135">
        <v>0</v>
      </c>
      <c r="BI135">
        <v>69163</v>
      </c>
      <c r="BJ135">
        <v>126035</v>
      </c>
      <c r="BK135">
        <v>290271</v>
      </c>
      <c r="BL135">
        <v>104031</v>
      </c>
      <c r="BM135">
        <v>15750</v>
      </c>
      <c r="BN135">
        <v>603435</v>
      </c>
      <c r="BO135">
        <v>444915</v>
      </c>
      <c r="BP135">
        <v>181693</v>
      </c>
      <c r="BQ135">
        <v>161448</v>
      </c>
      <c r="BR135">
        <v>229394</v>
      </c>
      <c r="BS135">
        <v>901864</v>
      </c>
      <c r="BT135">
        <v>79766</v>
      </c>
      <c r="BU135">
        <v>1540715</v>
      </c>
      <c r="BV135">
        <v>0</v>
      </c>
      <c r="BW135">
        <v>81441</v>
      </c>
      <c r="BX135">
        <v>20429</v>
      </c>
      <c r="BY135">
        <v>22370</v>
      </c>
      <c r="BZ135">
        <v>2117885</v>
      </c>
      <c r="CA135">
        <v>44280</v>
      </c>
    </row>
    <row r="136" spans="1:79" x14ac:dyDescent="0.3">
      <c r="A136" s="155">
        <v>537</v>
      </c>
      <c r="B136" t="s">
        <v>280</v>
      </c>
      <c r="D136">
        <v>0</v>
      </c>
      <c r="E136">
        <v>0</v>
      </c>
      <c r="F136">
        <v>1</v>
      </c>
      <c r="G136">
        <v>1</v>
      </c>
      <c r="H136">
        <v>1</v>
      </c>
      <c r="I136">
        <v>2</v>
      </c>
      <c r="J136">
        <v>2</v>
      </c>
      <c r="K136">
        <v>2</v>
      </c>
      <c r="L136">
        <v>2</v>
      </c>
      <c r="M136">
        <v>0</v>
      </c>
      <c r="N136">
        <v>1</v>
      </c>
      <c r="P136">
        <v>0</v>
      </c>
      <c r="Q136">
        <v>1</v>
      </c>
      <c r="R136">
        <v>2</v>
      </c>
      <c r="S136">
        <v>2</v>
      </c>
      <c r="T136">
        <v>2</v>
      </c>
      <c r="U136">
        <v>1</v>
      </c>
      <c r="V136">
        <v>0</v>
      </c>
      <c r="W136">
        <v>0</v>
      </c>
      <c r="X136">
        <v>2</v>
      </c>
      <c r="Y136">
        <v>2</v>
      </c>
      <c r="Z136">
        <v>1</v>
      </c>
      <c r="AA136">
        <v>2</v>
      </c>
      <c r="AB136">
        <v>0</v>
      </c>
      <c r="AC136">
        <v>2</v>
      </c>
      <c r="AD136">
        <v>2</v>
      </c>
      <c r="AE136">
        <v>2</v>
      </c>
      <c r="AF136">
        <v>1</v>
      </c>
      <c r="AG136">
        <v>0</v>
      </c>
      <c r="AH136">
        <v>0</v>
      </c>
      <c r="AI136">
        <v>2</v>
      </c>
      <c r="AJ136">
        <v>2</v>
      </c>
      <c r="AK136">
        <v>2</v>
      </c>
      <c r="AL136">
        <v>0</v>
      </c>
      <c r="AM136">
        <v>0</v>
      </c>
      <c r="AN136">
        <v>2</v>
      </c>
      <c r="AP136">
        <v>0</v>
      </c>
      <c r="AQ136">
        <v>1</v>
      </c>
      <c r="AR136">
        <v>2</v>
      </c>
      <c r="AS136">
        <v>1</v>
      </c>
      <c r="AT136">
        <v>2</v>
      </c>
      <c r="AU136">
        <v>2</v>
      </c>
      <c r="AV136">
        <v>2</v>
      </c>
      <c r="AX136">
        <v>2</v>
      </c>
      <c r="AY136">
        <v>1</v>
      </c>
      <c r="AZ136">
        <v>1</v>
      </c>
      <c r="BA136">
        <v>2</v>
      </c>
      <c r="BB136">
        <v>1</v>
      </c>
      <c r="BC136">
        <v>1</v>
      </c>
      <c r="BD136">
        <v>2</v>
      </c>
      <c r="BE136">
        <v>1</v>
      </c>
      <c r="BH136">
        <v>2</v>
      </c>
      <c r="BI136">
        <v>1</v>
      </c>
      <c r="BJ136">
        <v>2</v>
      </c>
      <c r="BK136">
        <v>1</v>
      </c>
      <c r="BL136">
        <v>2</v>
      </c>
      <c r="BM136">
        <v>0</v>
      </c>
      <c r="BN136">
        <v>1</v>
      </c>
      <c r="BO136">
        <v>1</v>
      </c>
      <c r="BP136">
        <v>1</v>
      </c>
      <c r="BQ136">
        <v>2</v>
      </c>
      <c r="BR136">
        <v>0</v>
      </c>
      <c r="BS136">
        <v>2</v>
      </c>
      <c r="BT136">
        <v>1</v>
      </c>
      <c r="BU136">
        <v>1</v>
      </c>
      <c r="BV136">
        <v>2</v>
      </c>
      <c r="BW136">
        <v>1</v>
      </c>
      <c r="BX136">
        <v>0</v>
      </c>
      <c r="BY136">
        <v>0</v>
      </c>
      <c r="BZ136">
        <v>1</v>
      </c>
      <c r="CA136">
        <v>0</v>
      </c>
    </row>
    <row r="137" spans="1:79" x14ac:dyDescent="0.3">
      <c r="A137" s="155">
        <v>538</v>
      </c>
      <c r="B137" t="s">
        <v>279</v>
      </c>
      <c r="D137">
        <v>0</v>
      </c>
      <c r="E137">
        <v>0</v>
      </c>
      <c r="F137">
        <v>2</v>
      </c>
      <c r="G137">
        <v>1</v>
      </c>
      <c r="H137">
        <v>1</v>
      </c>
      <c r="I137">
        <v>1</v>
      </c>
      <c r="J137">
        <v>1</v>
      </c>
      <c r="K137">
        <v>2</v>
      </c>
      <c r="L137">
        <v>2</v>
      </c>
      <c r="M137">
        <v>0</v>
      </c>
      <c r="N137">
        <v>1</v>
      </c>
      <c r="P137">
        <v>0</v>
      </c>
      <c r="Q137">
        <v>1</v>
      </c>
      <c r="R137">
        <v>2</v>
      </c>
      <c r="S137">
        <v>2</v>
      </c>
      <c r="T137">
        <v>2</v>
      </c>
      <c r="U137">
        <v>2</v>
      </c>
      <c r="V137">
        <v>0</v>
      </c>
      <c r="W137">
        <v>0</v>
      </c>
      <c r="X137">
        <v>2</v>
      </c>
      <c r="Y137">
        <v>2</v>
      </c>
      <c r="Z137">
        <v>2</v>
      </c>
      <c r="AA137">
        <v>2</v>
      </c>
      <c r="AB137">
        <v>0</v>
      </c>
      <c r="AC137">
        <v>2</v>
      </c>
      <c r="AD137">
        <v>2</v>
      </c>
      <c r="AE137">
        <v>2</v>
      </c>
      <c r="AF137">
        <v>1</v>
      </c>
      <c r="AG137">
        <v>0</v>
      </c>
      <c r="AH137">
        <v>0</v>
      </c>
      <c r="AI137">
        <v>2</v>
      </c>
      <c r="AJ137">
        <v>2</v>
      </c>
      <c r="AK137">
        <v>1</v>
      </c>
      <c r="AL137">
        <v>0</v>
      </c>
      <c r="AM137">
        <v>0</v>
      </c>
      <c r="AN137">
        <v>2</v>
      </c>
      <c r="AP137">
        <v>0</v>
      </c>
      <c r="AQ137">
        <v>1</v>
      </c>
      <c r="AR137">
        <v>2</v>
      </c>
      <c r="AS137">
        <v>1</v>
      </c>
      <c r="AT137">
        <v>2</v>
      </c>
      <c r="AU137">
        <v>2</v>
      </c>
      <c r="AV137">
        <v>2</v>
      </c>
      <c r="AX137">
        <v>2</v>
      </c>
      <c r="AY137">
        <v>1</v>
      </c>
      <c r="AZ137">
        <v>2</v>
      </c>
      <c r="BA137">
        <v>2</v>
      </c>
      <c r="BB137">
        <v>1</v>
      </c>
      <c r="BC137">
        <v>2</v>
      </c>
      <c r="BD137">
        <v>2</v>
      </c>
      <c r="BE137">
        <v>2</v>
      </c>
      <c r="BH137">
        <v>2</v>
      </c>
      <c r="BI137">
        <v>1</v>
      </c>
      <c r="BJ137">
        <v>2</v>
      </c>
      <c r="BK137">
        <v>1</v>
      </c>
      <c r="BL137">
        <v>2</v>
      </c>
      <c r="BM137">
        <v>0</v>
      </c>
      <c r="BN137">
        <v>1</v>
      </c>
      <c r="BO137">
        <v>1</v>
      </c>
      <c r="BP137">
        <v>1</v>
      </c>
      <c r="BQ137">
        <v>2</v>
      </c>
      <c r="BR137">
        <v>0</v>
      </c>
      <c r="BS137">
        <v>2</v>
      </c>
      <c r="BT137">
        <v>2</v>
      </c>
      <c r="BU137">
        <v>1</v>
      </c>
      <c r="BV137">
        <v>2</v>
      </c>
      <c r="BW137">
        <v>2</v>
      </c>
      <c r="BX137">
        <v>0</v>
      </c>
      <c r="BY137">
        <v>0</v>
      </c>
      <c r="BZ137">
        <v>1</v>
      </c>
      <c r="CA137">
        <v>0</v>
      </c>
    </row>
    <row r="138" spans="1:79" x14ac:dyDescent="0.3">
      <c r="A138" s="155">
        <v>540</v>
      </c>
      <c r="B138" t="s">
        <v>253</v>
      </c>
      <c r="D138">
        <v>0</v>
      </c>
      <c r="E138">
        <v>396081</v>
      </c>
      <c r="F138">
        <v>0</v>
      </c>
      <c r="G138">
        <v>3548030</v>
      </c>
      <c r="H138">
        <v>740448</v>
      </c>
      <c r="I138">
        <v>15890</v>
      </c>
      <c r="J138">
        <v>484117</v>
      </c>
      <c r="K138">
        <v>0</v>
      </c>
      <c r="L138">
        <v>0</v>
      </c>
      <c r="M138">
        <v>51540</v>
      </c>
      <c r="N138">
        <v>0</v>
      </c>
      <c r="P138">
        <v>0</v>
      </c>
      <c r="Q138">
        <v>2254309</v>
      </c>
      <c r="R138">
        <v>0</v>
      </c>
      <c r="S138">
        <v>0</v>
      </c>
      <c r="T138">
        <v>0</v>
      </c>
      <c r="U138">
        <v>1878109</v>
      </c>
      <c r="V138">
        <v>12600</v>
      </c>
      <c r="W138">
        <v>0</v>
      </c>
      <c r="X138">
        <v>333000</v>
      </c>
      <c r="Y138">
        <v>0</v>
      </c>
      <c r="Z138">
        <v>0</v>
      </c>
      <c r="AA138">
        <v>0</v>
      </c>
      <c r="AB138">
        <v>0</v>
      </c>
      <c r="AC138">
        <v>0</v>
      </c>
      <c r="AD138">
        <v>113486</v>
      </c>
      <c r="AE138">
        <v>415300</v>
      </c>
      <c r="AF138">
        <v>0</v>
      </c>
      <c r="AG138">
        <v>18601</v>
      </c>
      <c r="AH138">
        <v>0</v>
      </c>
      <c r="AI138">
        <v>290218</v>
      </c>
      <c r="AJ138">
        <v>521128</v>
      </c>
      <c r="AK138">
        <v>0</v>
      </c>
      <c r="AL138">
        <v>0</v>
      </c>
      <c r="AM138">
        <v>0</v>
      </c>
      <c r="AN138">
        <v>0</v>
      </c>
      <c r="AP138">
        <v>1205260</v>
      </c>
      <c r="AQ138">
        <v>2453719</v>
      </c>
      <c r="AR138">
        <v>0</v>
      </c>
      <c r="AS138">
        <v>0</v>
      </c>
      <c r="AT138">
        <v>0</v>
      </c>
      <c r="AU138">
        <v>0</v>
      </c>
      <c r="AV138">
        <v>0</v>
      </c>
      <c r="AX138">
        <v>0</v>
      </c>
      <c r="AY138">
        <v>0</v>
      </c>
      <c r="AZ138">
        <v>0</v>
      </c>
      <c r="BA138">
        <v>0</v>
      </c>
      <c r="BB138">
        <v>0</v>
      </c>
      <c r="BC138">
        <v>49400</v>
      </c>
      <c r="BD138">
        <v>68385</v>
      </c>
      <c r="BE138">
        <v>0</v>
      </c>
      <c r="BH138">
        <v>120000</v>
      </c>
      <c r="BI138">
        <v>0</v>
      </c>
      <c r="BJ138">
        <v>0</v>
      </c>
      <c r="BK138">
        <v>0</v>
      </c>
      <c r="BL138">
        <v>0</v>
      </c>
      <c r="BM138">
        <v>0</v>
      </c>
      <c r="BN138">
        <v>622397</v>
      </c>
      <c r="BO138">
        <v>495997</v>
      </c>
      <c r="BP138">
        <v>241741</v>
      </c>
      <c r="BQ138">
        <v>726107</v>
      </c>
      <c r="BR138">
        <v>0</v>
      </c>
      <c r="BS138">
        <v>322860</v>
      </c>
      <c r="BT138">
        <v>750000</v>
      </c>
      <c r="BU138">
        <v>0</v>
      </c>
      <c r="BV138">
        <v>0</v>
      </c>
      <c r="BW138">
        <v>0</v>
      </c>
      <c r="BX138">
        <v>0</v>
      </c>
      <c r="BY138">
        <v>0</v>
      </c>
      <c r="BZ138">
        <v>2165385</v>
      </c>
      <c r="CA138">
        <v>0</v>
      </c>
    </row>
    <row r="139" spans="1:79" x14ac:dyDescent="0.3">
      <c r="A139" s="155">
        <v>541</v>
      </c>
      <c r="B139" t="s">
        <v>308</v>
      </c>
      <c r="D139">
        <v>0</v>
      </c>
      <c r="E139">
        <v>0</v>
      </c>
      <c r="F139">
        <v>45420</v>
      </c>
      <c r="G139">
        <v>6799908</v>
      </c>
      <c r="H139">
        <v>645075</v>
      </c>
      <c r="I139">
        <v>166291</v>
      </c>
      <c r="J139">
        <v>77174</v>
      </c>
      <c r="K139">
        <v>44476</v>
      </c>
      <c r="L139">
        <v>7073401</v>
      </c>
      <c r="M139">
        <v>0</v>
      </c>
      <c r="N139">
        <v>-61731</v>
      </c>
      <c r="P139">
        <v>0</v>
      </c>
      <c r="Q139">
        <v>874000</v>
      </c>
      <c r="R139">
        <v>65667</v>
      </c>
      <c r="S139">
        <v>-10746</v>
      </c>
      <c r="T139">
        <v>196281</v>
      </c>
      <c r="U139">
        <v>2813604</v>
      </c>
      <c r="V139">
        <v>0</v>
      </c>
      <c r="W139">
        <v>0</v>
      </c>
      <c r="X139">
        <v>1980</v>
      </c>
      <c r="Y139">
        <v>401586</v>
      </c>
      <c r="Z139">
        <v>409372</v>
      </c>
      <c r="AA139">
        <v>-304986</v>
      </c>
      <c r="AB139">
        <v>0</v>
      </c>
      <c r="AC139">
        <v>37880</v>
      </c>
      <c r="AD139">
        <v>405308</v>
      </c>
      <c r="AE139">
        <v>492529</v>
      </c>
      <c r="AF139">
        <v>-4736</v>
      </c>
      <c r="AG139">
        <v>0</v>
      </c>
      <c r="AH139">
        <v>0</v>
      </c>
      <c r="AI139">
        <v>-920001</v>
      </c>
      <c r="AJ139">
        <v>-367838</v>
      </c>
      <c r="AK139">
        <v>-67848</v>
      </c>
      <c r="AL139">
        <v>0</v>
      </c>
      <c r="AM139">
        <v>0</v>
      </c>
      <c r="AN139">
        <v>1028850</v>
      </c>
      <c r="AP139">
        <v>0</v>
      </c>
      <c r="AQ139">
        <v>896581</v>
      </c>
      <c r="AR139">
        <v>88086</v>
      </c>
      <c r="AS139">
        <v>-39975</v>
      </c>
      <c r="AT139">
        <v>159259</v>
      </c>
      <c r="AU139">
        <v>916787</v>
      </c>
      <c r="AV139">
        <v>104820</v>
      </c>
      <c r="AX139">
        <v>1428163</v>
      </c>
      <c r="AY139">
        <v>92873</v>
      </c>
      <c r="AZ139">
        <v>250247</v>
      </c>
      <c r="BA139">
        <v>-4335</v>
      </c>
      <c r="BB139">
        <v>-373</v>
      </c>
      <c r="BC139">
        <v>-41133</v>
      </c>
      <c r="BD139">
        <v>0</v>
      </c>
      <c r="BE139">
        <v>350581</v>
      </c>
      <c r="BH139">
        <v>-245408</v>
      </c>
      <c r="BI139">
        <v>326110</v>
      </c>
      <c r="BJ139">
        <v>0</v>
      </c>
      <c r="BK139">
        <v>-55057</v>
      </c>
      <c r="BL139">
        <v>84546</v>
      </c>
      <c r="BM139">
        <v>0</v>
      </c>
      <c r="BN139">
        <v>-188335</v>
      </c>
      <c r="BO139">
        <v>69415</v>
      </c>
      <c r="BP139">
        <v>231580</v>
      </c>
      <c r="BQ139">
        <v>-526920</v>
      </c>
      <c r="BR139">
        <v>0</v>
      </c>
      <c r="BS139">
        <v>0</v>
      </c>
      <c r="BT139">
        <v>-125141</v>
      </c>
      <c r="BU139">
        <v>584283</v>
      </c>
      <c r="BV139">
        <v>40130</v>
      </c>
      <c r="BW139">
        <v>245953</v>
      </c>
      <c r="BX139">
        <v>0</v>
      </c>
      <c r="BY139">
        <v>0</v>
      </c>
      <c r="BZ139">
        <v>4139026</v>
      </c>
      <c r="CA139">
        <v>0</v>
      </c>
    </row>
    <row r="140" spans="1:79" x14ac:dyDescent="0.3">
      <c r="A140" s="155">
        <v>542</v>
      </c>
      <c r="B140" t="s">
        <v>889</v>
      </c>
      <c r="D140">
        <v>0</v>
      </c>
      <c r="E140">
        <v>0</v>
      </c>
      <c r="F140">
        <v>0</v>
      </c>
      <c r="G140">
        <v>2662492</v>
      </c>
      <c r="H140">
        <v>3684905</v>
      </c>
      <c r="I140">
        <v>32340</v>
      </c>
      <c r="J140">
        <v>209000</v>
      </c>
      <c r="K140">
        <v>0</v>
      </c>
      <c r="L140">
        <v>0</v>
      </c>
      <c r="M140">
        <v>0</v>
      </c>
      <c r="N140">
        <v>0</v>
      </c>
      <c r="P140">
        <v>0</v>
      </c>
      <c r="Q140">
        <v>17891</v>
      </c>
      <c r="R140">
        <v>0</v>
      </c>
      <c r="S140">
        <v>0</v>
      </c>
      <c r="T140">
        <v>0</v>
      </c>
      <c r="U140">
        <v>0</v>
      </c>
      <c r="V140">
        <v>0</v>
      </c>
      <c r="W140">
        <v>0</v>
      </c>
      <c r="X140">
        <v>0</v>
      </c>
      <c r="Y140">
        <v>0</v>
      </c>
      <c r="Z140">
        <v>0</v>
      </c>
      <c r="AA140">
        <v>0</v>
      </c>
      <c r="AB140">
        <v>0</v>
      </c>
      <c r="AC140">
        <v>0</v>
      </c>
      <c r="AD140">
        <v>0</v>
      </c>
      <c r="AE140">
        <v>0</v>
      </c>
      <c r="AF140">
        <v>9015</v>
      </c>
      <c r="AG140">
        <v>0</v>
      </c>
      <c r="AH140">
        <v>0</v>
      </c>
      <c r="AI140">
        <v>0</v>
      </c>
      <c r="AJ140">
        <v>0</v>
      </c>
      <c r="AK140">
        <v>0</v>
      </c>
      <c r="AL140">
        <v>0</v>
      </c>
      <c r="AM140">
        <v>0</v>
      </c>
      <c r="AN140">
        <v>0</v>
      </c>
      <c r="AP140">
        <v>0</v>
      </c>
      <c r="AQ140">
        <v>23405</v>
      </c>
      <c r="AR140">
        <v>0</v>
      </c>
      <c r="AS140">
        <v>0</v>
      </c>
      <c r="AT140">
        <v>0</v>
      </c>
      <c r="AU140">
        <v>0</v>
      </c>
      <c r="AV140">
        <v>0</v>
      </c>
      <c r="AX140">
        <v>0</v>
      </c>
      <c r="AY140">
        <v>0</v>
      </c>
      <c r="AZ140">
        <v>0</v>
      </c>
      <c r="BA140">
        <v>0</v>
      </c>
      <c r="BB140">
        <v>0</v>
      </c>
      <c r="BC140">
        <v>73100</v>
      </c>
      <c r="BD140">
        <v>0</v>
      </c>
      <c r="BE140">
        <v>0</v>
      </c>
      <c r="BH140">
        <v>0</v>
      </c>
      <c r="BI140">
        <v>0</v>
      </c>
      <c r="BJ140">
        <v>0</v>
      </c>
      <c r="BK140">
        <v>0</v>
      </c>
      <c r="BL140">
        <v>0</v>
      </c>
      <c r="BM140">
        <v>0</v>
      </c>
      <c r="BN140">
        <v>480254</v>
      </c>
      <c r="BO140">
        <v>40000</v>
      </c>
      <c r="BP140">
        <v>0</v>
      </c>
      <c r="BQ140">
        <v>0</v>
      </c>
      <c r="BR140">
        <v>0</v>
      </c>
      <c r="BS140">
        <v>0</v>
      </c>
      <c r="BT140">
        <v>0</v>
      </c>
      <c r="BU140">
        <v>0</v>
      </c>
      <c r="BV140">
        <v>0</v>
      </c>
      <c r="BW140">
        <v>0</v>
      </c>
      <c r="BX140">
        <v>0</v>
      </c>
      <c r="BY140">
        <v>0</v>
      </c>
      <c r="BZ140">
        <v>1180742</v>
      </c>
      <c r="CA140">
        <v>0</v>
      </c>
    </row>
    <row r="141" spans="1:79" x14ac:dyDescent="0.3">
      <c r="A141" s="155">
        <v>544</v>
      </c>
      <c r="B141" t="s">
        <v>52</v>
      </c>
      <c r="D141">
        <v>0</v>
      </c>
      <c r="E141">
        <v>0</v>
      </c>
      <c r="F141">
        <v>0</v>
      </c>
      <c r="G141">
        <v>0</v>
      </c>
      <c r="H141">
        <v>0</v>
      </c>
      <c r="I141">
        <v>0</v>
      </c>
      <c r="J141">
        <v>0</v>
      </c>
      <c r="K141">
        <v>0</v>
      </c>
      <c r="L141">
        <v>0</v>
      </c>
      <c r="M141">
        <v>0</v>
      </c>
      <c r="N141">
        <v>0</v>
      </c>
      <c r="P141">
        <v>0</v>
      </c>
      <c r="Q141">
        <v>0</v>
      </c>
      <c r="R141">
        <v>0</v>
      </c>
      <c r="S141">
        <v>0</v>
      </c>
      <c r="T141">
        <v>0</v>
      </c>
      <c r="U141">
        <v>0.04</v>
      </c>
      <c r="V141">
        <v>0</v>
      </c>
      <c r="W141">
        <v>0</v>
      </c>
      <c r="X141">
        <v>0</v>
      </c>
      <c r="Y141">
        <v>0</v>
      </c>
      <c r="Z141">
        <v>0</v>
      </c>
      <c r="AA141">
        <v>0.11</v>
      </c>
      <c r="AB141">
        <v>0</v>
      </c>
      <c r="AC141">
        <v>0</v>
      </c>
      <c r="AD141">
        <v>0</v>
      </c>
      <c r="AE141">
        <v>0</v>
      </c>
      <c r="AF141">
        <v>0.05</v>
      </c>
      <c r="AG141">
        <v>0</v>
      </c>
      <c r="AH141">
        <v>0</v>
      </c>
      <c r="AI141">
        <v>0</v>
      </c>
      <c r="AJ141">
        <v>0</v>
      </c>
      <c r="AK141">
        <v>0</v>
      </c>
      <c r="AL141">
        <v>0</v>
      </c>
      <c r="AM141">
        <v>0</v>
      </c>
      <c r="AN141">
        <v>0</v>
      </c>
      <c r="AP141">
        <v>0</v>
      </c>
      <c r="AQ141">
        <v>0</v>
      </c>
      <c r="AR141">
        <v>0</v>
      </c>
      <c r="AS141">
        <v>0</v>
      </c>
      <c r="AT141">
        <v>0</v>
      </c>
      <c r="AU141">
        <v>0</v>
      </c>
      <c r="AV141">
        <v>0</v>
      </c>
      <c r="AX141">
        <v>0</v>
      </c>
      <c r="AY141">
        <v>0</v>
      </c>
      <c r="AZ141">
        <v>0</v>
      </c>
      <c r="BA141">
        <v>0</v>
      </c>
      <c r="BB141">
        <v>0</v>
      </c>
      <c r="BC141">
        <v>0</v>
      </c>
      <c r="BD141">
        <v>0</v>
      </c>
      <c r="BE141">
        <v>0</v>
      </c>
      <c r="BH141">
        <v>0</v>
      </c>
      <c r="BI141">
        <v>0</v>
      </c>
      <c r="BJ141">
        <v>0</v>
      </c>
      <c r="BK141">
        <v>0</v>
      </c>
      <c r="BL141">
        <v>0</v>
      </c>
      <c r="BM141">
        <v>0</v>
      </c>
      <c r="BN141">
        <v>0</v>
      </c>
      <c r="BO141">
        <v>0</v>
      </c>
      <c r="BP141">
        <v>0</v>
      </c>
      <c r="BQ141">
        <v>0</v>
      </c>
      <c r="BR141">
        <v>0</v>
      </c>
      <c r="BS141">
        <v>1.4999999999999999E-2</v>
      </c>
      <c r="BT141">
        <v>0</v>
      </c>
      <c r="BU141">
        <v>0</v>
      </c>
      <c r="BV141">
        <v>0</v>
      </c>
      <c r="BW141">
        <v>0</v>
      </c>
      <c r="BX141">
        <v>0</v>
      </c>
      <c r="BY141">
        <v>0</v>
      </c>
      <c r="BZ141">
        <v>0</v>
      </c>
      <c r="CA141">
        <v>0</v>
      </c>
    </row>
    <row r="142" spans="1:79" x14ac:dyDescent="0.3">
      <c r="A142" s="155">
        <v>545</v>
      </c>
      <c r="B142" t="s">
        <v>53</v>
      </c>
      <c r="D142">
        <v>0</v>
      </c>
      <c r="E142">
        <v>0</v>
      </c>
      <c r="F142">
        <v>0</v>
      </c>
      <c r="G142">
        <v>0</v>
      </c>
      <c r="H142">
        <v>0</v>
      </c>
      <c r="I142">
        <v>0</v>
      </c>
      <c r="J142">
        <v>0.01</v>
      </c>
      <c r="K142">
        <v>0</v>
      </c>
      <c r="L142">
        <v>0</v>
      </c>
      <c r="M142">
        <v>0</v>
      </c>
      <c r="N142">
        <v>0</v>
      </c>
      <c r="P142">
        <v>0</v>
      </c>
      <c r="Q142">
        <v>0</v>
      </c>
      <c r="R142">
        <v>4.8000000000000001E-2</v>
      </c>
      <c r="S142">
        <v>0</v>
      </c>
      <c r="T142">
        <v>0</v>
      </c>
      <c r="U142">
        <v>0</v>
      </c>
      <c r="V142">
        <v>0</v>
      </c>
      <c r="W142">
        <v>0</v>
      </c>
      <c r="X142">
        <v>0.03</v>
      </c>
      <c r="Y142">
        <v>0</v>
      </c>
      <c r="Z142">
        <v>0</v>
      </c>
      <c r="AA142">
        <v>0</v>
      </c>
      <c r="AB142">
        <v>0</v>
      </c>
      <c r="AC142">
        <v>0</v>
      </c>
      <c r="AD142">
        <v>0</v>
      </c>
      <c r="AE142">
        <v>0</v>
      </c>
      <c r="AF142">
        <v>0.05</v>
      </c>
      <c r="AG142">
        <v>0</v>
      </c>
      <c r="AH142">
        <v>0</v>
      </c>
      <c r="AI142">
        <v>0</v>
      </c>
      <c r="AJ142">
        <v>0</v>
      </c>
      <c r="AK142">
        <v>0</v>
      </c>
      <c r="AL142">
        <v>0</v>
      </c>
      <c r="AM142">
        <v>0</v>
      </c>
      <c r="AN142">
        <v>0</v>
      </c>
      <c r="AP142">
        <v>0</v>
      </c>
      <c r="AQ142">
        <v>0</v>
      </c>
      <c r="AR142">
        <v>0</v>
      </c>
      <c r="AS142">
        <v>0</v>
      </c>
      <c r="AT142">
        <v>0</v>
      </c>
      <c r="AU142">
        <v>0</v>
      </c>
      <c r="AV142">
        <v>0</v>
      </c>
      <c r="AX142">
        <v>0</v>
      </c>
      <c r="AY142">
        <v>0</v>
      </c>
      <c r="AZ142">
        <v>0</v>
      </c>
      <c r="BA142">
        <v>0</v>
      </c>
      <c r="BB142">
        <v>0</v>
      </c>
      <c r="BC142">
        <v>0</v>
      </c>
      <c r="BD142">
        <v>0</v>
      </c>
      <c r="BE142">
        <v>0</v>
      </c>
      <c r="BH142">
        <v>0</v>
      </c>
      <c r="BI142">
        <v>0</v>
      </c>
      <c r="BJ142">
        <v>0</v>
      </c>
      <c r="BK142">
        <v>0</v>
      </c>
      <c r="BL142">
        <v>0</v>
      </c>
      <c r="BM142">
        <v>0</v>
      </c>
      <c r="BN142">
        <v>0.04</v>
      </c>
      <c r="BO142">
        <v>0</v>
      </c>
      <c r="BP142">
        <v>0</v>
      </c>
      <c r="BQ142">
        <v>0</v>
      </c>
      <c r="BR142">
        <v>0</v>
      </c>
      <c r="BS142">
        <v>0</v>
      </c>
      <c r="BT142">
        <v>0</v>
      </c>
      <c r="BU142">
        <v>0</v>
      </c>
      <c r="BV142">
        <v>0</v>
      </c>
      <c r="BW142">
        <v>0</v>
      </c>
      <c r="BX142">
        <v>0</v>
      </c>
      <c r="BY142">
        <v>0</v>
      </c>
      <c r="BZ142">
        <v>0</v>
      </c>
      <c r="CA142">
        <v>0</v>
      </c>
    </row>
    <row r="143" spans="1:79" x14ac:dyDescent="0.3">
      <c r="A143" s="155">
        <v>547</v>
      </c>
      <c r="B143" t="s">
        <v>890</v>
      </c>
      <c r="D143">
        <v>2</v>
      </c>
      <c r="E143">
        <v>2</v>
      </c>
      <c r="F143">
        <v>2</v>
      </c>
      <c r="G143">
        <v>1</v>
      </c>
      <c r="H143">
        <v>3</v>
      </c>
      <c r="I143">
        <v>3</v>
      </c>
      <c r="J143">
        <v>2</v>
      </c>
      <c r="K143">
        <v>3</v>
      </c>
      <c r="L143">
        <v>3</v>
      </c>
      <c r="M143">
        <v>2</v>
      </c>
      <c r="N143">
        <v>3</v>
      </c>
      <c r="P143">
        <v>3</v>
      </c>
      <c r="Q143">
        <v>3</v>
      </c>
      <c r="R143">
        <v>3</v>
      </c>
      <c r="S143">
        <v>3</v>
      </c>
      <c r="T143">
        <v>2</v>
      </c>
      <c r="U143">
        <v>3</v>
      </c>
      <c r="V143">
        <v>2</v>
      </c>
      <c r="W143">
        <v>3</v>
      </c>
      <c r="X143">
        <v>3</v>
      </c>
      <c r="Y143">
        <v>3</v>
      </c>
      <c r="Z143">
        <v>2</v>
      </c>
      <c r="AA143">
        <v>4</v>
      </c>
      <c r="AB143">
        <v>2</v>
      </c>
      <c r="AC143">
        <v>2</v>
      </c>
      <c r="AD143">
        <v>2</v>
      </c>
      <c r="AE143">
        <v>2</v>
      </c>
      <c r="AF143">
        <v>0</v>
      </c>
      <c r="AG143">
        <v>2</v>
      </c>
      <c r="AH143">
        <v>2</v>
      </c>
      <c r="AI143">
        <v>2</v>
      </c>
      <c r="AJ143">
        <v>3</v>
      </c>
      <c r="AK143">
        <v>2</v>
      </c>
      <c r="AL143">
        <v>2</v>
      </c>
      <c r="AM143">
        <v>2</v>
      </c>
      <c r="AN143">
        <v>3</v>
      </c>
      <c r="AP143">
        <v>2</v>
      </c>
      <c r="AQ143">
        <v>3</v>
      </c>
      <c r="AR143">
        <v>2</v>
      </c>
      <c r="AS143">
        <v>3</v>
      </c>
      <c r="AT143">
        <v>3</v>
      </c>
      <c r="AU143">
        <v>3</v>
      </c>
      <c r="AV143">
        <v>2</v>
      </c>
      <c r="AX143">
        <v>2</v>
      </c>
      <c r="AY143">
        <v>1</v>
      </c>
      <c r="AZ143">
        <v>3</v>
      </c>
      <c r="BA143">
        <v>2</v>
      </c>
      <c r="BB143">
        <v>4</v>
      </c>
      <c r="BC143">
        <v>2</v>
      </c>
      <c r="BD143">
        <v>2</v>
      </c>
      <c r="BE143">
        <v>3</v>
      </c>
      <c r="BH143">
        <v>3</v>
      </c>
      <c r="BI143">
        <v>3</v>
      </c>
      <c r="BJ143">
        <v>2</v>
      </c>
      <c r="BK143">
        <v>3</v>
      </c>
      <c r="BL143">
        <v>3</v>
      </c>
      <c r="BM143">
        <v>2</v>
      </c>
      <c r="BN143">
        <v>3</v>
      </c>
      <c r="BO143">
        <v>2</v>
      </c>
      <c r="BP143">
        <v>2</v>
      </c>
      <c r="BQ143">
        <v>2</v>
      </c>
      <c r="BR143">
        <v>2</v>
      </c>
      <c r="BS143">
        <v>2</v>
      </c>
      <c r="BT143">
        <v>2</v>
      </c>
      <c r="BU143">
        <v>3</v>
      </c>
      <c r="BV143">
        <v>2</v>
      </c>
      <c r="BW143">
        <v>2</v>
      </c>
      <c r="BX143">
        <v>2</v>
      </c>
      <c r="BY143">
        <v>2</v>
      </c>
      <c r="BZ143">
        <v>3</v>
      </c>
      <c r="CA143">
        <v>2</v>
      </c>
    </row>
    <row r="144" spans="1:79" x14ac:dyDescent="0.3">
      <c r="A144" s="155">
        <v>554</v>
      </c>
      <c r="B144" t="s">
        <v>318</v>
      </c>
      <c r="E144">
        <v>9769</v>
      </c>
      <c r="G144">
        <v>8101121</v>
      </c>
      <c r="K144">
        <v>1627302</v>
      </c>
      <c r="L144">
        <v>10064372</v>
      </c>
      <c r="P144">
        <v>4095702</v>
      </c>
      <c r="Q144">
        <v>2172809</v>
      </c>
      <c r="U144">
        <v>4456491</v>
      </c>
      <c r="X144">
        <v>968677</v>
      </c>
      <c r="Y144">
        <v>0</v>
      </c>
      <c r="AA144">
        <v>1762949</v>
      </c>
      <c r="AJ144">
        <v>810977</v>
      </c>
      <c r="AM144">
        <v>1157205</v>
      </c>
      <c r="AN144">
        <v>2189510</v>
      </c>
      <c r="AQ144">
        <v>372955</v>
      </c>
      <c r="AR144">
        <v>1246629</v>
      </c>
      <c r="AT144">
        <v>582730</v>
      </c>
      <c r="AU144">
        <v>898298</v>
      </c>
      <c r="AZ144">
        <v>391601</v>
      </c>
      <c r="BC144">
        <v>1249969</v>
      </c>
      <c r="BE144">
        <v>6368876</v>
      </c>
      <c r="BH144">
        <v>445432</v>
      </c>
      <c r="BJ144">
        <v>1102854</v>
      </c>
      <c r="BN144">
        <v>2038321</v>
      </c>
      <c r="BS144">
        <v>5748065</v>
      </c>
      <c r="BZ144">
        <v>2145637</v>
      </c>
    </row>
    <row r="145" spans="1:79" x14ac:dyDescent="0.3">
      <c r="A145" s="155">
        <v>555</v>
      </c>
      <c r="B145" t="s">
        <v>319</v>
      </c>
      <c r="E145">
        <v>0</v>
      </c>
      <c r="G145">
        <v>5177487</v>
      </c>
      <c r="K145">
        <v>1414789</v>
      </c>
      <c r="L145">
        <v>9352894</v>
      </c>
      <c r="P145">
        <v>0</v>
      </c>
      <c r="Q145">
        <v>2172809</v>
      </c>
      <c r="S145">
        <v>2030249</v>
      </c>
      <c r="U145">
        <v>3301689</v>
      </c>
      <c r="X145">
        <v>445364</v>
      </c>
      <c r="Y145">
        <v>0</v>
      </c>
      <c r="AA145">
        <v>1067061</v>
      </c>
      <c r="AJ145">
        <v>419783</v>
      </c>
      <c r="AM145">
        <v>1145605</v>
      </c>
      <c r="AN145">
        <v>677591</v>
      </c>
      <c r="AQ145">
        <v>0</v>
      </c>
      <c r="AR145">
        <v>1135866</v>
      </c>
      <c r="AT145">
        <v>0</v>
      </c>
      <c r="AU145">
        <v>784706</v>
      </c>
      <c r="AZ145">
        <v>0</v>
      </c>
      <c r="BC145">
        <v>1249969</v>
      </c>
      <c r="BE145">
        <v>4040709</v>
      </c>
      <c r="BH145">
        <v>0</v>
      </c>
      <c r="BJ145">
        <v>1018771</v>
      </c>
      <c r="BN145">
        <v>1749991</v>
      </c>
      <c r="BS145">
        <v>5280498</v>
      </c>
      <c r="BZ145">
        <v>2045130</v>
      </c>
    </row>
    <row r="146" spans="1:79" x14ac:dyDescent="0.3">
      <c r="A146" s="155">
        <v>556</v>
      </c>
      <c r="B146" t="s">
        <v>320</v>
      </c>
      <c r="E146">
        <v>1413267</v>
      </c>
      <c r="G146">
        <v>2555222</v>
      </c>
      <c r="K146">
        <v>68475</v>
      </c>
      <c r="L146">
        <v>1498929</v>
      </c>
      <c r="P146">
        <v>1155576</v>
      </c>
      <c r="Q146">
        <v>1288687</v>
      </c>
      <c r="S146">
        <v>1906215</v>
      </c>
      <c r="U146">
        <v>652466</v>
      </c>
      <c r="X146">
        <v>375698</v>
      </c>
      <c r="Y146">
        <v>0</v>
      </c>
      <c r="AA146">
        <v>745469</v>
      </c>
      <c r="AJ146">
        <v>398553</v>
      </c>
      <c r="AM146">
        <v>1068483</v>
      </c>
      <c r="AN146">
        <v>668564</v>
      </c>
      <c r="AQ146">
        <v>1180221</v>
      </c>
      <c r="AR146">
        <v>393909</v>
      </c>
      <c r="AT146">
        <v>1536583</v>
      </c>
      <c r="AU146">
        <v>389504</v>
      </c>
      <c r="AZ146">
        <v>704946</v>
      </c>
      <c r="BC146">
        <v>30998</v>
      </c>
      <c r="BE146">
        <v>2245011</v>
      </c>
      <c r="BH146">
        <v>666238</v>
      </c>
      <c r="BJ146">
        <v>71973</v>
      </c>
      <c r="BN146">
        <v>1056174</v>
      </c>
      <c r="BS146">
        <v>791286</v>
      </c>
      <c r="BZ146">
        <v>1043242</v>
      </c>
    </row>
    <row r="147" spans="1:79" x14ac:dyDescent="0.3">
      <c r="A147" s="155">
        <v>557</v>
      </c>
      <c r="B147" t="s">
        <v>321</v>
      </c>
      <c r="E147">
        <v>1407142</v>
      </c>
      <c r="G147">
        <v>1624930</v>
      </c>
      <c r="K147">
        <v>0</v>
      </c>
      <c r="L147">
        <v>1463648</v>
      </c>
      <c r="P147">
        <v>748199</v>
      </c>
      <c r="Q147">
        <v>724269</v>
      </c>
      <c r="S147">
        <v>327884</v>
      </c>
      <c r="U147">
        <v>650216</v>
      </c>
      <c r="X147">
        <v>0</v>
      </c>
      <c r="Y147">
        <v>0</v>
      </c>
      <c r="AA147">
        <v>632969</v>
      </c>
      <c r="AJ147">
        <v>0</v>
      </c>
      <c r="AM147">
        <v>680139</v>
      </c>
      <c r="AN147">
        <v>618203</v>
      </c>
      <c r="AQ147">
        <v>952928</v>
      </c>
      <c r="AR147">
        <v>0</v>
      </c>
      <c r="AT147">
        <v>1273722</v>
      </c>
      <c r="AU147">
        <v>0</v>
      </c>
      <c r="AZ147">
        <v>507018</v>
      </c>
      <c r="BC147">
        <v>0</v>
      </c>
      <c r="BE147">
        <v>1679567</v>
      </c>
      <c r="BH147">
        <v>481792</v>
      </c>
      <c r="BJ147">
        <v>0</v>
      </c>
      <c r="BN147">
        <v>581552</v>
      </c>
      <c r="BS147">
        <v>788486</v>
      </c>
      <c r="BZ147">
        <v>977992</v>
      </c>
    </row>
    <row r="148" spans="1:79" x14ac:dyDescent="0.3">
      <c r="A148" s="155">
        <v>575</v>
      </c>
      <c r="B148" t="s">
        <v>300</v>
      </c>
      <c r="D148">
        <v>0</v>
      </c>
      <c r="E148">
        <v>0</v>
      </c>
      <c r="F148">
        <v>0</v>
      </c>
      <c r="G148">
        <v>44569</v>
      </c>
      <c r="H148">
        <v>0</v>
      </c>
      <c r="I148">
        <v>30523</v>
      </c>
      <c r="J148">
        <v>0</v>
      </c>
      <c r="K148">
        <v>62751</v>
      </c>
      <c r="L148">
        <v>0</v>
      </c>
      <c r="M148">
        <v>0</v>
      </c>
      <c r="N148">
        <v>0</v>
      </c>
      <c r="P148">
        <v>0</v>
      </c>
      <c r="Q148">
        <v>0</v>
      </c>
      <c r="R148">
        <v>0</v>
      </c>
      <c r="S148">
        <v>0</v>
      </c>
      <c r="T148">
        <v>117299</v>
      </c>
      <c r="U148">
        <v>0</v>
      </c>
      <c r="V148">
        <v>0</v>
      </c>
      <c r="W148">
        <v>0</v>
      </c>
      <c r="X148">
        <v>0</v>
      </c>
      <c r="Y148">
        <v>0</v>
      </c>
      <c r="Z148">
        <v>0</v>
      </c>
      <c r="AA148">
        <v>542079</v>
      </c>
      <c r="AB148">
        <v>0</v>
      </c>
      <c r="AC148">
        <v>11209</v>
      </c>
      <c r="AD148">
        <v>14430</v>
      </c>
      <c r="AE148">
        <v>0</v>
      </c>
      <c r="AF148">
        <v>0</v>
      </c>
      <c r="AG148">
        <v>0</v>
      </c>
      <c r="AH148">
        <v>0</v>
      </c>
      <c r="AI148">
        <v>0</v>
      </c>
      <c r="AJ148">
        <v>0</v>
      </c>
      <c r="AK148">
        <v>0</v>
      </c>
      <c r="AL148">
        <v>0</v>
      </c>
      <c r="AM148">
        <v>0</v>
      </c>
      <c r="AN148">
        <v>0</v>
      </c>
      <c r="AP148">
        <v>0</v>
      </c>
      <c r="AQ148">
        <v>0</v>
      </c>
      <c r="AR148">
        <v>0</v>
      </c>
      <c r="AS148">
        <v>0</v>
      </c>
      <c r="AT148">
        <v>0</v>
      </c>
      <c r="AU148">
        <v>0</v>
      </c>
      <c r="AV148">
        <v>0</v>
      </c>
      <c r="AX148">
        <v>0</v>
      </c>
      <c r="AY148">
        <v>8</v>
      </c>
      <c r="AZ148">
        <v>50000</v>
      </c>
      <c r="BA148">
        <v>37846</v>
      </c>
      <c r="BB148">
        <v>0</v>
      </c>
      <c r="BC148">
        <v>0</v>
      </c>
      <c r="BD148">
        <v>0</v>
      </c>
      <c r="BE148">
        <v>0</v>
      </c>
      <c r="BH148">
        <v>0</v>
      </c>
      <c r="BI148">
        <v>0</v>
      </c>
      <c r="BJ148">
        <v>0</v>
      </c>
      <c r="BK148">
        <v>0</v>
      </c>
      <c r="BL148">
        <v>0</v>
      </c>
      <c r="BM148">
        <v>0</v>
      </c>
      <c r="BN148">
        <v>19915</v>
      </c>
      <c r="BO148">
        <v>0</v>
      </c>
      <c r="BP148">
        <v>0</v>
      </c>
      <c r="BQ148">
        <v>0</v>
      </c>
      <c r="BR148">
        <v>0</v>
      </c>
      <c r="BS148">
        <v>0</v>
      </c>
      <c r="BT148">
        <v>0</v>
      </c>
      <c r="BU148">
        <v>9631</v>
      </c>
      <c r="BV148">
        <v>6033</v>
      </c>
      <c r="BW148">
        <v>73889</v>
      </c>
      <c r="BX148">
        <v>0</v>
      </c>
      <c r="BY148">
        <v>0</v>
      </c>
      <c r="BZ148">
        <v>0</v>
      </c>
      <c r="CA148">
        <v>0</v>
      </c>
    </row>
    <row r="149" spans="1:79" x14ac:dyDescent="0.3">
      <c r="A149" s="155">
        <v>576</v>
      </c>
      <c r="B149" t="s">
        <v>301</v>
      </c>
      <c r="D149">
        <v>0</v>
      </c>
      <c r="E149">
        <v>0</v>
      </c>
      <c r="F149">
        <v>0</v>
      </c>
      <c r="G149">
        <v>0</v>
      </c>
      <c r="H149">
        <v>0</v>
      </c>
      <c r="I149">
        <v>0</v>
      </c>
      <c r="J149">
        <v>0</v>
      </c>
      <c r="K149">
        <v>0</v>
      </c>
      <c r="L149">
        <v>0</v>
      </c>
      <c r="M149">
        <v>0</v>
      </c>
      <c r="N149">
        <v>0</v>
      </c>
      <c r="P149">
        <v>0</v>
      </c>
      <c r="Q149">
        <v>0</v>
      </c>
      <c r="R149">
        <v>0</v>
      </c>
      <c r="S149">
        <v>0</v>
      </c>
      <c r="T149">
        <v>0</v>
      </c>
      <c r="U149">
        <v>0</v>
      </c>
      <c r="V149">
        <v>0</v>
      </c>
      <c r="W149">
        <v>0</v>
      </c>
      <c r="X149">
        <v>0</v>
      </c>
      <c r="Y149">
        <v>0</v>
      </c>
      <c r="Z149">
        <v>369585</v>
      </c>
      <c r="AA149">
        <v>0</v>
      </c>
      <c r="AB149">
        <v>0</v>
      </c>
      <c r="AC149">
        <v>0</v>
      </c>
      <c r="AD149">
        <v>0</v>
      </c>
      <c r="AE149">
        <v>0</v>
      </c>
      <c r="AF149">
        <v>0</v>
      </c>
      <c r="AG149">
        <v>0</v>
      </c>
      <c r="AH149">
        <v>0</v>
      </c>
      <c r="AI149">
        <v>0</v>
      </c>
      <c r="AJ149">
        <v>0</v>
      </c>
      <c r="AK149">
        <v>1997</v>
      </c>
      <c r="AL149">
        <v>0</v>
      </c>
      <c r="AM149">
        <v>0</v>
      </c>
      <c r="AN149">
        <v>0</v>
      </c>
      <c r="AP149">
        <v>0</v>
      </c>
      <c r="AQ149">
        <v>3750899</v>
      </c>
      <c r="AR149">
        <v>0</v>
      </c>
      <c r="AS149">
        <v>0</v>
      </c>
      <c r="AT149">
        <v>0</v>
      </c>
      <c r="AU149">
        <v>2167141</v>
      </c>
      <c r="AV149">
        <v>55729</v>
      </c>
      <c r="AX149">
        <v>1899099</v>
      </c>
      <c r="AY149">
        <v>0</v>
      </c>
      <c r="AZ149">
        <v>0</v>
      </c>
      <c r="BA149">
        <v>0</v>
      </c>
      <c r="BB149">
        <v>0</v>
      </c>
      <c r="BC149">
        <v>0</v>
      </c>
      <c r="BD149">
        <v>0</v>
      </c>
      <c r="BE149">
        <v>2760500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row>
    <row r="150" spans="1:79" x14ac:dyDescent="0.3">
      <c r="A150" s="155">
        <v>577</v>
      </c>
      <c r="B150" t="s">
        <v>891</v>
      </c>
      <c r="D150">
        <v>2</v>
      </c>
      <c r="E150">
        <v>2</v>
      </c>
      <c r="F150">
        <v>2</v>
      </c>
      <c r="G150">
        <v>2</v>
      </c>
      <c r="H150">
        <v>2</v>
      </c>
      <c r="I150">
        <v>2</v>
      </c>
      <c r="J150">
        <v>2</v>
      </c>
      <c r="K150">
        <v>2</v>
      </c>
      <c r="L150">
        <v>2</v>
      </c>
      <c r="M150">
        <v>0</v>
      </c>
      <c r="N150">
        <v>2</v>
      </c>
      <c r="P150">
        <v>2</v>
      </c>
      <c r="Q150">
        <v>2</v>
      </c>
      <c r="R150">
        <v>2</v>
      </c>
      <c r="S150">
        <v>2</v>
      </c>
      <c r="T150">
        <v>0</v>
      </c>
      <c r="U150">
        <v>2</v>
      </c>
      <c r="V150">
        <v>2</v>
      </c>
      <c r="W150">
        <v>0</v>
      </c>
      <c r="X150">
        <v>2</v>
      </c>
      <c r="Y150">
        <v>2</v>
      </c>
      <c r="Z150">
        <v>2</v>
      </c>
      <c r="AA150">
        <v>2</v>
      </c>
      <c r="AB150">
        <v>0</v>
      </c>
      <c r="AC150">
        <v>0</v>
      </c>
      <c r="AD150">
        <v>2</v>
      </c>
      <c r="AE150">
        <v>2</v>
      </c>
      <c r="AF150">
        <v>2</v>
      </c>
      <c r="AG150">
        <v>0</v>
      </c>
      <c r="AH150">
        <v>2</v>
      </c>
      <c r="AI150">
        <v>2</v>
      </c>
      <c r="AJ150">
        <v>2</v>
      </c>
      <c r="AK150">
        <v>2</v>
      </c>
      <c r="AL150">
        <v>0</v>
      </c>
      <c r="AM150">
        <v>2</v>
      </c>
      <c r="AN150">
        <v>2</v>
      </c>
      <c r="AP150">
        <v>2</v>
      </c>
      <c r="AQ150">
        <v>2</v>
      </c>
      <c r="AR150">
        <v>2</v>
      </c>
      <c r="AS150">
        <v>2</v>
      </c>
      <c r="AT150">
        <v>2</v>
      </c>
      <c r="AU150">
        <v>2</v>
      </c>
      <c r="AV150">
        <v>2</v>
      </c>
      <c r="AX150">
        <v>2</v>
      </c>
      <c r="AY150">
        <v>2</v>
      </c>
      <c r="AZ150">
        <v>2</v>
      </c>
      <c r="BA150">
        <v>0</v>
      </c>
      <c r="BB150">
        <v>2</v>
      </c>
      <c r="BC150">
        <v>2</v>
      </c>
      <c r="BD150">
        <v>2</v>
      </c>
      <c r="BE150">
        <v>2</v>
      </c>
      <c r="BH150">
        <v>2</v>
      </c>
      <c r="BI150">
        <v>2</v>
      </c>
      <c r="BJ150">
        <v>2</v>
      </c>
      <c r="BK150">
        <v>2</v>
      </c>
      <c r="BL150">
        <v>0</v>
      </c>
      <c r="BM150">
        <v>2</v>
      </c>
      <c r="BN150">
        <v>2</v>
      </c>
      <c r="BO150">
        <v>2</v>
      </c>
      <c r="BP150">
        <v>2</v>
      </c>
      <c r="BQ150">
        <v>2</v>
      </c>
      <c r="BR150">
        <v>2</v>
      </c>
      <c r="BS150">
        <v>2</v>
      </c>
      <c r="BT150">
        <v>2</v>
      </c>
      <c r="BU150">
        <v>0</v>
      </c>
      <c r="BV150">
        <v>2</v>
      </c>
      <c r="BW150">
        <v>0</v>
      </c>
      <c r="BX150">
        <v>2</v>
      </c>
      <c r="BY150">
        <v>2</v>
      </c>
      <c r="BZ150">
        <v>2</v>
      </c>
      <c r="CA150">
        <v>2</v>
      </c>
    </row>
    <row r="151" spans="1:79" x14ac:dyDescent="0.3">
      <c r="A151" s="155">
        <v>578</v>
      </c>
      <c r="B151" t="s">
        <v>892</v>
      </c>
      <c r="D151">
        <v>0</v>
      </c>
      <c r="E151">
        <v>0</v>
      </c>
      <c r="F151">
        <v>0</v>
      </c>
      <c r="G151">
        <v>0</v>
      </c>
      <c r="H151">
        <v>0</v>
      </c>
      <c r="I151">
        <v>0</v>
      </c>
      <c r="J151">
        <v>0</v>
      </c>
      <c r="K151">
        <v>62751</v>
      </c>
      <c r="L151">
        <v>0</v>
      </c>
      <c r="M151">
        <v>0</v>
      </c>
      <c r="N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P151">
        <v>0</v>
      </c>
      <c r="AQ151">
        <v>0</v>
      </c>
      <c r="AR151">
        <v>0</v>
      </c>
      <c r="AS151">
        <v>0</v>
      </c>
      <c r="AT151">
        <v>0</v>
      </c>
      <c r="AU151">
        <v>0</v>
      </c>
      <c r="AV151">
        <v>0</v>
      </c>
      <c r="AX151">
        <v>0</v>
      </c>
      <c r="AY151">
        <v>0</v>
      </c>
      <c r="AZ151">
        <v>0</v>
      </c>
      <c r="BA151">
        <v>0</v>
      </c>
      <c r="BB151">
        <v>0</v>
      </c>
      <c r="BC151">
        <v>0</v>
      </c>
      <c r="BD151">
        <v>0</v>
      </c>
      <c r="BE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row>
    <row r="152" spans="1:79" x14ac:dyDescent="0.3">
      <c r="A152" s="155">
        <v>579</v>
      </c>
      <c r="B152" t="s">
        <v>893</v>
      </c>
      <c r="D152">
        <v>0</v>
      </c>
      <c r="E152">
        <v>0</v>
      </c>
      <c r="F152">
        <v>0</v>
      </c>
      <c r="G152">
        <v>0</v>
      </c>
      <c r="H152">
        <v>0</v>
      </c>
      <c r="I152">
        <v>0</v>
      </c>
      <c r="J152">
        <v>0</v>
      </c>
      <c r="K152">
        <v>0</v>
      </c>
      <c r="L152">
        <v>0</v>
      </c>
      <c r="M152">
        <v>0</v>
      </c>
      <c r="N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P152">
        <v>0</v>
      </c>
      <c r="AQ152">
        <v>0</v>
      </c>
      <c r="AR152">
        <v>0</v>
      </c>
      <c r="AS152">
        <v>0</v>
      </c>
      <c r="AT152">
        <v>0</v>
      </c>
      <c r="AU152">
        <v>0</v>
      </c>
      <c r="AV152">
        <v>0</v>
      </c>
      <c r="AX152">
        <v>0</v>
      </c>
      <c r="AY152">
        <v>0</v>
      </c>
      <c r="AZ152">
        <v>0</v>
      </c>
      <c r="BA152">
        <v>0</v>
      </c>
      <c r="BB152">
        <v>0</v>
      </c>
      <c r="BC152">
        <v>0</v>
      </c>
      <c r="BD152">
        <v>0</v>
      </c>
      <c r="BE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row>
    <row r="153" spans="1:79" x14ac:dyDescent="0.3">
      <c r="A153" s="155">
        <v>580</v>
      </c>
      <c r="B153" t="s">
        <v>894</v>
      </c>
      <c r="D153">
        <v>0</v>
      </c>
      <c r="E153">
        <v>0</v>
      </c>
      <c r="F153">
        <v>0</v>
      </c>
      <c r="G153">
        <v>0</v>
      </c>
      <c r="H153">
        <v>0</v>
      </c>
      <c r="I153">
        <v>0</v>
      </c>
      <c r="J153">
        <v>0</v>
      </c>
      <c r="K153">
        <v>0</v>
      </c>
      <c r="L153">
        <v>0</v>
      </c>
      <c r="M153">
        <v>0</v>
      </c>
      <c r="N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P153">
        <v>0</v>
      </c>
      <c r="AQ153">
        <v>0</v>
      </c>
      <c r="AR153">
        <v>0</v>
      </c>
      <c r="AS153">
        <v>0</v>
      </c>
      <c r="AT153">
        <v>0</v>
      </c>
      <c r="AU153">
        <v>0</v>
      </c>
      <c r="AV153">
        <v>0</v>
      </c>
      <c r="AX153">
        <v>0</v>
      </c>
      <c r="AY153">
        <v>0</v>
      </c>
      <c r="AZ153">
        <v>0</v>
      </c>
      <c r="BA153">
        <v>0</v>
      </c>
      <c r="BB153">
        <v>0</v>
      </c>
      <c r="BC153">
        <v>0</v>
      </c>
      <c r="BD153">
        <v>0</v>
      </c>
      <c r="BE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row>
    <row r="154" spans="1:79" x14ac:dyDescent="0.3">
      <c r="A154" s="155">
        <v>581</v>
      </c>
      <c r="B154" t="s">
        <v>895</v>
      </c>
      <c r="D154">
        <v>0</v>
      </c>
      <c r="E154">
        <v>0</v>
      </c>
      <c r="F154">
        <v>0</v>
      </c>
      <c r="G154">
        <v>0</v>
      </c>
      <c r="H154">
        <v>0</v>
      </c>
      <c r="I154">
        <v>0</v>
      </c>
      <c r="J154">
        <v>0</v>
      </c>
      <c r="K154">
        <v>0</v>
      </c>
      <c r="L154">
        <v>0</v>
      </c>
      <c r="M154">
        <v>0</v>
      </c>
      <c r="N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P154">
        <v>0</v>
      </c>
      <c r="AQ154">
        <v>375689</v>
      </c>
      <c r="AR154">
        <v>0</v>
      </c>
      <c r="AS154">
        <v>0</v>
      </c>
      <c r="AT154">
        <v>0</v>
      </c>
      <c r="AU154">
        <v>2012085</v>
      </c>
      <c r="AV154">
        <v>0</v>
      </c>
      <c r="AX154">
        <v>0</v>
      </c>
      <c r="AY154">
        <v>0</v>
      </c>
      <c r="AZ154">
        <v>0</v>
      </c>
      <c r="BA154">
        <v>0</v>
      </c>
      <c r="BB154">
        <v>0</v>
      </c>
      <c r="BC154">
        <v>0</v>
      </c>
      <c r="BD154">
        <v>0</v>
      </c>
      <c r="BE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row>
    <row r="155" spans="1:79" x14ac:dyDescent="0.3">
      <c r="A155" s="155">
        <v>586</v>
      </c>
      <c r="B155" t="s">
        <v>896</v>
      </c>
      <c r="D155">
        <v>0</v>
      </c>
      <c r="E155">
        <v>0</v>
      </c>
      <c r="F155">
        <v>0</v>
      </c>
      <c r="G155">
        <v>0</v>
      </c>
      <c r="H155">
        <v>0</v>
      </c>
      <c r="I155">
        <v>0</v>
      </c>
      <c r="J155">
        <v>0</v>
      </c>
      <c r="K155">
        <v>298153</v>
      </c>
      <c r="L155">
        <v>0</v>
      </c>
      <c r="M155">
        <v>0</v>
      </c>
      <c r="N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P155">
        <v>0</v>
      </c>
      <c r="AQ155">
        <v>0</v>
      </c>
      <c r="AR155">
        <v>0</v>
      </c>
      <c r="AS155">
        <v>0</v>
      </c>
      <c r="AT155">
        <v>0</v>
      </c>
      <c r="AU155">
        <v>0</v>
      </c>
      <c r="AV155">
        <v>0</v>
      </c>
      <c r="AX155">
        <v>0</v>
      </c>
      <c r="AY155">
        <v>0</v>
      </c>
      <c r="AZ155">
        <v>0</v>
      </c>
      <c r="BA155">
        <v>0</v>
      </c>
      <c r="BB155">
        <v>0</v>
      </c>
      <c r="BC155">
        <v>0</v>
      </c>
      <c r="BD155">
        <v>0</v>
      </c>
      <c r="BE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row>
    <row r="156" spans="1:79" x14ac:dyDescent="0.3">
      <c r="A156" s="155">
        <v>590</v>
      </c>
      <c r="B156" t="s">
        <v>1576</v>
      </c>
      <c r="H156" t="s">
        <v>1577</v>
      </c>
      <c r="V156" t="s">
        <v>2036</v>
      </c>
      <c r="AI156" t="s">
        <v>2037</v>
      </c>
      <c r="AR156" t="s">
        <v>1578</v>
      </c>
      <c r="BC156" t="s">
        <v>1578</v>
      </c>
      <c r="BH156" t="s">
        <v>1577</v>
      </c>
      <c r="BT156" t="s">
        <v>1578</v>
      </c>
    </row>
    <row r="157" spans="1:79" x14ac:dyDescent="0.3">
      <c r="A157" s="155">
        <v>591</v>
      </c>
      <c r="B157" t="s">
        <v>327</v>
      </c>
      <c r="D157">
        <v>0</v>
      </c>
      <c r="E157">
        <v>664043</v>
      </c>
      <c r="F157">
        <v>312069</v>
      </c>
      <c r="G157">
        <v>33066443</v>
      </c>
      <c r="H157">
        <v>3255141</v>
      </c>
      <c r="I157">
        <v>218815</v>
      </c>
      <c r="J157">
        <v>970489</v>
      </c>
      <c r="K157">
        <v>964298</v>
      </c>
      <c r="L157">
        <v>26462540</v>
      </c>
      <c r="M157">
        <v>0</v>
      </c>
      <c r="N157">
        <v>767026</v>
      </c>
      <c r="P157">
        <v>1197898</v>
      </c>
      <c r="Q157">
        <v>4122059</v>
      </c>
      <c r="R157">
        <v>6099872</v>
      </c>
      <c r="S157">
        <v>28939363</v>
      </c>
      <c r="T157">
        <v>319632</v>
      </c>
      <c r="U157">
        <v>61324722</v>
      </c>
      <c r="V157">
        <v>0</v>
      </c>
      <c r="W157">
        <v>0</v>
      </c>
      <c r="X157">
        <v>3008</v>
      </c>
      <c r="Y157">
        <v>2061164</v>
      </c>
      <c r="Z157">
        <v>4806968</v>
      </c>
      <c r="AA157">
        <v>2130603</v>
      </c>
      <c r="AB157">
        <v>0</v>
      </c>
      <c r="AC157">
        <v>94373</v>
      </c>
      <c r="AD157">
        <v>1030120</v>
      </c>
      <c r="AE157">
        <v>7737227</v>
      </c>
      <c r="AF157">
        <v>79684</v>
      </c>
      <c r="AG157">
        <v>0</v>
      </c>
      <c r="AH157">
        <v>0</v>
      </c>
      <c r="AI157">
        <v>23996</v>
      </c>
      <c r="AJ157">
        <v>23623612</v>
      </c>
      <c r="AK157">
        <v>313627</v>
      </c>
      <c r="AL157">
        <v>0</v>
      </c>
      <c r="AM157">
        <v>0</v>
      </c>
      <c r="AN157">
        <v>8162102</v>
      </c>
      <c r="AP157">
        <v>0</v>
      </c>
      <c r="AQ157">
        <v>71054148</v>
      </c>
      <c r="AR157">
        <v>1400897</v>
      </c>
      <c r="AS157">
        <v>436196</v>
      </c>
      <c r="AT157">
        <v>2475534</v>
      </c>
      <c r="AU157">
        <v>14559896</v>
      </c>
      <c r="AV157">
        <v>433447</v>
      </c>
      <c r="AX157">
        <v>1437399</v>
      </c>
      <c r="AY157">
        <v>2083766</v>
      </c>
      <c r="AZ157">
        <v>10234968</v>
      </c>
      <c r="BA157">
        <v>21913</v>
      </c>
      <c r="BB157">
        <v>1952255</v>
      </c>
      <c r="BC157">
        <v>2875024</v>
      </c>
      <c r="BD157">
        <v>0</v>
      </c>
      <c r="BE157">
        <v>43546578</v>
      </c>
      <c r="BH157">
        <v>1974222</v>
      </c>
      <c r="BI157">
        <v>872526</v>
      </c>
      <c r="BJ157">
        <v>635017</v>
      </c>
      <c r="BK157">
        <v>10282747</v>
      </c>
      <c r="BL157">
        <v>1904100</v>
      </c>
      <c r="BM157">
        <v>0</v>
      </c>
      <c r="BN157">
        <v>4616549</v>
      </c>
      <c r="BO157">
        <v>1102009</v>
      </c>
      <c r="BP157">
        <v>847295</v>
      </c>
      <c r="BQ157">
        <v>0</v>
      </c>
      <c r="BR157">
        <v>0</v>
      </c>
      <c r="BS157">
        <v>0</v>
      </c>
      <c r="BT157">
        <v>999221</v>
      </c>
      <c r="BU157">
        <v>2144411</v>
      </c>
      <c r="BV157">
        <v>650845</v>
      </c>
      <c r="BW157">
        <v>1585196</v>
      </c>
      <c r="BX157">
        <v>0</v>
      </c>
      <c r="BY157">
        <v>0</v>
      </c>
      <c r="BZ157">
        <v>7656972</v>
      </c>
      <c r="CA157">
        <v>0</v>
      </c>
    </row>
    <row r="158" spans="1:79" x14ac:dyDescent="0.3">
      <c r="A158" s="155">
        <v>592</v>
      </c>
      <c r="B158" t="s">
        <v>328</v>
      </c>
      <c r="D158">
        <v>0</v>
      </c>
      <c r="E158">
        <v>1035240</v>
      </c>
      <c r="F158">
        <v>-26003</v>
      </c>
      <c r="G158">
        <v>5466685</v>
      </c>
      <c r="H158">
        <v>930317</v>
      </c>
      <c r="I158">
        <v>123542</v>
      </c>
      <c r="J158">
        <v>-107723</v>
      </c>
      <c r="K158">
        <v>1442567</v>
      </c>
      <c r="L158">
        <v>-588583</v>
      </c>
      <c r="M158">
        <v>0</v>
      </c>
      <c r="N158">
        <v>-166483</v>
      </c>
      <c r="P158">
        <v>224758</v>
      </c>
      <c r="Q158">
        <v>1593947</v>
      </c>
      <c r="R158">
        <v>611103</v>
      </c>
      <c r="S158">
        <v>-1453910</v>
      </c>
      <c r="T158">
        <v>94077</v>
      </c>
      <c r="U158">
        <v>11307738</v>
      </c>
      <c r="V158">
        <v>0</v>
      </c>
      <c r="W158">
        <v>0</v>
      </c>
      <c r="X158">
        <v>-38450</v>
      </c>
      <c r="Y158">
        <v>384182</v>
      </c>
      <c r="Z158">
        <v>638594</v>
      </c>
      <c r="AA158">
        <v>1013296</v>
      </c>
      <c r="AB158">
        <v>0</v>
      </c>
      <c r="AC158">
        <v>37880</v>
      </c>
      <c r="AD158">
        <v>393505</v>
      </c>
      <c r="AE158">
        <v>811139</v>
      </c>
      <c r="AF158">
        <v>-31663</v>
      </c>
      <c r="AG158">
        <v>0</v>
      </c>
      <c r="AH158">
        <v>0</v>
      </c>
      <c r="AI158">
        <v>-871845</v>
      </c>
      <c r="AJ158">
        <v>159143</v>
      </c>
      <c r="AK158">
        <v>-68032</v>
      </c>
      <c r="AL158">
        <v>0</v>
      </c>
      <c r="AM158">
        <v>0</v>
      </c>
      <c r="AN158">
        <v>1568225</v>
      </c>
      <c r="AP158">
        <v>0</v>
      </c>
      <c r="AQ158">
        <v>3777572</v>
      </c>
      <c r="AR158">
        <v>1080290</v>
      </c>
      <c r="AS158">
        <v>-52811</v>
      </c>
      <c r="AT158">
        <v>598001</v>
      </c>
      <c r="AU158">
        <v>916632</v>
      </c>
      <c r="AV158">
        <v>67536</v>
      </c>
      <c r="AX158">
        <v>1220552</v>
      </c>
      <c r="AY158">
        <v>-142976</v>
      </c>
      <c r="AZ158">
        <v>113694</v>
      </c>
      <c r="BA158">
        <v>-4335</v>
      </c>
      <c r="BB158">
        <v>241053</v>
      </c>
      <c r="BC158">
        <v>883805</v>
      </c>
      <c r="BD158">
        <v>0</v>
      </c>
      <c r="BE158">
        <v>7656443</v>
      </c>
      <c r="BH158">
        <v>70345</v>
      </c>
      <c r="BI158">
        <v>298494</v>
      </c>
      <c r="BJ158">
        <v>816087</v>
      </c>
      <c r="BK158">
        <v>-948223</v>
      </c>
      <c r="BL158">
        <v>9496</v>
      </c>
      <c r="BM158">
        <v>0</v>
      </c>
      <c r="BN158">
        <v>500784</v>
      </c>
      <c r="BO158">
        <v>159485</v>
      </c>
      <c r="BP158">
        <v>87531</v>
      </c>
      <c r="BQ158">
        <v>0</v>
      </c>
      <c r="BR158">
        <v>0</v>
      </c>
      <c r="BS158">
        <v>0</v>
      </c>
      <c r="BT158">
        <v>-15393</v>
      </c>
      <c r="BU158">
        <v>1096183</v>
      </c>
      <c r="BV158">
        <v>253216</v>
      </c>
      <c r="BW158">
        <v>216565</v>
      </c>
      <c r="BX158">
        <v>0</v>
      </c>
      <c r="BY158">
        <v>0</v>
      </c>
      <c r="BZ158">
        <v>8002436</v>
      </c>
      <c r="CA158">
        <v>0</v>
      </c>
    </row>
    <row r="159" spans="1:79" x14ac:dyDescent="0.3">
      <c r="A159" s="155">
        <v>596</v>
      </c>
      <c r="B159" t="s">
        <v>333</v>
      </c>
      <c r="D159">
        <v>52</v>
      </c>
      <c r="E159">
        <v>0</v>
      </c>
      <c r="F159">
        <v>52</v>
      </c>
      <c r="G159">
        <v>52</v>
      </c>
      <c r="H159">
        <v>52</v>
      </c>
      <c r="I159">
        <v>52</v>
      </c>
      <c r="J159">
        <v>52</v>
      </c>
      <c r="K159">
        <v>52</v>
      </c>
      <c r="L159">
        <v>52</v>
      </c>
      <c r="M159">
        <v>0</v>
      </c>
      <c r="N159">
        <v>52</v>
      </c>
      <c r="P159">
        <v>52</v>
      </c>
      <c r="Q159">
        <v>52</v>
      </c>
      <c r="R159">
        <v>52</v>
      </c>
      <c r="S159">
        <v>52</v>
      </c>
      <c r="T159">
        <v>52</v>
      </c>
      <c r="U159">
        <v>52</v>
      </c>
      <c r="V159">
        <v>0</v>
      </c>
      <c r="W159">
        <v>0</v>
      </c>
      <c r="X159">
        <v>51</v>
      </c>
      <c r="Y159">
        <v>52</v>
      </c>
      <c r="Z159">
        <v>52</v>
      </c>
      <c r="AA159">
        <v>52</v>
      </c>
      <c r="AB159">
        <v>0</v>
      </c>
      <c r="AC159">
        <v>52</v>
      </c>
      <c r="AD159">
        <v>52</v>
      </c>
      <c r="AE159">
        <v>52</v>
      </c>
      <c r="AF159">
        <v>52</v>
      </c>
      <c r="AG159">
        <v>0</v>
      </c>
      <c r="AH159">
        <v>0</v>
      </c>
      <c r="AI159">
        <v>51</v>
      </c>
      <c r="AJ159">
        <v>52</v>
      </c>
      <c r="AK159">
        <v>52</v>
      </c>
      <c r="AL159">
        <v>0</v>
      </c>
      <c r="AM159">
        <v>52</v>
      </c>
      <c r="AN159">
        <v>52</v>
      </c>
      <c r="AP159">
        <v>52</v>
      </c>
      <c r="AQ159">
        <v>52</v>
      </c>
      <c r="AR159">
        <v>52</v>
      </c>
      <c r="AS159">
        <v>52</v>
      </c>
      <c r="AT159">
        <v>52</v>
      </c>
      <c r="AU159">
        <v>52</v>
      </c>
      <c r="AV159">
        <v>52</v>
      </c>
      <c r="AX159">
        <v>52</v>
      </c>
      <c r="AY159">
        <v>52</v>
      </c>
      <c r="AZ159">
        <v>52</v>
      </c>
      <c r="BA159">
        <v>52</v>
      </c>
      <c r="BB159">
        <v>52</v>
      </c>
      <c r="BC159">
        <v>52</v>
      </c>
      <c r="BD159">
        <v>52</v>
      </c>
      <c r="BE159">
        <v>52</v>
      </c>
      <c r="BH159">
        <v>52</v>
      </c>
      <c r="BI159">
        <v>52</v>
      </c>
      <c r="BJ159">
        <v>52</v>
      </c>
      <c r="BK159">
        <v>52</v>
      </c>
      <c r="BL159">
        <v>52</v>
      </c>
      <c r="BM159">
        <v>0</v>
      </c>
      <c r="BN159">
        <v>52</v>
      </c>
      <c r="BO159">
        <v>52</v>
      </c>
      <c r="BP159">
        <v>52</v>
      </c>
      <c r="BQ159">
        <v>52</v>
      </c>
      <c r="BR159">
        <v>52</v>
      </c>
      <c r="BS159">
        <v>52</v>
      </c>
      <c r="BT159">
        <v>52</v>
      </c>
      <c r="BU159">
        <v>0</v>
      </c>
      <c r="BV159">
        <v>52</v>
      </c>
      <c r="BW159">
        <v>52</v>
      </c>
      <c r="BX159">
        <v>52</v>
      </c>
      <c r="BY159">
        <v>0</v>
      </c>
      <c r="BZ159">
        <v>52</v>
      </c>
      <c r="CA159">
        <v>52</v>
      </c>
    </row>
    <row r="160" spans="1:79" x14ac:dyDescent="0.3">
      <c r="A160" s="155">
        <v>597</v>
      </c>
      <c r="B160" t="s">
        <v>336</v>
      </c>
      <c r="D160">
        <v>3595</v>
      </c>
      <c r="E160">
        <v>0</v>
      </c>
      <c r="F160">
        <v>440</v>
      </c>
      <c r="G160">
        <v>30584</v>
      </c>
      <c r="H160">
        <v>50030</v>
      </c>
      <c r="I160">
        <v>1576</v>
      </c>
      <c r="J160">
        <v>21599</v>
      </c>
      <c r="K160">
        <v>1991</v>
      </c>
      <c r="L160">
        <v>203099</v>
      </c>
      <c r="M160">
        <v>29</v>
      </c>
      <c r="N160">
        <v>1810</v>
      </c>
      <c r="P160">
        <v>106663</v>
      </c>
      <c r="Q160">
        <v>-1193244</v>
      </c>
      <c r="R160">
        <v>10628</v>
      </c>
      <c r="S160">
        <v>74046</v>
      </c>
      <c r="T160">
        <v>26</v>
      </c>
      <c r="U160">
        <v>102864</v>
      </c>
      <c r="V160">
        <v>90</v>
      </c>
      <c r="W160">
        <v>0</v>
      </c>
      <c r="X160">
        <v>37486</v>
      </c>
      <c r="Y160">
        <v>5220</v>
      </c>
      <c r="Z160">
        <v>12786</v>
      </c>
      <c r="AA160">
        <v>7707</v>
      </c>
      <c r="AB160">
        <v>1132</v>
      </c>
      <c r="AC160">
        <v>146</v>
      </c>
      <c r="AD160">
        <v>1279</v>
      </c>
      <c r="AE160">
        <v>11010</v>
      </c>
      <c r="AF160">
        <v>1196</v>
      </c>
      <c r="AG160">
        <v>24</v>
      </c>
      <c r="AH160">
        <v>646</v>
      </c>
      <c r="AI160">
        <v>3104</v>
      </c>
      <c r="AJ160">
        <v>28515</v>
      </c>
      <c r="AK160">
        <v>478</v>
      </c>
      <c r="AL160">
        <v>677</v>
      </c>
      <c r="AM160">
        <v>37127</v>
      </c>
      <c r="AN160">
        <v>40042</v>
      </c>
      <c r="AP160">
        <v>0</v>
      </c>
      <c r="AQ160">
        <v>163483</v>
      </c>
      <c r="AR160">
        <v>4609</v>
      </c>
      <c r="AS160">
        <v>754</v>
      </c>
      <c r="AT160">
        <v>6751</v>
      </c>
      <c r="AU160">
        <v>115014</v>
      </c>
      <c r="AV160">
        <v>3536</v>
      </c>
      <c r="AX160">
        <v>7420</v>
      </c>
      <c r="AY160">
        <v>7355</v>
      </c>
      <c r="AZ160">
        <v>1525</v>
      </c>
      <c r="BA160">
        <v>45</v>
      </c>
      <c r="BB160">
        <v>3446</v>
      </c>
      <c r="BC160">
        <v>3296</v>
      </c>
      <c r="BD160">
        <v>629</v>
      </c>
      <c r="BE160">
        <v>17348</v>
      </c>
      <c r="BH160">
        <v>7534</v>
      </c>
      <c r="BI160">
        <v>7805</v>
      </c>
      <c r="BJ160">
        <v>512</v>
      </c>
      <c r="BK160">
        <v>16609</v>
      </c>
      <c r="BL160">
        <v>18744</v>
      </c>
      <c r="BM160">
        <v>124</v>
      </c>
      <c r="BN160">
        <v>10799</v>
      </c>
      <c r="BO160">
        <v>0</v>
      </c>
      <c r="BP160">
        <v>1829</v>
      </c>
      <c r="BQ160">
        <v>3796</v>
      </c>
      <c r="BR160">
        <v>3033</v>
      </c>
      <c r="BS160">
        <v>39664</v>
      </c>
      <c r="BT160">
        <v>4706</v>
      </c>
      <c r="BU160">
        <v>19378</v>
      </c>
      <c r="BV160">
        <v>0</v>
      </c>
      <c r="BW160">
        <v>4418</v>
      </c>
      <c r="BX160">
        <v>0</v>
      </c>
      <c r="BY160">
        <v>215</v>
      </c>
      <c r="BZ160">
        <v>26692</v>
      </c>
      <c r="CA160">
        <v>43</v>
      </c>
    </row>
    <row r="161" spans="1:79" x14ac:dyDescent="0.3">
      <c r="A161" s="155">
        <v>598</v>
      </c>
      <c r="B161" t="s">
        <v>341</v>
      </c>
      <c r="D161">
        <v>0</v>
      </c>
      <c r="E161">
        <v>0</v>
      </c>
      <c r="F161">
        <v>0</v>
      </c>
      <c r="G161">
        <v>327763</v>
      </c>
      <c r="H161">
        <v>0</v>
      </c>
      <c r="I161">
        <v>0</v>
      </c>
      <c r="J161">
        <v>15070</v>
      </c>
      <c r="K161">
        <v>14408</v>
      </c>
      <c r="L161">
        <v>460059</v>
      </c>
      <c r="M161">
        <v>0</v>
      </c>
      <c r="N161">
        <v>0</v>
      </c>
      <c r="P161">
        <v>210310</v>
      </c>
      <c r="Q161">
        <v>48631</v>
      </c>
      <c r="R161">
        <v>21694</v>
      </c>
      <c r="S161">
        <v>44622</v>
      </c>
      <c r="T161">
        <v>0</v>
      </c>
      <c r="U161">
        <v>245417</v>
      </c>
      <c r="V161">
        <v>0</v>
      </c>
      <c r="W161">
        <v>88987</v>
      </c>
      <c r="X161">
        <v>61543</v>
      </c>
      <c r="Y161">
        <v>20758</v>
      </c>
      <c r="Z161">
        <v>0</v>
      </c>
      <c r="AA161">
        <v>19712</v>
      </c>
      <c r="AB161">
        <v>0</v>
      </c>
      <c r="AC161">
        <v>0</v>
      </c>
      <c r="AD161">
        <v>0</v>
      </c>
      <c r="AE161">
        <v>6994</v>
      </c>
      <c r="AF161">
        <v>0</v>
      </c>
      <c r="AG161">
        <v>0</v>
      </c>
      <c r="AH161">
        <v>0</v>
      </c>
      <c r="AI161">
        <v>0</v>
      </c>
      <c r="AJ161">
        <v>70394</v>
      </c>
      <c r="AK161">
        <v>0</v>
      </c>
      <c r="AL161">
        <v>0</v>
      </c>
      <c r="AM161">
        <v>0</v>
      </c>
      <c r="AN161">
        <v>87522</v>
      </c>
      <c r="AP161">
        <v>0</v>
      </c>
      <c r="AQ161">
        <v>208265</v>
      </c>
      <c r="AR161">
        <v>10503</v>
      </c>
      <c r="AS161">
        <v>0</v>
      </c>
      <c r="AT161">
        <v>0</v>
      </c>
      <c r="AU161">
        <v>81749</v>
      </c>
      <c r="AV161">
        <v>0</v>
      </c>
      <c r="AX161">
        <v>18594</v>
      </c>
      <c r="AY161">
        <v>13793</v>
      </c>
      <c r="AZ161">
        <v>15727</v>
      </c>
      <c r="BA161">
        <v>0</v>
      </c>
      <c r="BB161">
        <v>19127</v>
      </c>
      <c r="BC161">
        <v>0</v>
      </c>
      <c r="BD161">
        <v>0</v>
      </c>
      <c r="BE161">
        <v>474285</v>
      </c>
      <c r="BH161">
        <v>18502</v>
      </c>
      <c r="BI161">
        <v>42444</v>
      </c>
      <c r="BJ161">
        <v>0</v>
      </c>
      <c r="BK161">
        <v>5002</v>
      </c>
      <c r="BL161">
        <v>15779</v>
      </c>
      <c r="BM161">
        <v>0</v>
      </c>
      <c r="BN161">
        <v>35810</v>
      </c>
      <c r="BO161">
        <v>10318</v>
      </c>
      <c r="BP161">
        <v>26285</v>
      </c>
      <c r="BQ161">
        <v>0</v>
      </c>
      <c r="BR161">
        <v>0</v>
      </c>
      <c r="BS161">
        <v>105279</v>
      </c>
      <c r="BT161">
        <v>12379</v>
      </c>
      <c r="BU161">
        <v>24120</v>
      </c>
      <c r="BV161">
        <v>0</v>
      </c>
      <c r="BW161">
        <v>0</v>
      </c>
      <c r="BX161">
        <v>0</v>
      </c>
      <c r="BY161">
        <v>0</v>
      </c>
      <c r="BZ161">
        <v>0</v>
      </c>
      <c r="CA161">
        <v>0</v>
      </c>
    </row>
    <row r="162" spans="1:79" x14ac:dyDescent="0.3">
      <c r="A162" s="155">
        <v>599</v>
      </c>
      <c r="B162" t="s">
        <v>340</v>
      </c>
      <c r="D162">
        <v>128474</v>
      </c>
      <c r="E162">
        <v>0</v>
      </c>
      <c r="F162">
        <v>0</v>
      </c>
      <c r="G162">
        <v>5018606</v>
      </c>
      <c r="H162">
        <v>0</v>
      </c>
      <c r="I162">
        <v>0</v>
      </c>
      <c r="J162">
        <v>229869</v>
      </c>
      <c r="K162">
        <v>255931</v>
      </c>
      <c r="L162">
        <v>10190363</v>
      </c>
      <c r="M162">
        <v>0</v>
      </c>
      <c r="N162">
        <v>155442</v>
      </c>
      <c r="P162">
        <v>3931493</v>
      </c>
      <c r="Q162">
        <v>1536899</v>
      </c>
      <c r="R162">
        <v>722350</v>
      </c>
      <c r="S162">
        <v>1685091</v>
      </c>
      <c r="T162">
        <v>0</v>
      </c>
      <c r="U162">
        <v>4247038</v>
      </c>
      <c r="V162">
        <v>0</v>
      </c>
      <c r="W162">
        <v>1080400</v>
      </c>
      <c r="X162">
        <v>1607804</v>
      </c>
      <c r="Y162">
        <v>555820</v>
      </c>
      <c r="Z162">
        <v>0</v>
      </c>
      <c r="AA162">
        <v>364542</v>
      </c>
      <c r="AB162">
        <v>0</v>
      </c>
      <c r="AC162">
        <v>0</v>
      </c>
      <c r="AD162">
        <v>98723</v>
      </c>
      <c r="AE162">
        <v>316084</v>
      </c>
      <c r="AF162">
        <v>0</v>
      </c>
      <c r="AG162">
        <v>0</v>
      </c>
      <c r="AH162">
        <v>0</v>
      </c>
      <c r="AI162">
        <v>160080</v>
      </c>
      <c r="AJ162">
        <v>1939078</v>
      </c>
      <c r="AK162">
        <v>0</v>
      </c>
      <c r="AL162">
        <v>0</v>
      </c>
      <c r="AM162">
        <v>1238639</v>
      </c>
      <c r="AN162">
        <v>2548160</v>
      </c>
      <c r="AP162">
        <v>0</v>
      </c>
      <c r="AQ162">
        <v>3149295</v>
      </c>
      <c r="AR162">
        <v>299443</v>
      </c>
      <c r="AS162">
        <v>8687</v>
      </c>
      <c r="AT162">
        <v>500947</v>
      </c>
      <c r="AU162">
        <v>1531315</v>
      </c>
      <c r="AV162">
        <v>0</v>
      </c>
      <c r="AX162">
        <v>453822</v>
      </c>
      <c r="AY162">
        <v>797921</v>
      </c>
      <c r="AZ162">
        <v>950633</v>
      </c>
      <c r="BA162">
        <v>0</v>
      </c>
      <c r="BB162">
        <v>330700</v>
      </c>
      <c r="BC162">
        <v>0</v>
      </c>
      <c r="BD162">
        <v>0</v>
      </c>
      <c r="BE162">
        <v>4365524</v>
      </c>
      <c r="BH162">
        <v>624202</v>
      </c>
      <c r="BI162">
        <v>476050</v>
      </c>
      <c r="BJ162">
        <v>17382</v>
      </c>
      <c r="BK162">
        <v>739288</v>
      </c>
      <c r="BL162">
        <v>458110</v>
      </c>
      <c r="BM162">
        <v>0</v>
      </c>
      <c r="BN162">
        <v>959581</v>
      </c>
      <c r="BO162">
        <v>142332</v>
      </c>
      <c r="BP162">
        <v>67148</v>
      </c>
      <c r="BQ162">
        <v>322364</v>
      </c>
      <c r="BR162">
        <v>0</v>
      </c>
      <c r="BS162">
        <v>3635011</v>
      </c>
      <c r="BT162">
        <v>87266</v>
      </c>
      <c r="BU162">
        <v>755338</v>
      </c>
      <c r="BV162">
        <v>49665</v>
      </c>
      <c r="BW162">
        <v>0</v>
      </c>
      <c r="BX162">
        <v>0</v>
      </c>
      <c r="BY162">
        <v>0</v>
      </c>
      <c r="BZ162">
        <v>1503388</v>
      </c>
      <c r="CA162">
        <v>0</v>
      </c>
    </row>
    <row r="163" spans="1:79" x14ac:dyDescent="0.3">
      <c r="A163" s="155">
        <v>602</v>
      </c>
      <c r="B163" t="s">
        <v>342</v>
      </c>
      <c r="D163">
        <v>0</v>
      </c>
      <c r="E163">
        <v>0</v>
      </c>
      <c r="F163">
        <v>0</v>
      </c>
      <c r="G163">
        <v>0</v>
      </c>
      <c r="H163">
        <v>0</v>
      </c>
      <c r="I163">
        <v>0</v>
      </c>
      <c r="J163">
        <v>0</v>
      </c>
      <c r="K163">
        <v>0</v>
      </c>
      <c r="L163">
        <v>0</v>
      </c>
      <c r="M163">
        <v>0</v>
      </c>
      <c r="N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P163">
        <v>0</v>
      </c>
      <c r="AQ163">
        <v>0</v>
      </c>
      <c r="AR163">
        <v>0</v>
      </c>
      <c r="AS163">
        <v>0</v>
      </c>
      <c r="AT163">
        <v>0</v>
      </c>
      <c r="AU163">
        <v>0</v>
      </c>
      <c r="AV163">
        <v>0</v>
      </c>
      <c r="AX163">
        <v>0</v>
      </c>
      <c r="AY163">
        <v>0</v>
      </c>
      <c r="AZ163">
        <v>0</v>
      </c>
      <c r="BA163">
        <v>0</v>
      </c>
      <c r="BB163">
        <v>0</v>
      </c>
      <c r="BC163">
        <v>0</v>
      </c>
      <c r="BD163">
        <v>0</v>
      </c>
      <c r="BE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row>
    <row r="164" spans="1:79" x14ac:dyDescent="0.3">
      <c r="A164" s="155">
        <v>606</v>
      </c>
      <c r="B164" t="s">
        <v>897</v>
      </c>
      <c r="E164">
        <v>1</v>
      </c>
      <c r="G164">
        <v>1</v>
      </c>
      <c r="K164">
        <v>1</v>
      </c>
      <c r="L164">
        <v>1</v>
      </c>
      <c r="P164">
        <v>1</v>
      </c>
      <c r="Q164">
        <v>1</v>
      </c>
      <c r="S164">
        <v>0</v>
      </c>
      <c r="U164">
        <v>1</v>
      </c>
      <c r="X164">
        <v>1</v>
      </c>
      <c r="Y164">
        <v>1</v>
      </c>
      <c r="AA164">
        <v>1</v>
      </c>
      <c r="AJ164">
        <v>1</v>
      </c>
      <c r="AM164">
        <v>1</v>
      </c>
      <c r="AN164">
        <v>1</v>
      </c>
      <c r="AQ164">
        <v>1</v>
      </c>
      <c r="AR164">
        <v>1</v>
      </c>
      <c r="AT164">
        <v>1</v>
      </c>
      <c r="AU164">
        <v>1</v>
      </c>
      <c r="AZ164">
        <v>1</v>
      </c>
      <c r="BC164">
        <v>1</v>
      </c>
      <c r="BE164">
        <v>1</v>
      </c>
      <c r="BH164">
        <v>1</v>
      </c>
      <c r="BJ164">
        <v>1</v>
      </c>
      <c r="BN164">
        <v>1</v>
      </c>
      <c r="BS164">
        <v>1</v>
      </c>
      <c r="BZ164">
        <v>1</v>
      </c>
    </row>
    <row r="165" spans="1:79" x14ac:dyDescent="0.3">
      <c r="A165" s="155">
        <v>619</v>
      </c>
      <c r="B165" t="s">
        <v>898</v>
      </c>
      <c r="D165">
        <v>0</v>
      </c>
      <c r="E165">
        <v>0</v>
      </c>
      <c r="F165">
        <v>0</v>
      </c>
      <c r="G165">
        <v>0</v>
      </c>
      <c r="H165">
        <v>0</v>
      </c>
      <c r="I165">
        <v>0</v>
      </c>
      <c r="J165">
        <v>0</v>
      </c>
      <c r="K165">
        <v>0</v>
      </c>
      <c r="L165">
        <v>0</v>
      </c>
      <c r="M165">
        <v>0</v>
      </c>
      <c r="N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P165">
        <v>0</v>
      </c>
      <c r="AQ165">
        <v>0</v>
      </c>
      <c r="AR165">
        <v>0</v>
      </c>
      <c r="AS165">
        <v>0</v>
      </c>
      <c r="AT165">
        <v>0</v>
      </c>
      <c r="AU165">
        <v>0</v>
      </c>
      <c r="AV165">
        <v>0</v>
      </c>
      <c r="AX165">
        <v>0</v>
      </c>
      <c r="AY165">
        <v>0</v>
      </c>
      <c r="AZ165">
        <v>0</v>
      </c>
      <c r="BA165">
        <v>0</v>
      </c>
      <c r="BB165">
        <v>0</v>
      </c>
      <c r="BC165">
        <v>0</v>
      </c>
      <c r="BD165">
        <v>0</v>
      </c>
      <c r="BE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row>
    <row r="166" spans="1:79" x14ac:dyDescent="0.3">
      <c r="A166" s="155">
        <v>620</v>
      </c>
      <c r="B166" t="s">
        <v>899</v>
      </c>
      <c r="D166">
        <v>2</v>
      </c>
      <c r="E166">
        <v>2</v>
      </c>
      <c r="F166">
        <v>2</v>
      </c>
      <c r="G166">
        <v>2</v>
      </c>
      <c r="H166">
        <v>2</v>
      </c>
      <c r="I166">
        <v>2</v>
      </c>
      <c r="J166">
        <v>0</v>
      </c>
      <c r="K166">
        <v>2</v>
      </c>
      <c r="L166">
        <v>2</v>
      </c>
      <c r="M166">
        <v>2</v>
      </c>
      <c r="N166">
        <v>2</v>
      </c>
      <c r="P166">
        <v>2</v>
      </c>
      <c r="Q166">
        <v>2</v>
      </c>
      <c r="R166">
        <v>2</v>
      </c>
      <c r="S166">
        <v>2</v>
      </c>
      <c r="T166">
        <v>1</v>
      </c>
      <c r="U166">
        <v>1</v>
      </c>
      <c r="V166">
        <v>2</v>
      </c>
      <c r="W166">
        <v>2</v>
      </c>
      <c r="X166">
        <v>1</v>
      </c>
      <c r="Y166">
        <v>1</v>
      </c>
      <c r="Z166">
        <v>2</v>
      </c>
      <c r="AA166">
        <v>2</v>
      </c>
      <c r="AB166">
        <v>0</v>
      </c>
      <c r="AC166">
        <v>2</v>
      </c>
      <c r="AD166">
        <v>2</v>
      </c>
      <c r="AE166">
        <v>2</v>
      </c>
      <c r="AF166">
        <v>2</v>
      </c>
      <c r="AG166">
        <v>0</v>
      </c>
      <c r="AH166">
        <v>2</v>
      </c>
      <c r="AI166">
        <v>2</v>
      </c>
      <c r="AJ166">
        <v>2</v>
      </c>
      <c r="AK166">
        <v>1</v>
      </c>
      <c r="AL166">
        <v>2</v>
      </c>
      <c r="AM166">
        <v>2</v>
      </c>
      <c r="AN166">
        <v>2</v>
      </c>
      <c r="AP166">
        <v>2</v>
      </c>
      <c r="AQ166">
        <v>2</v>
      </c>
      <c r="AR166">
        <v>1</v>
      </c>
      <c r="AS166">
        <v>1</v>
      </c>
      <c r="AT166">
        <v>2</v>
      </c>
      <c r="AU166">
        <v>2</v>
      </c>
      <c r="AV166">
        <v>2</v>
      </c>
      <c r="AX166">
        <v>2</v>
      </c>
      <c r="AY166">
        <v>2</v>
      </c>
      <c r="AZ166">
        <v>2</v>
      </c>
      <c r="BA166">
        <v>1</v>
      </c>
      <c r="BB166">
        <v>2</v>
      </c>
      <c r="BC166">
        <v>2</v>
      </c>
      <c r="BD166">
        <v>2</v>
      </c>
      <c r="BE166">
        <v>2</v>
      </c>
      <c r="BH166">
        <v>2</v>
      </c>
      <c r="BI166">
        <v>2</v>
      </c>
      <c r="BJ166">
        <v>2</v>
      </c>
      <c r="BK166">
        <v>1</v>
      </c>
      <c r="BL166">
        <v>2</v>
      </c>
      <c r="BM166">
        <v>2</v>
      </c>
      <c r="BN166">
        <v>1</v>
      </c>
      <c r="BO166">
        <v>2</v>
      </c>
      <c r="BP166">
        <v>1</v>
      </c>
      <c r="BQ166">
        <v>2</v>
      </c>
      <c r="BR166">
        <v>2</v>
      </c>
      <c r="BS166">
        <v>2</v>
      </c>
      <c r="BT166">
        <v>2</v>
      </c>
      <c r="BU166">
        <v>2</v>
      </c>
      <c r="BV166">
        <v>2</v>
      </c>
      <c r="BW166">
        <v>2</v>
      </c>
      <c r="BX166">
        <v>2</v>
      </c>
      <c r="BY166">
        <v>2</v>
      </c>
      <c r="BZ166">
        <v>1</v>
      </c>
      <c r="CA166">
        <v>2</v>
      </c>
    </row>
    <row r="167" spans="1:79" x14ac:dyDescent="0.3">
      <c r="A167" s="155">
        <v>621</v>
      </c>
      <c r="B167" t="s">
        <v>900</v>
      </c>
      <c r="D167">
        <v>0</v>
      </c>
      <c r="E167">
        <v>0</v>
      </c>
      <c r="F167">
        <v>0</v>
      </c>
      <c r="G167">
        <v>0</v>
      </c>
      <c r="H167">
        <v>0</v>
      </c>
      <c r="I167">
        <v>0</v>
      </c>
      <c r="J167">
        <v>0</v>
      </c>
      <c r="K167">
        <v>0</v>
      </c>
      <c r="L167">
        <v>0</v>
      </c>
      <c r="M167">
        <v>0</v>
      </c>
      <c r="N167">
        <v>0</v>
      </c>
      <c r="P167">
        <v>0</v>
      </c>
      <c r="Q167">
        <v>0</v>
      </c>
      <c r="R167">
        <v>0</v>
      </c>
      <c r="S167">
        <v>0</v>
      </c>
      <c r="T167">
        <v>0</v>
      </c>
      <c r="U167">
        <v>4127730</v>
      </c>
      <c r="V167">
        <v>0</v>
      </c>
      <c r="W167">
        <v>0</v>
      </c>
      <c r="X167">
        <v>0</v>
      </c>
      <c r="Y167">
        <v>0</v>
      </c>
      <c r="Z167">
        <v>0</v>
      </c>
      <c r="AA167">
        <v>3235014</v>
      </c>
      <c r="AB167">
        <v>0</v>
      </c>
      <c r="AC167">
        <v>0</v>
      </c>
      <c r="AD167">
        <v>0</v>
      </c>
      <c r="AE167">
        <v>0</v>
      </c>
      <c r="AF167">
        <v>0</v>
      </c>
      <c r="AG167">
        <v>0</v>
      </c>
      <c r="AH167">
        <v>0</v>
      </c>
      <c r="AI167">
        <v>0</v>
      </c>
      <c r="AJ167">
        <v>0</v>
      </c>
      <c r="AK167">
        <v>0</v>
      </c>
      <c r="AL167">
        <v>0</v>
      </c>
      <c r="AM167">
        <v>0</v>
      </c>
      <c r="AN167">
        <v>0</v>
      </c>
      <c r="AP167">
        <v>0</v>
      </c>
      <c r="AQ167">
        <v>0</v>
      </c>
      <c r="AR167">
        <v>0</v>
      </c>
      <c r="AS167">
        <v>0</v>
      </c>
      <c r="AT167">
        <v>0</v>
      </c>
      <c r="AU167">
        <v>0</v>
      </c>
      <c r="AV167">
        <v>0</v>
      </c>
      <c r="AX167">
        <v>0</v>
      </c>
      <c r="AY167">
        <v>0</v>
      </c>
      <c r="AZ167">
        <v>1374648</v>
      </c>
      <c r="BA167">
        <v>0</v>
      </c>
      <c r="BB167">
        <v>514820</v>
      </c>
      <c r="BC167">
        <v>0</v>
      </c>
      <c r="BD167">
        <v>0</v>
      </c>
      <c r="BE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row>
    <row r="168" spans="1:79" x14ac:dyDescent="0.3">
      <c r="A168" s="155">
        <v>622</v>
      </c>
      <c r="B168" t="s">
        <v>901</v>
      </c>
      <c r="D168">
        <v>295524</v>
      </c>
      <c r="E168">
        <v>519122</v>
      </c>
      <c r="F168">
        <v>34199</v>
      </c>
      <c r="G168">
        <v>5781504</v>
      </c>
      <c r="H168">
        <v>315308</v>
      </c>
      <c r="I168">
        <v>94338</v>
      </c>
      <c r="J168">
        <v>153973</v>
      </c>
      <c r="K168">
        <v>215930</v>
      </c>
      <c r="L168">
        <v>4666580</v>
      </c>
      <c r="M168">
        <v>0</v>
      </c>
      <c r="N168">
        <v>73613</v>
      </c>
      <c r="P168">
        <v>2876321</v>
      </c>
      <c r="Q168">
        <v>1477466</v>
      </c>
      <c r="R168">
        <v>992850</v>
      </c>
      <c r="S168">
        <v>1980637</v>
      </c>
      <c r="T168">
        <v>0</v>
      </c>
      <c r="U168">
        <v>3205369</v>
      </c>
      <c r="V168">
        <v>0</v>
      </c>
      <c r="W168">
        <v>532925</v>
      </c>
      <c r="X168">
        <v>1478847</v>
      </c>
      <c r="Y168">
        <v>616812</v>
      </c>
      <c r="Z168">
        <v>202895</v>
      </c>
      <c r="AA168">
        <v>412231</v>
      </c>
      <c r="AB168">
        <v>0</v>
      </c>
      <c r="AC168">
        <v>0</v>
      </c>
      <c r="AD168">
        <v>125295</v>
      </c>
      <c r="AE168">
        <v>383246</v>
      </c>
      <c r="AF168">
        <v>0</v>
      </c>
      <c r="AG168">
        <v>0</v>
      </c>
      <c r="AH168">
        <v>0</v>
      </c>
      <c r="AI168">
        <v>212863</v>
      </c>
      <c r="AJ168">
        <v>1518873</v>
      </c>
      <c r="AK168">
        <v>12269</v>
      </c>
      <c r="AL168">
        <v>0</v>
      </c>
      <c r="AM168">
        <v>0</v>
      </c>
      <c r="AN168">
        <v>2288125</v>
      </c>
      <c r="AP168">
        <v>96619</v>
      </c>
      <c r="AQ168">
        <v>3291250</v>
      </c>
      <c r="AR168">
        <v>304265</v>
      </c>
      <c r="AS168">
        <v>40947</v>
      </c>
      <c r="AT168">
        <v>468207</v>
      </c>
      <c r="AU168">
        <v>1571629</v>
      </c>
      <c r="AV168">
        <v>7361</v>
      </c>
      <c r="AX168">
        <v>397048</v>
      </c>
      <c r="AY168">
        <v>441829</v>
      </c>
      <c r="AZ168">
        <v>699780</v>
      </c>
      <c r="BA168">
        <v>0</v>
      </c>
      <c r="BB168">
        <v>214703</v>
      </c>
      <c r="BC168">
        <v>84501</v>
      </c>
      <c r="BD168">
        <v>0</v>
      </c>
      <c r="BE168">
        <v>3466540</v>
      </c>
      <c r="BH168">
        <v>322975</v>
      </c>
      <c r="BI168">
        <v>239241</v>
      </c>
      <c r="BJ168">
        <v>38033</v>
      </c>
      <c r="BK168">
        <v>616506</v>
      </c>
      <c r="BL168">
        <v>395974</v>
      </c>
      <c r="BM168">
        <v>0</v>
      </c>
      <c r="BN168">
        <v>789036</v>
      </c>
      <c r="BO168">
        <v>249209</v>
      </c>
      <c r="BP168">
        <v>94776</v>
      </c>
      <c r="BQ168">
        <v>199674</v>
      </c>
      <c r="BR168">
        <v>0</v>
      </c>
      <c r="BS168">
        <v>2036309</v>
      </c>
      <c r="BT168">
        <v>209796</v>
      </c>
      <c r="BU168">
        <v>328191</v>
      </c>
      <c r="BV168">
        <v>77600</v>
      </c>
      <c r="BW168">
        <v>24691</v>
      </c>
      <c r="BX168">
        <v>0</v>
      </c>
      <c r="BY168">
        <v>0</v>
      </c>
      <c r="BZ168">
        <v>1807650</v>
      </c>
      <c r="CA168">
        <v>0</v>
      </c>
    </row>
    <row r="169" spans="1:79" x14ac:dyDescent="0.3">
      <c r="A169" s="155">
        <v>624</v>
      </c>
      <c r="B169" t="s">
        <v>355</v>
      </c>
      <c r="D169">
        <v>2</v>
      </c>
      <c r="E169">
        <v>2</v>
      </c>
      <c r="F169">
        <v>1</v>
      </c>
      <c r="G169">
        <v>1</v>
      </c>
      <c r="H169">
        <v>1</v>
      </c>
      <c r="I169">
        <v>1</v>
      </c>
      <c r="J169">
        <v>2</v>
      </c>
      <c r="K169">
        <v>2</v>
      </c>
      <c r="L169">
        <v>1</v>
      </c>
      <c r="M169">
        <v>1</v>
      </c>
      <c r="N169">
        <v>1</v>
      </c>
      <c r="P169">
        <v>1</v>
      </c>
      <c r="Q169">
        <v>1</v>
      </c>
      <c r="R169">
        <v>1</v>
      </c>
      <c r="S169">
        <v>1</v>
      </c>
      <c r="T169">
        <v>1</v>
      </c>
      <c r="U169">
        <v>1</v>
      </c>
      <c r="V169">
        <v>1</v>
      </c>
      <c r="W169">
        <v>1</v>
      </c>
      <c r="X169">
        <v>1</v>
      </c>
      <c r="Y169">
        <v>1</v>
      </c>
      <c r="Z169">
        <v>1</v>
      </c>
      <c r="AA169">
        <v>2</v>
      </c>
      <c r="AB169">
        <v>1</v>
      </c>
      <c r="AC169">
        <v>1</v>
      </c>
      <c r="AD169">
        <v>1</v>
      </c>
      <c r="AE169">
        <v>1</v>
      </c>
      <c r="AF169">
        <v>1</v>
      </c>
      <c r="AG169">
        <v>0</v>
      </c>
      <c r="AH169">
        <v>1</v>
      </c>
      <c r="AI169">
        <v>1</v>
      </c>
      <c r="AJ169">
        <v>2</v>
      </c>
      <c r="AK169">
        <v>1</v>
      </c>
      <c r="AL169">
        <v>1</v>
      </c>
      <c r="AM169">
        <v>1</v>
      </c>
      <c r="AN169">
        <v>2</v>
      </c>
      <c r="AP169">
        <v>1</v>
      </c>
      <c r="AQ169">
        <v>1</v>
      </c>
      <c r="AR169">
        <v>1</v>
      </c>
      <c r="AS169">
        <v>2</v>
      </c>
      <c r="AT169">
        <v>2</v>
      </c>
      <c r="AU169">
        <v>1</v>
      </c>
      <c r="AV169">
        <v>1</v>
      </c>
      <c r="AX169">
        <v>1</v>
      </c>
      <c r="AY169">
        <v>1</v>
      </c>
      <c r="AZ169">
        <v>1</v>
      </c>
      <c r="BA169">
        <v>2</v>
      </c>
      <c r="BB169">
        <v>1</v>
      </c>
      <c r="BC169">
        <v>1</v>
      </c>
      <c r="BD169">
        <v>1</v>
      </c>
      <c r="BE169">
        <v>1</v>
      </c>
      <c r="BH169">
        <v>2</v>
      </c>
      <c r="BI169">
        <v>2</v>
      </c>
      <c r="BJ169">
        <v>1</v>
      </c>
      <c r="BK169">
        <v>1</v>
      </c>
      <c r="BL169">
        <v>2</v>
      </c>
      <c r="BM169">
        <v>2</v>
      </c>
      <c r="BN169">
        <v>2</v>
      </c>
      <c r="BO169">
        <v>2</v>
      </c>
      <c r="BP169">
        <v>2</v>
      </c>
      <c r="BQ169">
        <v>1</v>
      </c>
      <c r="BR169">
        <v>1</v>
      </c>
      <c r="BS169">
        <v>2</v>
      </c>
      <c r="BT169">
        <v>2</v>
      </c>
      <c r="BU169">
        <v>1</v>
      </c>
      <c r="BV169">
        <v>1</v>
      </c>
      <c r="BW169">
        <v>1</v>
      </c>
      <c r="BX169">
        <v>1</v>
      </c>
      <c r="BY169">
        <v>0</v>
      </c>
      <c r="BZ169">
        <v>1</v>
      </c>
      <c r="CA169">
        <v>1</v>
      </c>
    </row>
    <row r="170" spans="1:79" x14ac:dyDescent="0.3">
      <c r="A170" s="155">
        <v>626</v>
      </c>
      <c r="B170" t="s">
        <v>902</v>
      </c>
      <c r="D170">
        <v>125753</v>
      </c>
      <c r="E170">
        <v>9636713</v>
      </c>
      <c r="F170">
        <v>187585</v>
      </c>
      <c r="G170">
        <v>8106811</v>
      </c>
      <c r="H170">
        <v>617572</v>
      </c>
      <c r="I170">
        <v>16822</v>
      </c>
      <c r="J170">
        <v>49695</v>
      </c>
      <c r="K170">
        <v>495399</v>
      </c>
      <c r="L170">
        <v>17536164</v>
      </c>
      <c r="M170">
        <v>22661</v>
      </c>
      <c r="N170">
        <v>185264</v>
      </c>
      <c r="P170">
        <v>8676254</v>
      </c>
      <c r="Q170">
        <v>10019177</v>
      </c>
      <c r="R170">
        <v>1516557</v>
      </c>
      <c r="S170">
        <v>2808783</v>
      </c>
      <c r="T170">
        <v>116694</v>
      </c>
      <c r="U170">
        <v>3584679</v>
      </c>
      <c r="V170">
        <v>2859</v>
      </c>
      <c r="W170">
        <v>2557460</v>
      </c>
      <c r="X170">
        <v>3538860</v>
      </c>
      <c r="Y170">
        <v>1198770</v>
      </c>
      <c r="Z170">
        <v>522970</v>
      </c>
      <c r="AA170">
        <v>17263989</v>
      </c>
      <c r="AB170">
        <v>540012</v>
      </c>
      <c r="AC170">
        <v>4905</v>
      </c>
      <c r="AD170">
        <v>46051</v>
      </c>
      <c r="AE170">
        <v>750033</v>
      </c>
      <c r="AF170">
        <v>253779</v>
      </c>
      <c r="AG170">
        <v>1204</v>
      </c>
      <c r="AH170">
        <v>11358</v>
      </c>
      <c r="AI170">
        <v>451332</v>
      </c>
      <c r="AJ170">
        <v>3901246</v>
      </c>
      <c r="AK170">
        <v>83025</v>
      </c>
      <c r="AL170">
        <v>13107</v>
      </c>
      <c r="AM170">
        <v>10671786</v>
      </c>
      <c r="AN170">
        <v>4629352</v>
      </c>
      <c r="AP170">
        <v>1609692</v>
      </c>
      <c r="AQ170">
        <v>10622777</v>
      </c>
      <c r="AR170">
        <v>820957</v>
      </c>
      <c r="AS170">
        <v>169740</v>
      </c>
      <c r="AT170">
        <v>766694</v>
      </c>
      <c r="AU170">
        <v>4776205</v>
      </c>
      <c r="AV170">
        <v>60722</v>
      </c>
      <c r="AX170">
        <v>2466508</v>
      </c>
      <c r="AY170">
        <v>1071497</v>
      </c>
      <c r="AZ170">
        <v>913182</v>
      </c>
      <c r="BA170">
        <v>0</v>
      </c>
      <c r="BB170">
        <v>878514</v>
      </c>
      <c r="BC170">
        <v>264184</v>
      </c>
      <c r="BD170">
        <v>1038</v>
      </c>
      <c r="BE170">
        <v>6964060</v>
      </c>
      <c r="BH170">
        <v>56836</v>
      </c>
      <c r="BI170">
        <v>452069</v>
      </c>
      <c r="BJ170">
        <v>48085</v>
      </c>
      <c r="BK170">
        <v>253703</v>
      </c>
      <c r="BL170">
        <v>440329</v>
      </c>
      <c r="BM170">
        <v>0</v>
      </c>
      <c r="BN170">
        <v>1147176</v>
      </c>
      <c r="BO170">
        <v>419698</v>
      </c>
      <c r="BP170">
        <v>34342</v>
      </c>
      <c r="BQ170">
        <v>102774</v>
      </c>
      <c r="BR170">
        <v>183128</v>
      </c>
      <c r="BS170">
        <v>3251311</v>
      </c>
      <c r="BT170">
        <v>117767</v>
      </c>
      <c r="BU170">
        <v>6173152</v>
      </c>
      <c r="BV170">
        <v>123767</v>
      </c>
      <c r="BW170">
        <v>111777</v>
      </c>
      <c r="BX170">
        <v>0</v>
      </c>
      <c r="BY170">
        <v>7738</v>
      </c>
      <c r="BZ170">
        <v>4707904</v>
      </c>
      <c r="CA170">
        <v>35549</v>
      </c>
    </row>
    <row r="171" spans="1:79" x14ac:dyDescent="0.3">
      <c r="A171" s="155">
        <v>627</v>
      </c>
      <c r="B171" t="s">
        <v>903</v>
      </c>
      <c r="D171">
        <v>0</v>
      </c>
      <c r="E171">
        <v>0</v>
      </c>
      <c r="F171">
        <v>0</v>
      </c>
      <c r="G171">
        <v>0</v>
      </c>
      <c r="H171">
        <v>0</v>
      </c>
      <c r="I171">
        <v>0</v>
      </c>
      <c r="J171">
        <v>0</v>
      </c>
      <c r="K171">
        <v>0</v>
      </c>
      <c r="L171">
        <v>0</v>
      </c>
      <c r="M171">
        <v>0</v>
      </c>
      <c r="N171">
        <v>0</v>
      </c>
      <c r="P171">
        <v>405000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P171">
        <v>0</v>
      </c>
      <c r="AQ171">
        <v>0</v>
      </c>
      <c r="AR171">
        <v>0</v>
      </c>
      <c r="AS171">
        <v>0</v>
      </c>
      <c r="AT171">
        <v>0</v>
      </c>
      <c r="AU171">
        <v>0</v>
      </c>
      <c r="AV171">
        <v>0</v>
      </c>
      <c r="AX171">
        <v>0</v>
      </c>
      <c r="AY171">
        <v>0</v>
      </c>
      <c r="AZ171">
        <v>0</v>
      </c>
      <c r="BA171">
        <v>0</v>
      </c>
      <c r="BB171">
        <v>0</v>
      </c>
      <c r="BC171">
        <v>0</v>
      </c>
      <c r="BD171">
        <v>0</v>
      </c>
      <c r="BE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row>
    <row r="172" spans="1:79" x14ac:dyDescent="0.3">
      <c r="A172" s="155">
        <v>628</v>
      </c>
      <c r="B172" t="s">
        <v>904</v>
      </c>
      <c r="D172">
        <v>12088</v>
      </c>
      <c r="E172">
        <v>239792</v>
      </c>
      <c r="F172">
        <v>11273</v>
      </c>
      <c r="G172">
        <v>849009</v>
      </c>
      <c r="H172">
        <v>19500</v>
      </c>
      <c r="I172">
        <v>932</v>
      </c>
      <c r="J172">
        <v>34110</v>
      </c>
      <c r="K172">
        <v>10052</v>
      </c>
      <c r="L172">
        <v>1201000</v>
      </c>
      <c r="M172">
        <v>0</v>
      </c>
      <c r="N172">
        <v>0</v>
      </c>
      <c r="P172">
        <v>1613147</v>
      </c>
      <c r="Q172">
        <v>600000</v>
      </c>
      <c r="R172">
        <v>278824</v>
      </c>
      <c r="S172">
        <v>234248</v>
      </c>
      <c r="T172">
        <v>0</v>
      </c>
      <c r="U172">
        <v>222125</v>
      </c>
      <c r="V172">
        <v>0</v>
      </c>
      <c r="W172">
        <v>50000</v>
      </c>
      <c r="X172">
        <v>448234</v>
      </c>
      <c r="Y172">
        <v>136000</v>
      </c>
      <c r="Z172">
        <v>40400</v>
      </c>
      <c r="AA172">
        <v>47438</v>
      </c>
      <c r="AB172">
        <v>0</v>
      </c>
      <c r="AC172">
        <v>0</v>
      </c>
      <c r="AD172">
        <v>13747</v>
      </c>
      <c r="AE172">
        <v>75100</v>
      </c>
      <c r="AF172">
        <v>0</v>
      </c>
      <c r="AG172">
        <v>0</v>
      </c>
      <c r="AH172">
        <v>0</v>
      </c>
      <c r="AI172">
        <v>0</v>
      </c>
      <c r="AJ172">
        <v>232900</v>
      </c>
      <c r="AK172">
        <v>0</v>
      </c>
      <c r="AL172">
        <v>0</v>
      </c>
      <c r="AM172">
        <v>0</v>
      </c>
      <c r="AN172">
        <v>358943</v>
      </c>
      <c r="AP172">
        <v>28332</v>
      </c>
      <c r="AQ172">
        <v>682000</v>
      </c>
      <c r="AR172">
        <v>31522</v>
      </c>
      <c r="AS172">
        <v>0</v>
      </c>
      <c r="AT172">
        <v>100000</v>
      </c>
      <c r="AU172">
        <v>234303</v>
      </c>
      <c r="AV172">
        <v>451</v>
      </c>
      <c r="AX172">
        <v>122366</v>
      </c>
      <c r="AY172">
        <v>0</v>
      </c>
      <c r="AZ172">
        <v>0</v>
      </c>
      <c r="BA172">
        <v>0</v>
      </c>
      <c r="BB172">
        <v>0</v>
      </c>
      <c r="BC172">
        <v>5009</v>
      </c>
      <c r="BD172">
        <v>0</v>
      </c>
      <c r="BE172">
        <v>213982</v>
      </c>
      <c r="BH172">
        <v>0</v>
      </c>
      <c r="BI172">
        <v>64775</v>
      </c>
      <c r="BJ172">
        <v>5906</v>
      </c>
      <c r="BK172">
        <v>0</v>
      </c>
      <c r="BL172">
        <v>30000</v>
      </c>
      <c r="BM172">
        <v>0</v>
      </c>
      <c r="BN172">
        <v>190000</v>
      </c>
      <c r="BO172">
        <v>38501</v>
      </c>
      <c r="BP172">
        <v>19176</v>
      </c>
      <c r="BQ172">
        <v>0</v>
      </c>
      <c r="BR172">
        <v>19670</v>
      </c>
      <c r="BS172">
        <v>387382</v>
      </c>
      <c r="BT172">
        <v>0</v>
      </c>
      <c r="BU172">
        <v>114538</v>
      </c>
      <c r="BV172">
        <v>5000</v>
      </c>
      <c r="BW172">
        <v>0</v>
      </c>
      <c r="BX172">
        <v>0</v>
      </c>
      <c r="BY172">
        <v>0</v>
      </c>
      <c r="BZ172">
        <v>427210</v>
      </c>
      <c r="CA172">
        <v>0</v>
      </c>
    </row>
    <row r="173" spans="1:79" x14ac:dyDescent="0.3">
      <c r="A173" s="155">
        <v>629</v>
      </c>
      <c r="B173" t="s">
        <v>905</v>
      </c>
      <c r="D173">
        <v>0</v>
      </c>
      <c r="E173">
        <v>0</v>
      </c>
      <c r="F173">
        <v>0</v>
      </c>
      <c r="G173">
        <v>0</v>
      </c>
      <c r="H173">
        <v>0</v>
      </c>
      <c r="I173">
        <v>0</v>
      </c>
      <c r="J173">
        <v>0</v>
      </c>
      <c r="K173">
        <v>0</v>
      </c>
      <c r="L173">
        <v>0</v>
      </c>
      <c r="M173">
        <v>0</v>
      </c>
      <c r="N173">
        <v>0</v>
      </c>
      <c r="P173">
        <v>413527</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P173">
        <v>0</v>
      </c>
      <c r="AQ173">
        <v>0</v>
      </c>
      <c r="AR173">
        <v>0</v>
      </c>
      <c r="AS173">
        <v>0</v>
      </c>
      <c r="AT173">
        <v>0</v>
      </c>
      <c r="AU173">
        <v>0</v>
      </c>
      <c r="AV173">
        <v>0</v>
      </c>
      <c r="AX173">
        <v>0</v>
      </c>
      <c r="AY173">
        <v>0</v>
      </c>
      <c r="AZ173">
        <v>0</v>
      </c>
      <c r="BA173">
        <v>0</v>
      </c>
      <c r="BB173">
        <v>0</v>
      </c>
      <c r="BC173">
        <v>0</v>
      </c>
      <c r="BD173">
        <v>0</v>
      </c>
      <c r="BE173">
        <v>0</v>
      </c>
      <c r="BH173">
        <v>0</v>
      </c>
      <c r="BI173">
        <v>0</v>
      </c>
      <c r="BJ173">
        <v>0</v>
      </c>
      <c r="BK173">
        <v>0</v>
      </c>
      <c r="BL173">
        <v>0</v>
      </c>
      <c r="BM173">
        <v>0</v>
      </c>
      <c r="BN173">
        <v>0</v>
      </c>
      <c r="BO173">
        <v>0</v>
      </c>
      <c r="BP173">
        <v>0</v>
      </c>
      <c r="BQ173">
        <v>0</v>
      </c>
      <c r="BR173">
        <v>0</v>
      </c>
      <c r="BS173">
        <v>0</v>
      </c>
      <c r="BT173">
        <v>0</v>
      </c>
      <c r="BU173">
        <v>968662</v>
      </c>
      <c r="BV173">
        <v>0</v>
      </c>
      <c r="BW173">
        <v>0</v>
      </c>
      <c r="BX173">
        <v>0</v>
      </c>
      <c r="BY173">
        <v>0</v>
      </c>
      <c r="BZ173">
        <v>0</v>
      </c>
      <c r="CA173">
        <v>0</v>
      </c>
    </row>
    <row r="174" spans="1:79" x14ac:dyDescent="0.3">
      <c r="A174" s="155">
        <v>630</v>
      </c>
      <c r="B174" t="s">
        <v>906</v>
      </c>
      <c r="D174">
        <v>0</v>
      </c>
      <c r="E174">
        <v>6475114</v>
      </c>
      <c r="F174">
        <v>70454</v>
      </c>
      <c r="G174">
        <v>0</v>
      </c>
      <c r="H174">
        <v>17025</v>
      </c>
      <c r="I174">
        <v>0</v>
      </c>
      <c r="J174">
        <v>0</v>
      </c>
      <c r="K174">
        <v>0</v>
      </c>
      <c r="L174">
        <v>0</v>
      </c>
      <c r="M174">
        <v>0</v>
      </c>
      <c r="N174">
        <v>134012</v>
      </c>
      <c r="P174">
        <v>344055</v>
      </c>
      <c r="Q174">
        <v>3638169</v>
      </c>
      <c r="R174">
        <v>0</v>
      </c>
      <c r="S174">
        <v>0</v>
      </c>
      <c r="T174">
        <v>108344</v>
      </c>
      <c r="U174">
        <v>0</v>
      </c>
      <c r="V174">
        <v>0</v>
      </c>
      <c r="W174">
        <v>897958</v>
      </c>
      <c r="X174">
        <v>0</v>
      </c>
      <c r="Y174">
        <v>0</v>
      </c>
      <c r="Z174">
        <v>0</v>
      </c>
      <c r="AA174">
        <v>0</v>
      </c>
      <c r="AB174">
        <v>0</v>
      </c>
      <c r="AC174">
        <v>0</v>
      </c>
      <c r="AD174">
        <v>0</v>
      </c>
      <c r="AE174">
        <v>3471</v>
      </c>
      <c r="AF174">
        <v>250000</v>
      </c>
      <c r="AG174">
        <v>0</v>
      </c>
      <c r="AH174">
        <v>10918</v>
      </c>
      <c r="AI174">
        <v>0</v>
      </c>
      <c r="AJ174">
        <v>0</v>
      </c>
      <c r="AK174">
        <v>77260</v>
      </c>
      <c r="AL174">
        <v>8764</v>
      </c>
      <c r="AM174">
        <v>0</v>
      </c>
      <c r="AN174">
        <v>0</v>
      </c>
      <c r="AP174">
        <v>200346</v>
      </c>
      <c r="AQ174">
        <v>102075</v>
      </c>
      <c r="AR174">
        <v>0</v>
      </c>
      <c r="AS174">
        <v>20965</v>
      </c>
      <c r="AT174">
        <v>0</v>
      </c>
      <c r="AU174">
        <v>0</v>
      </c>
      <c r="AV174">
        <v>0</v>
      </c>
      <c r="AX174">
        <v>0</v>
      </c>
      <c r="AY174">
        <v>1018266</v>
      </c>
      <c r="AZ174">
        <v>0</v>
      </c>
      <c r="BA174">
        <v>0</v>
      </c>
      <c r="BB174">
        <v>0</v>
      </c>
      <c r="BC174">
        <v>0</v>
      </c>
      <c r="BD174">
        <v>0</v>
      </c>
      <c r="BE174">
        <v>0</v>
      </c>
      <c r="BH174">
        <v>0</v>
      </c>
      <c r="BI174">
        <v>15000</v>
      </c>
      <c r="BJ174">
        <v>0</v>
      </c>
      <c r="BK174">
        <v>1515</v>
      </c>
      <c r="BL174">
        <v>0</v>
      </c>
      <c r="BM174">
        <v>15750</v>
      </c>
      <c r="BN174">
        <v>18367</v>
      </c>
      <c r="BO174">
        <v>0</v>
      </c>
      <c r="BP174">
        <v>0</v>
      </c>
      <c r="BQ174">
        <v>0</v>
      </c>
      <c r="BR174">
        <v>33023</v>
      </c>
      <c r="BS174">
        <v>23246</v>
      </c>
      <c r="BT174">
        <v>0</v>
      </c>
      <c r="BU174">
        <v>0</v>
      </c>
      <c r="BV174">
        <v>0</v>
      </c>
      <c r="BW174">
        <v>0</v>
      </c>
      <c r="BX174">
        <v>0</v>
      </c>
      <c r="BY174">
        <v>7738</v>
      </c>
      <c r="BZ174">
        <v>1119671</v>
      </c>
      <c r="CA174">
        <v>0</v>
      </c>
    </row>
    <row r="175" spans="1:79" x14ac:dyDescent="0.3">
      <c r="A175" s="155">
        <v>631</v>
      </c>
      <c r="B175" t="s">
        <v>907</v>
      </c>
      <c r="D175">
        <v>0</v>
      </c>
      <c r="E175">
        <v>0</v>
      </c>
      <c r="F175">
        <v>0</v>
      </c>
      <c r="G175">
        <v>0</v>
      </c>
      <c r="H175">
        <v>0</v>
      </c>
      <c r="I175">
        <v>0</v>
      </c>
      <c r="J175">
        <v>0</v>
      </c>
      <c r="K175">
        <v>0</v>
      </c>
      <c r="L175">
        <v>0</v>
      </c>
      <c r="M175">
        <v>0</v>
      </c>
      <c r="N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P175">
        <v>0</v>
      </c>
      <c r="AQ175">
        <v>0</v>
      </c>
      <c r="AR175">
        <v>0</v>
      </c>
      <c r="AS175">
        <v>0</v>
      </c>
      <c r="AT175">
        <v>0</v>
      </c>
      <c r="AU175">
        <v>0</v>
      </c>
      <c r="AV175">
        <v>0</v>
      </c>
      <c r="AX175">
        <v>0</v>
      </c>
      <c r="AY175">
        <v>0</v>
      </c>
      <c r="AZ175">
        <v>0</v>
      </c>
      <c r="BA175">
        <v>0</v>
      </c>
      <c r="BB175">
        <v>0</v>
      </c>
      <c r="BC175">
        <v>0</v>
      </c>
      <c r="BD175">
        <v>0</v>
      </c>
      <c r="BE175">
        <v>0</v>
      </c>
      <c r="BH175">
        <v>0</v>
      </c>
      <c r="BI175">
        <v>0</v>
      </c>
      <c r="BJ175">
        <v>0</v>
      </c>
      <c r="BK175">
        <v>0</v>
      </c>
      <c r="BL175">
        <v>0</v>
      </c>
      <c r="BM175">
        <v>0</v>
      </c>
      <c r="BN175">
        <v>0</v>
      </c>
      <c r="BO175">
        <v>0</v>
      </c>
      <c r="BP175">
        <v>0</v>
      </c>
      <c r="BQ175">
        <v>0</v>
      </c>
      <c r="BR175">
        <v>0</v>
      </c>
      <c r="BS175">
        <v>0</v>
      </c>
      <c r="BT175">
        <v>0</v>
      </c>
      <c r="BU175">
        <v>3624831</v>
      </c>
      <c r="BV175">
        <v>0</v>
      </c>
      <c r="BW175">
        <v>0</v>
      </c>
      <c r="BX175">
        <v>0</v>
      </c>
      <c r="BY175">
        <v>0</v>
      </c>
      <c r="BZ175">
        <v>0</v>
      </c>
      <c r="CA175">
        <v>0</v>
      </c>
    </row>
    <row r="176" spans="1:79" x14ac:dyDescent="0.3">
      <c r="A176" s="155">
        <v>632</v>
      </c>
      <c r="B176" t="s">
        <v>908</v>
      </c>
      <c r="D176">
        <v>0</v>
      </c>
      <c r="E176">
        <v>0</v>
      </c>
      <c r="F176">
        <v>0</v>
      </c>
      <c r="G176">
        <v>0</v>
      </c>
      <c r="H176">
        <v>0</v>
      </c>
      <c r="I176">
        <v>0</v>
      </c>
      <c r="J176">
        <v>0</v>
      </c>
      <c r="K176">
        <v>0</v>
      </c>
      <c r="L176">
        <v>0</v>
      </c>
      <c r="M176">
        <v>0</v>
      </c>
      <c r="N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P176">
        <v>0</v>
      </c>
      <c r="AQ176">
        <v>0</v>
      </c>
      <c r="AR176">
        <v>0</v>
      </c>
      <c r="AS176">
        <v>0</v>
      </c>
      <c r="AT176">
        <v>0</v>
      </c>
      <c r="AU176">
        <v>0</v>
      </c>
      <c r="AV176">
        <v>0</v>
      </c>
      <c r="AX176">
        <v>0</v>
      </c>
      <c r="AY176">
        <v>0</v>
      </c>
      <c r="AZ176">
        <v>0</v>
      </c>
      <c r="BA176">
        <v>0</v>
      </c>
      <c r="BB176">
        <v>0</v>
      </c>
      <c r="BC176">
        <v>0</v>
      </c>
      <c r="BD176">
        <v>0</v>
      </c>
      <c r="BE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row>
    <row r="177" spans="1:79" x14ac:dyDescent="0.3">
      <c r="A177" s="155">
        <v>633</v>
      </c>
      <c r="B177" t="s">
        <v>371</v>
      </c>
      <c r="D177">
        <v>0</v>
      </c>
      <c r="E177">
        <v>0</v>
      </c>
      <c r="F177">
        <v>25990</v>
      </c>
      <c r="G177">
        <v>15712674</v>
      </c>
      <c r="H177">
        <v>378039</v>
      </c>
      <c r="I177">
        <v>66723</v>
      </c>
      <c r="J177">
        <v>107194</v>
      </c>
      <c r="K177">
        <v>417385</v>
      </c>
      <c r="L177">
        <v>6817153</v>
      </c>
      <c r="M177">
        <v>0</v>
      </c>
      <c r="N177">
        <v>20340</v>
      </c>
      <c r="P177">
        <v>0</v>
      </c>
      <c r="Q177">
        <v>1119367</v>
      </c>
      <c r="R177">
        <v>1513333</v>
      </c>
      <c r="S177">
        <v>2107785</v>
      </c>
      <c r="T177">
        <v>134173</v>
      </c>
      <c r="U177">
        <v>2603634</v>
      </c>
      <c r="V177">
        <v>0</v>
      </c>
      <c r="W177">
        <v>0</v>
      </c>
      <c r="X177">
        <v>0</v>
      </c>
      <c r="Y177">
        <v>827620</v>
      </c>
      <c r="Z177">
        <v>139877</v>
      </c>
      <c r="AA177">
        <v>993475</v>
      </c>
      <c r="AB177">
        <v>0</v>
      </c>
      <c r="AC177">
        <v>32477</v>
      </c>
      <c r="AD177">
        <v>233101</v>
      </c>
      <c r="AE177">
        <v>334843</v>
      </c>
      <c r="AF177">
        <v>7475</v>
      </c>
      <c r="AG177">
        <v>0</v>
      </c>
      <c r="AH177">
        <v>0</v>
      </c>
      <c r="AI177">
        <v>0</v>
      </c>
      <c r="AJ177">
        <v>1543870</v>
      </c>
      <c r="AK177">
        <v>78369</v>
      </c>
      <c r="AL177">
        <v>0</v>
      </c>
      <c r="AM177">
        <v>0</v>
      </c>
      <c r="AN177">
        <v>2180346</v>
      </c>
      <c r="AP177">
        <v>0</v>
      </c>
      <c r="AQ177">
        <v>1295900</v>
      </c>
      <c r="AR177">
        <v>185787</v>
      </c>
      <c r="AS177">
        <v>50484</v>
      </c>
      <c r="AT177">
        <v>248789</v>
      </c>
      <c r="AU177">
        <v>1446318</v>
      </c>
      <c r="AV177">
        <v>92027</v>
      </c>
      <c r="AX177">
        <v>70894</v>
      </c>
      <c r="AY177">
        <v>163493</v>
      </c>
      <c r="AZ177">
        <v>484268</v>
      </c>
      <c r="BA177">
        <v>37846</v>
      </c>
      <c r="BB177">
        <v>160025</v>
      </c>
      <c r="BC177">
        <v>273506</v>
      </c>
      <c r="BD177">
        <v>0</v>
      </c>
      <c r="BE177">
        <v>3894273</v>
      </c>
      <c r="BH177">
        <v>396433</v>
      </c>
      <c r="BI177">
        <v>213042</v>
      </c>
      <c r="BJ177">
        <v>178190</v>
      </c>
      <c r="BK177">
        <v>217000</v>
      </c>
      <c r="BL177">
        <v>546746</v>
      </c>
      <c r="BM177">
        <v>0</v>
      </c>
      <c r="BN177">
        <v>694044</v>
      </c>
      <c r="BO177">
        <v>152601</v>
      </c>
      <c r="BP177">
        <v>81075</v>
      </c>
      <c r="BQ177">
        <v>277558</v>
      </c>
      <c r="BR177">
        <v>0</v>
      </c>
      <c r="BS177">
        <v>0</v>
      </c>
      <c r="BT177">
        <v>130735</v>
      </c>
      <c r="BU177">
        <v>394503</v>
      </c>
      <c r="BV177">
        <v>145373</v>
      </c>
      <c r="BW177">
        <v>156344</v>
      </c>
      <c r="BX177">
        <v>0</v>
      </c>
      <c r="BY177">
        <v>0</v>
      </c>
      <c r="BZ177">
        <v>4565517</v>
      </c>
      <c r="CA177">
        <v>0</v>
      </c>
    </row>
    <row r="178" spans="1:79" x14ac:dyDescent="0.3">
      <c r="A178" s="155">
        <v>634</v>
      </c>
      <c r="B178" t="s">
        <v>372</v>
      </c>
      <c r="D178">
        <v>0</v>
      </c>
      <c r="E178">
        <v>0</v>
      </c>
      <c r="F178">
        <v>0</v>
      </c>
      <c r="G178">
        <v>0</v>
      </c>
      <c r="H178">
        <v>0</v>
      </c>
      <c r="I178">
        <v>0</v>
      </c>
      <c r="J178">
        <v>0</v>
      </c>
      <c r="K178">
        <v>0</v>
      </c>
      <c r="L178">
        <v>0</v>
      </c>
      <c r="M178">
        <v>0</v>
      </c>
      <c r="N178">
        <v>0</v>
      </c>
      <c r="P178">
        <v>0</v>
      </c>
      <c r="Q178">
        <v>0</v>
      </c>
      <c r="R178">
        <v>0</v>
      </c>
      <c r="S178">
        <v>0</v>
      </c>
      <c r="T178">
        <v>0</v>
      </c>
      <c r="U178">
        <v>193170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P178">
        <v>0</v>
      </c>
      <c r="AQ178">
        <v>0</v>
      </c>
      <c r="AR178">
        <v>0</v>
      </c>
      <c r="AS178">
        <v>0</v>
      </c>
      <c r="AT178">
        <v>0</v>
      </c>
      <c r="AU178">
        <v>0</v>
      </c>
      <c r="AV178">
        <v>0</v>
      </c>
      <c r="AX178">
        <v>0</v>
      </c>
      <c r="AY178">
        <v>0</v>
      </c>
      <c r="AZ178">
        <v>0</v>
      </c>
      <c r="BA178">
        <v>0</v>
      </c>
      <c r="BB178">
        <v>0</v>
      </c>
      <c r="BC178">
        <v>0</v>
      </c>
      <c r="BD178">
        <v>0</v>
      </c>
      <c r="BE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row>
    <row r="179" spans="1:79" x14ac:dyDescent="0.3">
      <c r="A179" s="155">
        <v>635</v>
      </c>
      <c r="B179" t="s">
        <v>373</v>
      </c>
      <c r="D179">
        <v>0</v>
      </c>
      <c r="E179">
        <v>0</v>
      </c>
      <c r="F179">
        <v>5045</v>
      </c>
      <c r="G179">
        <v>120913</v>
      </c>
      <c r="H179">
        <v>16000</v>
      </c>
      <c r="I179">
        <v>754</v>
      </c>
      <c r="J179">
        <v>15965</v>
      </c>
      <c r="K179">
        <v>5319</v>
      </c>
      <c r="L179">
        <v>153500</v>
      </c>
      <c r="M179">
        <v>0</v>
      </c>
      <c r="N179">
        <v>0</v>
      </c>
      <c r="P179">
        <v>0</v>
      </c>
      <c r="Q179">
        <v>70000</v>
      </c>
      <c r="R179">
        <v>68913</v>
      </c>
      <c r="S179">
        <v>33998</v>
      </c>
      <c r="T179">
        <v>0</v>
      </c>
      <c r="U179">
        <v>28785</v>
      </c>
      <c r="V179">
        <v>0</v>
      </c>
      <c r="W179">
        <v>0</v>
      </c>
      <c r="X179">
        <v>0</v>
      </c>
      <c r="Y179">
        <v>30000</v>
      </c>
      <c r="Z179">
        <v>38650</v>
      </c>
      <c r="AA179">
        <v>2192</v>
      </c>
      <c r="AB179">
        <v>0</v>
      </c>
      <c r="AC179">
        <v>0</v>
      </c>
      <c r="AD179">
        <v>6914</v>
      </c>
      <c r="AE179">
        <v>7800</v>
      </c>
      <c r="AF179">
        <v>0</v>
      </c>
      <c r="AG179">
        <v>0</v>
      </c>
      <c r="AH179">
        <v>0</v>
      </c>
      <c r="AI179">
        <v>0</v>
      </c>
      <c r="AJ179">
        <v>52862</v>
      </c>
      <c r="AK179">
        <v>252</v>
      </c>
      <c r="AL179">
        <v>0</v>
      </c>
      <c r="AM179">
        <v>0</v>
      </c>
      <c r="AN179">
        <v>63134</v>
      </c>
      <c r="AP179">
        <v>0</v>
      </c>
      <c r="AQ179">
        <v>171000</v>
      </c>
      <c r="AR179">
        <v>10244</v>
      </c>
      <c r="AS179">
        <v>0</v>
      </c>
      <c r="AT179">
        <v>20000</v>
      </c>
      <c r="AU179">
        <v>67076</v>
      </c>
      <c r="AV179">
        <v>4061</v>
      </c>
      <c r="AX179">
        <v>0</v>
      </c>
      <c r="AY179">
        <v>0</v>
      </c>
      <c r="AZ179">
        <v>0</v>
      </c>
      <c r="BA179">
        <v>0</v>
      </c>
      <c r="BB179">
        <v>0</v>
      </c>
      <c r="BC179">
        <v>249</v>
      </c>
      <c r="BD179">
        <v>0</v>
      </c>
      <c r="BE179">
        <v>64589</v>
      </c>
      <c r="BH179">
        <v>0</v>
      </c>
      <c r="BI179">
        <v>20547</v>
      </c>
      <c r="BJ179">
        <v>5318</v>
      </c>
      <c r="BK179">
        <v>0</v>
      </c>
      <c r="BL179">
        <v>21500</v>
      </c>
      <c r="BM179">
        <v>0</v>
      </c>
      <c r="BN179">
        <v>36000</v>
      </c>
      <c r="BO179">
        <v>12202</v>
      </c>
      <c r="BP179">
        <v>2796</v>
      </c>
      <c r="BQ179">
        <v>0</v>
      </c>
      <c r="BR179">
        <v>0</v>
      </c>
      <c r="BS179">
        <v>0</v>
      </c>
      <c r="BT179">
        <v>0</v>
      </c>
      <c r="BU179">
        <v>0</v>
      </c>
      <c r="BV179">
        <v>3000</v>
      </c>
      <c r="BW179">
        <v>0</v>
      </c>
      <c r="BX179">
        <v>0</v>
      </c>
      <c r="BY179">
        <v>0</v>
      </c>
      <c r="BZ179">
        <v>73570</v>
      </c>
      <c r="CA179">
        <v>0</v>
      </c>
    </row>
    <row r="180" spans="1:79" x14ac:dyDescent="0.3">
      <c r="A180" s="155">
        <v>636</v>
      </c>
      <c r="B180" t="s">
        <v>1579</v>
      </c>
      <c r="D180">
        <v>0</v>
      </c>
      <c r="E180">
        <v>0</v>
      </c>
      <c r="F180">
        <v>0</v>
      </c>
      <c r="G180">
        <v>0</v>
      </c>
      <c r="H180">
        <v>0</v>
      </c>
      <c r="I180">
        <v>0</v>
      </c>
      <c r="J180">
        <v>0</v>
      </c>
      <c r="K180">
        <v>0</v>
      </c>
      <c r="L180">
        <v>0</v>
      </c>
      <c r="M180">
        <v>0</v>
      </c>
      <c r="N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P180">
        <v>0</v>
      </c>
      <c r="AQ180">
        <v>0</v>
      </c>
      <c r="AR180">
        <v>0</v>
      </c>
      <c r="AS180">
        <v>0</v>
      </c>
      <c r="AT180">
        <v>0</v>
      </c>
      <c r="AU180">
        <v>0</v>
      </c>
      <c r="AV180">
        <v>0</v>
      </c>
      <c r="AX180">
        <v>0</v>
      </c>
      <c r="AY180">
        <v>0</v>
      </c>
      <c r="AZ180">
        <v>0</v>
      </c>
      <c r="BA180">
        <v>0</v>
      </c>
      <c r="BB180">
        <v>0</v>
      </c>
      <c r="BC180">
        <v>0</v>
      </c>
      <c r="BD180">
        <v>0</v>
      </c>
      <c r="BE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row>
    <row r="181" spans="1:79" x14ac:dyDescent="0.3">
      <c r="A181" s="155">
        <v>637</v>
      </c>
      <c r="B181" t="s">
        <v>1580</v>
      </c>
      <c r="D181">
        <v>0</v>
      </c>
      <c r="E181">
        <v>0</v>
      </c>
      <c r="F181">
        <v>11083</v>
      </c>
      <c r="G181">
        <v>0</v>
      </c>
      <c r="H181">
        <v>39911</v>
      </c>
      <c r="I181">
        <v>29726</v>
      </c>
      <c r="J181">
        <v>81450</v>
      </c>
      <c r="K181">
        <v>0</v>
      </c>
      <c r="L181">
        <v>422128</v>
      </c>
      <c r="M181">
        <v>0</v>
      </c>
      <c r="N181">
        <v>0</v>
      </c>
      <c r="P181">
        <v>0</v>
      </c>
      <c r="Q181">
        <v>0</v>
      </c>
      <c r="R181">
        <v>492399</v>
      </c>
      <c r="S181">
        <v>77530</v>
      </c>
      <c r="T181">
        <v>0</v>
      </c>
      <c r="U181">
        <v>0</v>
      </c>
      <c r="V181">
        <v>0</v>
      </c>
      <c r="W181">
        <v>0</v>
      </c>
      <c r="X181">
        <v>0</v>
      </c>
      <c r="Y181">
        <v>0</v>
      </c>
      <c r="Z181">
        <v>45865</v>
      </c>
      <c r="AA181">
        <v>0</v>
      </c>
      <c r="AB181">
        <v>0</v>
      </c>
      <c r="AC181">
        <v>0</v>
      </c>
      <c r="AD181">
        <v>33977</v>
      </c>
      <c r="AE181">
        <v>22238</v>
      </c>
      <c r="AF181">
        <v>0</v>
      </c>
      <c r="AG181">
        <v>0</v>
      </c>
      <c r="AH181">
        <v>0</v>
      </c>
      <c r="AI181">
        <v>0</v>
      </c>
      <c r="AJ181">
        <v>0</v>
      </c>
      <c r="AK181">
        <v>15300</v>
      </c>
      <c r="AL181">
        <v>0</v>
      </c>
      <c r="AM181">
        <v>0</v>
      </c>
      <c r="AN181">
        <v>193081</v>
      </c>
      <c r="AP181">
        <v>0</v>
      </c>
      <c r="AQ181">
        <v>57665</v>
      </c>
      <c r="AR181">
        <v>24759</v>
      </c>
      <c r="AS181">
        <v>27126</v>
      </c>
      <c r="AT181">
        <v>145119</v>
      </c>
      <c r="AU181">
        <v>127906</v>
      </c>
      <c r="AV181">
        <v>52189</v>
      </c>
      <c r="AX181">
        <v>0</v>
      </c>
      <c r="AY181">
        <v>75689</v>
      </c>
      <c r="AZ181">
        <v>0</v>
      </c>
      <c r="BA181">
        <v>0</v>
      </c>
      <c r="BB181">
        <v>0</v>
      </c>
      <c r="BC181">
        <v>19776</v>
      </c>
      <c r="BD181">
        <v>0</v>
      </c>
      <c r="BE181">
        <v>53673</v>
      </c>
      <c r="BH181">
        <v>0</v>
      </c>
      <c r="BI181">
        <v>0</v>
      </c>
      <c r="BJ181">
        <v>0</v>
      </c>
      <c r="BK181">
        <v>46165</v>
      </c>
      <c r="BL181">
        <v>0</v>
      </c>
      <c r="BM181">
        <v>0</v>
      </c>
      <c r="BN181">
        <v>271243</v>
      </c>
      <c r="BO181">
        <v>90875</v>
      </c>
      <c r="BP181">
        <v>37740</v>
      </c>
      <c r="BQ181">
        <v>63994</v>
      </c>
      <c r="BR181">
        <v>0</v>
      </c>
      <c r="BS181">
        <v>0</v>
      </c>
      <c r="BT181">
        <v>0</v>
      </c>
      <c r="BU181">
        <v>45145</v>
      </c>
      <c r="BV181">
        <v>45932</v>
      </c>
      <c r="BW181">
        <v>27259</v>
      </c>
      <c r="BX181">
        <v>0</v>
      </c>
      <c r="BY181">
        <v>0</v>
      </c>
      <c r="BZ181">
        <v>738766</v>
      </c>
      <c r="CA181">
        <v>0</v>
      </c>
    </row>
    <row r="182" spans="1:79" x14ac:dyDescent="0.3">
      <c r="A182" s="155">
        <v>638</v>
      </c>
      <c r="B182" t="s">
        <v>1581</v>
      </c>
      <c r="D182">
        <v>0</v>
      </c>
      <c r="E182">
        <v>0</v>
      </c>
      <c r="F182">
        <v>0</v>
      </c>
      <c r="G182">
        <v>0</v>
      </c>
      <c r="H182">
        <v>0</v>
      </c>
      <c r="I182">
        <v>0</v>
      </c>
      <c r="J182">
        <v>0</v>
      </c>
      <c r="K182">
        <v>0</v>
      </c>
      <c r="L182">
        <v>0</v>
      </c>
      <c r="M182">
        <v>0</v>
      </c>
      <c r="N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P182">
        <v>0</v>
      </c>
      <c r="AQ182">
        <v>0</v>
      </c>
      <c r="AR182">
        <v>0</v>
      </c>
      <c r="AS182">
        <v>0</v>
      </c>
      <c r="AT182">
        <v>0</v>
      </c>
      <c r="AU182">
        <v>0</v>
      </c>
      <c r="AV182">
        <v>0</v>
      </c>
      <c r="AX182">
        <v>0</v>
      </c>
      <c r="AY182">
        <v>0</v>
      </c>
      <c r="AZ182">
        <v>0</v>
      </c>
      <c r="BA182">
        <v>0</v>
      </c>
      <c r="BB182">
        <v>0</v>
      </c>
      <c r="BC182">
        <v>0</v>
      </c>
      <c r="BD182">
        <v>0</v>
      </c>
      <c r="BE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row>
    <row r="183" spans="1:79" x14ac:dyDescent="0.3">
      <c r="A183" s="155">
        <v>639</v>
      </c>
      <c r="B183" t="s">
        <v>1582</v>
      </c>
      <c r="D183">
        <v>0</v>
      </c>
      <c r="E183">
        <v>0</v>
      </c>
      <c r="F183">
        <v>0</v>
      </c>
      <c r="G183">
        <v>0</v>
      </c>
      <c r="H183">
        <v>0</v>
      </c>
      <c r="I183">
        <v>0</v>
      </c>
      <c r="J183">
        <v>0</v>
      </c>
      <c r="K183">
        <v>0</v>
      </c>
      <c r="L183">
        <v>0</v>
      </c>
      <c r="M183">
        <v>0</v>
      </c>
      <c r="N183">
        <v>0</v>
      </c>
      <c r="P183">
        <v>0</v>
      </c>
      <c r="Q183">
        <v>0</v>
      </c>
      <c r="R183">
        <v>0</v>
      </c>
      <c r="S183">
        <v>1768650</v>
      </c>
      <c r="T183">
        <v>0</v>
      </c>
      <c r="U183">
        <v>2075586</v>
      </c>
      <c r="V183">
        <v>0</v>
      </c>
      <c r="W183">
        <v>0</v>
      </c>
      <c r="X183">
        <v>0</v>
      </c>
      <c r="Y183">
        <v>0</v>
      </c>
      <c r="Z183">
        <v>1826341</v>
      </c>
      <c r="AA183">
        <v>334210</v>
      </c>
      <c r="AB183">
        <v>0</v>
      </c>
      <c r="AC183">
        <v>0</v>
      </c>
      <c r="AD183">
        <v>0</v>
      </c>
      <c r="AE183">
        <v>636702</v>
      </c>
      <c r="AF183">
        <v>0</v>
      </c>
      <c r="AG183">
        <v>0</v>
      </c>
      <c r="AH183">
        <v>0</v>
      </c>
      <c r="AI183">
        <v>0</v>
      </c>
      <c r="AJ183">
        <v>2129543</v>
      </c>
      <c r="AK183">
        <v>0</v>
      </c>
      <c r="AL183">
        <v>0</v>
      </c>
      <c r="AM183">
        <v>0</v>
      </c>
      <c r="AN183">
        <v>0</v>
      </c>
      <c r="AP183">
        <v>0</v>
      </c>
      <c r="AQ183">
        <v>5453473</v>
      </c>
      <c r="AR183">
        <v>0</v>
      </c>
      <c r="AS183">
        <v>0</v>
      </c>
      <c r="AT183">
        <v>0</v>
      </c>
      <c r="AU183">
        <v>948686</v>
      </c>
      <c r="AV183">
        <v>0</v>
      </c>
      <c r="AX183">
        <v>0</v>
      </c>
      <c r="AY183">
        <v>0</v>
      </c>
      <c r="AZ183">
        <v>690592</v>
      </c>
      <c r="BA183">
        <v>0</v>
      </c>
      <c r="BB183">
        <v>0</v>
      </c>
      <c r="BC183">
        <v>303956</v>
      </c>
      <c r="BD183">
        <v>0</v>
      </c>
      <c r="BE183">
        <v>5867007</v>
      </c>
      <c r="BH183">
        <v>0</v>
      </c>
      <c r="BI183">
        <v>0</v>
      </c>
      <c r="BJ183">
        <v>0</v>
      </c>
      <c r="BK183">
        <v>160467</v>
      </c>
      <c r="BL183">
        <v>0</v>
      </c>
      <c r="BM183">
        <v>0</v>
      </c>
      <c r="BN183">
        <v>0</v>
      </c>
      <c r="BO183">
        <v>0</v>
      </c>
      <c r="BP183">
        <v>0</v>
      </c>
      <c r="BQ183">
        <v>0</v>
      </c>
      <c r="BR183">
        <v>0</v>
      </c>
      <c r="BS183">
        <v>0</v>
      </c>
      <c r="BT183">
        <v>0</v>
      </c>
      <c r="BU183">
        <v>0</v>
      </c>
      <c r="BV183">
        <v>0</v>
      </c>
      <c r="BW183">
        <v>0</v>
      </c>
      <c r="BX183">
        <v>0</v>
      </c>
      <c r="BY183">
        <v>0</v>
      </c>
      <c r="BZ183">
        <v>0</v>
      </c>
      <c r="CA183">
        <v>0</v>
      </c>
    </row>
    <row r="184" spans="1:79" x14ac:dyDescent="0.3">
      <c r="A184" s="155">
        <v>640</v>
      </c>
      <c r="B184" t="s">
        <v>1583</v>
      </c>
      <c r="D184">
        <v>0</v>
      </c>
      <c r="E184">
        <v>0</v>
      </c>
      <c r="F184">
        <v>0</v>
      </c>
      <c r="G184">
        <v>0</v>
      </c>
      <c r="H184">
        <v>0</v>
      </c>
      <c r="I184">
        <v>0</v>
      </c>
      <c r="J184">
        <v>0</v>
      </c>
      <c r="K184">
        <v>0</v>
      </c>
      <c r="L184">
        <v>0</v>
      </c>
      <c r="M184">
        <v>0</v>
      </c>
      <c r="N184">
        <v>0</v>
      </c>
      <c r="P184">
        <v>0</v>
      </c>
      <c r="Q184">
        <v>0</v>
      </c>
      <c r="R184">
        <v>0</v>
      </c>
      <c r="S184">
        <v>0</v>
      </c>
      <c r="T184">
        <v>0</v>
      </c>
      <c r="U184">
        <v>217830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P184">
        <v>0</v>
      </c>
      <c r="AQ184">
        <v>0</v>
      </c>
      <c r="AR184">
        <v>0</v>
      </c>
      <c r="AS184">
        <v>0</v>
      </c>
      <c r="AT184">
        <v>0</v>
      </c>
      <c r="AU184">
        <v>0</v>
      </c>
      <c r="AV184">
        <v>0</v>
      </c>
      <c r="AX184">
        <v>0</v>
      </c>
      <c r="AY184">
        <v>0</v>
      </c>
      <c r="AZ184">
        <v>0</v>
      </c>
      <c r="BA184">
        <v>0</v>
      </c>
      <c r="BB184">
        <v>0</v>
      </c>
      <c r="BC184">
        <v>0</v>
      </c>
      <c r="BD184">
        <v>0</v>
      </c>
      <c r="BE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row>
    <row r="185" spans="1:79" x14ac:dyDescent="0.3">
      <c r="A185" s="155">
        <v>641</v>
      </c>
      <c r="B185" t="s">
        <v>1584</v>
      </c>
      <c r="D185">
        <v>0</v>
      </c>
      <c r="E185">
        <v>0</v>
      </c>
      <c r="F185">
        <v>0</v>
      </c>
      <c r="G185">
        <v>0</v>
      </c>
      <c r="H185">
        <v>0</v>
      </c>
      <c r="I185">
        <v>0</v>
      </c>
      <c r="J185">
        <v>0</v>
      </c>
      <c r="K185">
        <v>0</v>
      </c>
      <c r="L185">
        <v>0</v>
      </c>
      <c r="M185">
        <v>0</v>
      </c>
      <c r="N185">
        <v>0</v>
      </c>
      <c r="P185">
        <v>0</v>
      </c>
      <c r="Q185">
        <v>0</v>
      </c>
      <c r="R185">
        <v>0</v>
      </c>
      <c r="S185">
        <v>34355</v>
      </c>
      <c r="T185">
        <v>0</v>
      </c>
      <c r="U185">
        <v>19919</v>
      </c>
      <c r="V185">
        <v>0</v>
      </c>
      <c r="W185">
        <v>0</v>
      </c>
      <c r="X185">
        <v>0</v>
      </c>
      <c r="Y185">
        <v>0</v>
      </c>
      <c r="Z185">
        <v>26500</v>
      </c>
      <c r="AA185">
        <v>310</v>
      </c>
      <c r="AB185">
        <v>0</v>
      </c>
      <c r="AC185">
        <v>0</v>
      </c>
      <c r="AD185">
        <v>0</v>
      </c>
      <c r="AE185">
        <v>28900</v>
      </c>
      <c r="AF185">
        <v>0</v>
      </c>
      <c r="AG185">
        <v>0</v>
      </c>
      <c r="AH185">
        <v>0</v>
      </c>
      <c r="AI185">
        <v>0</v>
      </c>
      <c r="AJ185">
        <v>46954</v>
      </c>
      <c r="AK185">
        <v>0</v>
      </c>
      <c r="AL185">
        <v>0</v>
      </c>
      <c r="AM185">
        <v>0</v>
      </c>
      <c r="AN185">
        <v>0</v>
      </c>
      <c r="AP185">
        <v>0</v>
      </c>
      <c r="AQ185">
        <v>0</v>
      </c>
      <c r="AR185">
        <v>0</v>
      </c>
      <c r="AS185">
        <v>0</v>
      </c>
      <c r="AT185">
        <v>0</v>
      </c>
      <c r="AU185">
        <v>17081</v>
      </c>
      <c r="AV185">
        <v>0</v>
      </c>
      <c r="AX185">
        <v>0</v>
      </c>
      <c r="AY185">
        <v>0</v>
      </c>
      <c r="AZ185">
        <v>0</v>
      </c>
      <c r="BA185">
        <v>0</v>
      </c>
      <c r="BB185">
        <v>0</v>
      </c>
      <c r="BC185">
        <v>8262</v>
      </c>
      <c r="BD185">
        <v>0</v>
      </c>
      <c r="BE185">
        <v>36882</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row>
    <row r="186" spans="1:79" x14ac:dyDescent="0.3">
      <c r="A186" s="155">
        <v>642</v>
      </c>
      <c r="B186" t="s">
        <v>1585</v>
      </c>
      <c r="D186">
        <v>0</v>
      </c>
      <c r="E186">
        <v>0</v>
      </c>
      <c r="F186">
        <v>0</v>
      </c>
      <c r="G186">
        <v>0</v>
      </c>
      <c r="H186">
        <v>0</v>
      </c>
      <c r="I186">
        <v>0</v>
      </c>
      <c r="J186">
        <v>0</v>
      </c>
      <c r="K186">
        <v>0</v>
      </c>
      <c r="L186">
        <v>0</v>
      </c>
      <c r="M186">
        <v>0</v>
      </c>
      <c r="N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P186">
        <v>0</v>
      </c>
      <c r="AQ186">
        <v>0</v>
      </c>
      <c r="AR186">
        <v>0</v>
      </c>
      <c r="AS186">
        <v>0</v>
      </c>
      <c r="AT186">
        <v>0</v>
      </c>
      <c r="AU186">
        <v>0</v>
      </c>
      <c r="AV186">
        <v>0</v>
      </c>
      <c r="AX186">
        <v>0</v>
      </c>
      <c r="AY186">
        <v>0</v>
      </c>
      <c r="AZ186">
        <v>0</v>
      </c>
      <c r="BA186">
        <v>0</v>
      </c>
      <c r="BB186">
        <v>0</v>
      </c>
      <c r="BC186">
        <v>0</v>
      </c>
      <c r="BD186">
        <v>0</v>
      </c>
      <c r="BE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row>
    <row r="187" spans="1:79" x14ac:dyDescent="0.3">
      <c r="A187" s="155">
        <v>643</v>
      </c>
      <c r="B187" t="s">
        <v>1586</v>
      </c>
      <c r="D187">
        <v>0</v>
      </c>
      <c r="E187">
        <v>0</v>
      </c>
      <c r="F187">
        <v>0</v>
      </c>
      <c r="G187">
        <v>0</v>
      </c>
      <c r="H187">
        <v>0</v>
      </c>
      <c r="I187">
        <v>0</v>
      </c>
      <c r="J187">
        <v>0</v>
      </c>
      <c r="K187">
        <v>0</v>
      </c>
      <c r="L187">
        <v>0</v>
      </c>
      <c r="M187">
        <v>0</v>
      </c>
      <c r="N187">
        <v>0</v>
      </c>
      <c r="P187">
        <v>0</v>
      </c>
      <c r="Q187">
        <v>0</v>
      </c>
      <c r="R187">
        <v>0</v>
      </c>
      <c r="S187">
        <v>153998</v>
      </c>
      <c r="T187">
        <v>0</v>
      </c>
      <c r="U187">
        <v>0</v>
      </c>
      <c r="V187">
        <v>0</v>
      </c>
      <c r="W187">
        <v>0</v>
      </c>
      <c r="X187">
        <v>0</v>
      </c>
      <c r="Y187">
        <v>0</v>
      </c>
      <c r="Z187">
        <v>1038925</v>
      </c>
      <c r="AA187">
        <v>0</v>
      </c>
      <c r="AB187">
        <v>0</v>
      </c>
      <c r="AC187">
        <v>0</v>
      </c>
      <c r="AD187">
        <v>0</v>
      </c>
      <c r="AE187">
        <v>130005</v>
      </c>
      <c r="AF187">
        <v>0</v>
      </c>
      <c r="AG187">
        <v>0</v>
      </c>
      <c r="AH187">
        <v>0</v>
      </c>
      <c r="AI187">
        <v>0</v>
      </c>
      <c r="AJ187">
        <v>0</v>
      </c>
      <c r="AK187">
        <v>0</v>
      </c>
      <c r="AL187">
        <v>0</v>
      </c>
      <c r="AM187">
        <v>0</v>
      </c>
      <c r="AN187">
        <v>0</v>
      </c>
      <c r="AP187">
        <v>0</v>
      </c>
      <c r="AQ187">
        <v>685078</v>
      </c>
      <c r="AR187">
        <v>0</v>
      </c>
      <c r="AS187">
        <v>0</v>
      </c>
      <c r="AT187">
        <v>0</v>
      </c>
      <c r="AU187">
        <v>293080</v>
      </c>
      <c r="AV187">
        <v>0</v>
      </c>
      <c r="AX187">
        <v>0</v>
      </c>
      <c r="AY187">
        <v>0</v>
      </c>
      <c r="AZ187">
        <v>0</v>
      </c>
      <c r="BA187">
        <v>0</v>
      </c>
      <c r="BB187">
        <v>0</v>
      </c>
      <c r="BC187">
        <v>103822</v>
      </c>
      <c r="BD187">
        <v>0</v>
      </c>
      <c r="BE187">
        <v>3293217</v>
      </c>
      <c r="BH187">
        <v>0</v>
      </c>
      <c r="BI187">
        <v>0</v>
      </c>
      <c r="BJ187">
        <v>0</v>
      </c>
      <c r="BK187">
        <v>139573</v>
      </c>
      <c r="BL187">
        <v>0</v>
      </c>
      <c r="BM187">
        <v>0</v>
      </c>
      <c r="BN187">
        <v>0</v>
      </c>
      <c r="BO187">
        <v>0</v>
      </c>
      <c r="BP187">
        <v>0</v>
      </c>
      <c r="BQ187">
        <v>0</v>
      </c>
      <c r="BR187">
        <v>0</v>
      </c>
      <c r="BS187">
        <v>0</v>
      </c>
      <c r="BT187">
        <v>0</v>
      </c>
      <c r="BU187">
        <v>0</v>
      </c>
      <c r="BV187">
        <v>0</v>
      </c>
      <c r="BW187">
        <v>0</v>
      </c>
      <c r="BX187">
        <v>0</v>
      </c>
      <c r="BY187">
        <v>0</v>
      </c>
      <c r="BZ187">
        <v>0</v>
      </c>
      <c r="CA187">
        <v>0</v>
      </c>
    </row>
    <row r="188" spans="1:79" x14ac:dyDescent="0.3">
      <c r="A188" s="155">
        <v>644</v>
      </c>
      <c r="B188" t="s">
        <v>1587</v>
      </c>
      <c r="D188">
        <v>0</v>
      </c>
      <c r="E188">
        <v>0</v>
      </c>
      <c r="F188">
        <v>0</v>
      </c>
      <c r="G188">
        <v>0</v>
      </c>
      <c r="H188">
        <v>0</v>
      </c>
      <c r="I188">
        <v>0</v>
      </c>
      <c r="J188">
        <v>0</v>
      </c>
      <c r="K188">
        <v>0</v>
      </c>
      <c r="L188">
        <v>0</v>
      </c>
      <c r="M188">
        <v>0</v>
      </c>
      <c r="N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P188">
        <v>0</v>
      </c>
      <c r="AQ188">
        <v>0</v>
      </c>
      <c r="AR188">
        <v>0</v>
      </c>
      <c r="AS188">
        <v>0</v>
      </c>
      <c r="AT188">
        <v>0</v>
      </c>
      <c r="AU188">
        <v>0</v>
      </c>
      <c r="AV188">
        <v>0</v>
      </c>
      <c r="AX188">
        <v>0</v>
      </c>
      <c r="AY188">
        <v>0</v>
      </c>
      <c r="AZ188">
        <v>0</v>
      </c>
      <c r="BA188">
        <v>0</v>
      </c>
      <c r="BB188">
        <v>0</v>
      </c>
      <c r="BC188">
        <v>0</v>
      </c>
      <c r="BD188">
        <v>0</v>
      </c>
      <c r="BE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row>
    <row r="189" spans="1:79" x14ac:dyDescent="0.3">
      <c r="A189" s="155">
        <v>645</v>
      </c>
      <c r="B189" t="s">
        <v>384</v>
      </c>
      <c r="D189">
        <v>0</v>
      </c>
      <c r="E189">
        <v>396081</v>
      </c>
      <c r="F189">
        <v>0</v>
      </c>
      <c r="G189">
        <v>3548030</v>
      </c>
      <c r="H189">
        <v>740448</v>
      </c>
      <c r="I189">
        <v>15890</v>
      </c>
      <c r="J189">
        <v>484117</v>
      </c>
      <c r="K189">
        <v>0</v>
      </c>
      <c r="L189">
        <v>0</v>
      </c>
      <c r="M189">
        <v>0</v>
      </c>
      <c r="N189">
        <v>0</v>
      </c>
      <c r="P189">
        <v>0</v>
      </c>
      <c r="Q189">
        <v>2254309</v>
      </c>
      <c r="R189">
        <v>0</v>
      </c>
      <c r="S189">
        <v>0</v>
      </c>
      <c r="T189">
        <v>0</v>
      </c>
      <c r="U189">
        <v>1878109</v>
      </c>
      <c r="V189">
        <v>12600</v>
      </c>
      <c r="W189">
        <v>0</v>
      </c>
      <c r="X189">
        <v>333000</v>
      </c>
      <c r="Y189">
        <v>1199522</v>
      </c>
      <c r="Z189">
        <v>0</v>
      </c>
      <c r="AA189">
        <v>50000</v>
      </c>
      <c r="AB189">
        <v>0</v>
      </c>
      <c r="AC189">
        <v>0</v>
      </c>
      <c r="AD189">
        <v>113486</v>
      </c>
      <c r="AE189">
        <v>415300</v>
      </c>
      <c r="AF189">
        <v>0</v>
      </c>
      <c r="AG189">
        <v>18601</v>
      </c>
      <c r="AH189">
        <v>0</v>
      </c>
      <c r="AI189">
        <v>290218</v>
      </c>
      <c r="AJ189">
        <v>521128</v>
      </c>
      <c r="AK189">
        <v>0</v>
      </c>
      <c r="AL189">
        <v>0</v>
      </c>
      <c r="AM189">
        <v>0</v>
      </c>
      <c r="AN189">
        <v>0</v>
      </c>
      <c r="AP189">
        <v>1205260</v>
      </c>
      <c r="AQ189">
        <v>2453719</v>
      </c>
      <c r="AR189">
        <v>626463</v>
      </c>
      <c r="AS189">
        <v>0</v>
      </c>
      <c r="AT189">
        <v>0</v>
      </c>
      <c r="AU189">
        <v>0</v>
      </c>
      <c r="AV189">
        <v>0</v>
      </c>
      <c r="AX189">
        <v>453822</v>
      </c>
      <c r="AY189">
        <v>0</v>
      </c>
      <c r="AZ189">
        <v>378670</v>
      </c>
      <c r="BA189">
        <v>0</v>
      </c>
      <c r="BB189">
        <v>0</v>
      </c>
      <c r="BC189">
        <v>49400</v>
      </c>
      <c r="BD189">
        <v>68385</v>
      </c>
      <c r="BE189">
        <v>0</v>
      </c>
      <c r="BH189">
        <v>120000</v>
      </c>
      <c r="BI189">
        <v>0</v>
      </c>
      <c r="BJ189">
        <v>0</v>
      </c>
      <c r="BK189">
        <v>0</v>
      </c>
      <c r="BL189">
        <v>0</v>
      </c>
      <c r="BM189">
        <v>0</v>
      </c>
      <c r="BN189">
        <v>622397</v>
      </c>
      <c r="BO189">
        <v>495997</v>
      </c>
      <c r="BP189">
        <v>241741</v>
      </c>
      <c r="BQ189">
        <v>726107</v>
      </c>
      <c r="BR189">
        <v>797914</v>
      </c>
      <c r="BS189">
        <v>2568199</v>
      </c>
      <c r="BT189">
        <v>0</v>
      </c>
      <c r="BU189">
        <v>0</v>
      </c>
      <c r="BV189">
        <v>0</v>
      </c>
      <c r="BW189">
        <v>0</v>
      </c>
      <c r="BX189">
        <v>0</v>
      </c>
      <c r="BY189">
        <v>0</v>
      </c>
      <c r="BZ189">
        <v>2165385</v>
      </c>
      <c r="CA189">
        <v>0</v>
      </c>
    </row>
    <row r="190" spans="1:79" x14ac:dyDescent="0.3">
      <c r="A190" s="155">
        <v>646</v>
      </c>
      <c r="B190" t="s">
        <v>359</v>
      </c>
      <c r="D190">
        <v>406049</v>
      </c>
      <c r="E190">
        <v>18943342</v>
      </c>
      <c r="F190">
        <v>562252</v>
      </c>
      <c r="G190">
        <v>21791389</v>
      </c>
      <c r="H190">
        <v>2275513</v>
      </c>
      <c r="I190">
        <v>410287</v>
      </c>
      <c r="J190">
        <v>2045770</v>
      </c>
      <c r="K190">
        <v>1133336</v>
      </c>
      <c r="L190">
        <v>45280049</v>
      </c>
      <c r="M190">
        <v>212420</v>
      </c>
      <c r="N190">
        <v>705384</v>
      </c>
      <c r="P190">
        <v>15359347</v>
      </c>
      <c r="Q190">
        <v>16168197</v>
      </c>
      <c r="R190">
        <v>2733103</v>
      </c>
      <c r="S190">
        <v>9824184</v>
      </c>
      <c r="T190">
        <v>163651</v>
      </c>
      <c r="U190">
        <v>7864060</v>
      </c>
      <c r="V190">
        <v>150399</v>
      </c>
      <c r="W190">
        <v>9433433</v>
      </c>
      <c r="X190">
        <v>7887922</v>
      </c>
      <c r="Y190">
        <v>5053050</v>
      </c>
      <c r="Z190">
        <v>2003219</v>
      </c>
      <c r="AA190">
        <v>3894432</v>
      </c>
      <c r="AB190">
        <v>1054739</v>
      </c>
      <c r="AC190">
        <v>320903</v>
      </c>
      <c r="AD190">
        <v>1396550</v>
      </c>
      <c r="AE190">
        <v>1334616</v>
      </c>
      <c r="AF190">
        <v>116656</v>
      </c>
      <c r="AG190">
        <v>57099</v>
      </c>
      <c r="AH190">
        <v>167417</v>
      </c>
      <c r="AI190">
        <v>2051774</v>
      </c>
      <c r="AJ190">
        <v>2034628</v>
      </c>
      <c r="AK190">
        <v>340221</v>
      </c>
      <c r="AL190">
        <v>123374</v>
      </c>
      <c r="AM190">
        <v>9737804</v>
      </c>
      <c r="AN190">
        <v>14872480</v>
      </c>
      <c r="AP190">
        <v>5741987</v>
      </c>
      <c r="AQ190">
        <v>4968769</v>
      </c>
      <c r="AR190">
        <v>2164552</v>
      </c>
      <c r="AS190">
        <v>550233</v>
      </c>
      <c r="AT190">
        <v>1658998</v>
      </c>
      <c r="AU190">
        <v>5410047</v>
      </c>
      <c r="AV190">
        <v>229332</v>
      </c>
      <c r="AX190">
        <v>3165874</v>
      </c>
      <c r="AY190">
        <v>2955925</v>
      </c>
      <c r="AZ190">
        <v>765551</v>
      </c>
      <c r="BA190">
        <v>132754</v>
      </c>
      <c r="BB190">
        <v>2107230</v>
      </c>
      <c r="BC190">
        <v>918885</v>
      </c>
      <c r="BD190">
        <v>329774</v>
      </c>
      <c r="BE190">
        <v>5137178</v>
      </c>
      <c r="BH190">
        <v>3068425</v>
      </c>
      <c r="BI190">
        <v>3994399</v>
      </c>
      <c r="BJ190">
        <v>449770</v>
      </c>
      <c r="BK190">
        <v>4349211</v>
      </c>
      <c r="BL190">
        <v>6930176</v>
      </c>
      <c r="BM190">
        <v>176865</v>
      </c>
      <c r="BN190">
        <v>2769315</v>
      </c>
      <c r="BO190">
        <v>4126890</v>
      </c>
      <c r="BP190">
        <v>1320323</v>
      </c>
      <c r="BQ190">
        <v>1370448</v>
      </c>
      <c r="BR190">
        <v>1611355</v>
      </c>
      <c r="BS190">
        <v>12396675</v>
      </c>
      <c r="BT190">
        <v>1498179</v>
      </c>
      <c r="BU190">
        <v>843299</v>
      </c>
      <c r="BV190">
        <v>869519</v>
      </c>
      <c r="BW190">
        <v>1102030</v>
      </c>
      <c r="BX190">
        <v>198358</v>
      </c>
      <c r="BY190">
        <v>188656</v>
      </c>
      <c r="BZ190">
        <v>14347743</v>
      </c>
      <c r="CA190">
        <v>53925</v>
      </c>
    </row>
    <row r="191" spans="1:79" x14ac:dyDescent="0.3">
      <c r="A191" s="155">
        <v>647</v>
      </c>
      <c r="B191" t="s">
        <v>909</v>
      </c>
      <c r="D191">
        <v>0</v>
      </c>
      <c r="E191">
        <v>4883791</v>
      </c>
      <c r="F191">
        <v>0</v>
      </c>
      <c r="G191">
        <v>0</v>
      </c>
      <c r="H191">
        <v>0</v>
      </c>
      <c r="I191">
        <v>0</v>
      </c>
      <c r="J191">
        <v>0</v>
      </c>
      <c r="K191">
        <v>0</v>
      </c>
      <c r="L191">
        <v>0</v>
      </c>
      <c r="M191">
        <v>0</v>
      </c>
      <c r="N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P191">
        <v>0</v>
      </c>
      <c r="AQ191">
        <v>0</v>
      </c>
      <c r="AR191">
        <v>0</v>
      </c>
      <c r="AS191">
        <v>0</v>
      </c>
      <c r="AT191">
        <v>0</v>
      </c>
      <c r="AU191">
        <v>0</v>
      </c>
      <c r="AV191">
        <v>0</v>
      </c>
      <c r="AX191">
        <v>0</v>
      </c>
      <c r="AY191">
        <v>0</v>
      </c>
      <c r="AZ191">
        <v>0</v>
      </c>
      <c r="BA191">
        <v>0</v>
      </c>
      <c r="BB191">
        <v>0</v>
      </c>
      <c r="BC191">
        <v>0</v>
      </c>
      <c r="BD191">
        <v>0</v>
      </c>
      <c r="BE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row>
    <row r="192" spans="1:79" x14ac:dyDescent="0.3">
      <c r="A192" s="155">
        <v>648</v>
      </c>
      <c r="B192" t="s">
        <v>597</v>
      </c>
      <c r="D192">
        <v>0.28499999999999998</v>
      </c>
      <c r="E192">
        <v>0.185</v>
      </c>
      <c r="F192">
        <v>0.59499999999999997</v>
      </c>
      <c r="G192">
        <v>0.64200000000000002</v>
      </c>
      <c r="H192">
        <v>0.48499999999999999</v>
      </c>
      <c r="I192">
        <v>0.73</v>
      </c>
      <c r="J192">
        <v>0</v>
      </c>
      <c r="K192">
        <v>0.5</v>
      </c>
      <c r="L192">
        <v>0</v>
      </c>
      <c r="M192">
        <v>0.35899999999999999</v>
      </c>
      <c r="N192">
        <v>0.5</v>
      </c>
      <c r="P192">
        <v>0.55900000000000005</v>
      </c>
      <c r="Q192">
        <v>0.32</v>
      </c>
      <c r="R192">
        <v>0.42199999999999999</v>
      </c>
      <c r="S192">
        <v>0.43</v>
      </c>
      <c r="T192">
        <v>0.48</v>
      </c>
      <c r="U192">
        <v>0.77</v>
      </c>
      <c r="V192">
        <v>0.1</v>
      </c>
      <c r="W192">
        <v>0.3</v>
      </c>
      <c r="X192">
        <v>0.42</v>
      </c>
      <c r="Y192">
        <v>0.26579999999999998</v>
      </c>
      <c r="Z192">
        <v>0.53200000000000003</v>
      </c>
      <c r="AA192">
        <v>0.53</v>
      </c>
      <c r="AB192">
        <v>0</v>
      </c>
      <c r="AC192">
        <v>3.0000000000000001E-3</v>
      </c>
      <c r="AD192">
        <v>0.2</v>
      </c>
      <c r="AE192">
        <v>0.53</v>
      </c>
      <c r="AF192">
        <v>0.4</v>
      </c>
      <c r="AG192">
        <v>0</v>
      </c>
      <c r="AH192">
        <v>0.22</v>
      </c>
      <c r="AI192">
        <v>0.435</v>
      </c>
      <c r="AJ192">
        <v>0.4</v>
      </c>
      <c r="AK192">
        <v>0.35</v>
      </c>
      <c r="AL192">
        <v>0.25</v>
      </c>
      <c r="AM192">
        <v>0.25</v>
      </c>
      <c r="AN192">
        <v>0.57850000000000001</v>
      </c>
      <c r="AP192">
        <v>0.17699999999999999</v>
      </c>
      <c r="AQ192">
        <v>0.65</v>
      </c>
      <c r="AR192">
        <v>0.64</v>
      </c>
      <c r="AS192">
        <v>0.48</v>
      </c>
      <c r="AT192">
        <v>0.52</v>
      </c>
      <c r="AU192">
        <v>0.56000000000000005</v>
      </c>
      <c r="AV192">
        <v>0.3</v>
      </c>
      <c r="AX192">
        <v>0.36</v>
      </c>
      <c r="AY192">
        <v>0</v>
      </c>
      <c r="AZ192">
        <v>0.45</v>
      </c>
      <c r="BA192">
        <v>0.25</v>
      </c>
      <c r="BB192">
        <v>0.49</v>
      </c>
      <c r="BC192">
        <v>0.5</v>
      </c>
      <c r="BD192">
        <v>0.35</v>
      </c>
      <c r="BE192">
        <v>0.65</v>
      </c>
      <c r="BH192">
        <v>0.73</v>
      </c>
      <c r="BI192">
        <v>0.4</v>
      </c>
      <c r="BJ192">
        <v>0</v>
      </c>
      <c r="BK192">
        <v>0.38</v>
      </c>
      <c r="BL192">
        <v>0</v>
      </c>
      <c r="BM192">
        <v>0</v>
      </c>
      <c r="BN192">
        <v>0.51</v>
      </c>
      <c r="BO192">
        <v>0</v>
      </c>
      <c r="BP192">
        <v>0.49</v>
      </c>
      <c r="BQ192">
        <v>0.51</v>
      </c>
      <c r="BR192">
        <v>0</v>
      </c>
      <c r="BS192">
        <v>0.29499999999999998</v>
      </c>
      <c r="BT192">
        <v>0.8</v>
      </c>
      <c r="BU192">
        <v>0</v>
      </c>
      <c r="BV192">
        <v>0.51</v>
      </c>
      <c r="BW192">
        <v>0.33</v>
      </c>
      <c r="BX192">
        <v>5.0000000000000001E-4</v>
      </c>
      <c r="BY192">
        <v>0</v>
      </c>
      <c r="BZ192">
        <v>0.47</v>
      </c>
      <c r="CA192">
        <v>0.23</v>
      </c>
    </row>
    <row r="193" spans="1:79" x14ac:dyDescent="0.3">
      <c r="A193" s="155">
        <v>654</v>
      </c>
      <c r="B193" t="s">
        <v>413</v>
      </c>
      <c r="D193">
        <v>0</v>
      </c>
      <c r="E193">
        <v>0</v>
      </c>
      <c r="F193">
        <v>309310</v>
      </c>
      <c r="G193">
        <v>59157562</v>
      </c>
      <c r="H193">
        <v>11691399</v>
      </c>
      <c r="I193">
        <v>283345</v>
      </c>
      <c r="J193">
        <v>6640230</v>
      </c>
      <c r="K193">
        <v>1218678</v>
      </c>
      <c r="L193">
        <v>25918549</v>
      </c>
      <c r="M193">
        <v>0</v>
      </c>
      <c r="N193">
        <v>1984323</v>
      </c>
      <c r="P193">
        <v>0</v>
      </c>
      <c r="Q193">
        <v>10604541</v>
      </c>
      <c r="R193">
        <v>8804312</v>
      </c>
      <c r="S193">
        <v>8424275</v>
      </c>
      <c r="T193">
        <v>74484</v>
      </c>
      <c r="U193">
        <v>14864001</v>
      </c>
      <c r="V193">
        <v>0</v>
      </c>
      <c r="W193">
        <v>0</v>
      </c>
      <c r="X193">
        <v>0</v>
      </c>
      <c r="Y193">
        <v>4078395</v>
      </c>
      <c r="Z193">
        <v>1651752</v>
      </c>
      <c r="AA193">
        <v>2328448</v>
      </c>
      <c r="AB193">
        <v>0</v>
      </c>
      <c r="AC193">
        <v>115006</v>
      </c>
      <c r="AD193">
        <v>2463656</v>
      </c>
      <c r="AE193">
        <v>2726067</v>
      </c>
      <c r="AF193">
        <v>57905</v>
      </c>
      <c r="AG193">
        <v>0</v>
      </c>
      <c r="AH193">
        <v>0</v>
      </c>
      <c r="AI193">
        <v>0</v>
      </c>
      <c r="AJ193">
        <v>4338333</v>
      </c>
      <c r="AK193">
        <v>202358</v>
      </c>
      <c r="AL193">
        <v>0</v>
      </c>
      <c r="AM193">
        <v>0</v>
      </c>
      <c r="AN193">
        <v>12657777</v>
      </c>
      <c r="AP193">
        <v>0</v>
      </c>
      <c r="AQ193">
        <v>12147867</v>
      </c>
      <c r="AR193">
        <v>1174674</v>
      </c>
      <c r="AS193">
        <v>320530</v>
      </c>
      <c r="AT193">
        <v>1588814</v>
      </c>
      <c r="AU193">
        <v>8578207</v>
      </c>
      <c r="AV193">
        <v>1453856</v>
      </c>
      <c r="AX193">
        <v>3119067</v>
      </c>
      <c r="AY193">
        <v>1658801</v>
      </c>
      <c r="AZ193">
        <v>2536613</v>
      </c>
      <c r="BA193">
        <v>5335</v>
      </c>
      <c r="BB193">
        <v>970120</v>
      </c>
      <c r="BC193">
        <v>347074</v>
      </c>
      <c r="BD193">
        <v>0</v>
      </c>
      <c r="BE193">
        <v>12518226</v>
      </c>
      <c r="BH193">
        <v>1037380</v>
      </c>
      <c r="BI193">
        <v>2666211</v>
      </c>
      <c r="BJ193">
        <v>272056</v>
      </c>
      <c r="BK193">
        <v>6301543</v>
      </c>
      <c r="BL193">
        <v>9185354</v>
      </c>
      <c r="BM193">
        <v>0</v>
      </c>
      <c r="BN193">
        <v>3630258</v>
      </c>
      <c r="BO193">
        <v>4212253</v>
      </c>
      <c r="BP193">
        <v>1681901</v>
      </c>
      <c r="BQ193">
        <v>3121106</v>
      </c>
      <c r="BR193">
        <v>0</v>
      </c>
      <c r="BS193">
        <v>0</v>
      </c>
      <c r="BT193">
        <v>1199833</v>
      </c>
      <c r="BU193">
        <v>2790993</v>
      </c>
      <c r="BV193">
        <v>956868</v>
      </c>
      <c r="BW193">
        <v>1828212</v>
      </c>
      <c r="BX193">
        <v>0</v>
      </c>
      <c r="BY193">
        <v>0</v>
      </c>
      <c r="BZ193">
        <v>25658198</v>
      </c>
      <c r="CA193">
        <v>0</v>
      </c>
    </row>
    <row r="194" spans="1:79" x14ac:dyDescent="0.3">
      <c r="A194" s="155">
        <v>655</v>
      </c>
      <c r="B194" t="s">
        <v>910</v>
      </c>
      <c r="D194">
        <v>0</v>
      </c>
      <c r="E194">
        <v>0</v>
      </c>
      <c r="F194">
        <v>11083</v>
      </c>
      <c r="G194">
        <v>0</v>
      </c>
      <c r="H194">
        <v>1452251</v>
      </c>
      <c r="I194">
        <v>29726</v>
      </c>
      <c r="J194">
        <v>81450</v>
      </c>
      <c r="K194">
        <v>23151</v>
      </c>
      <c r="L194">
        <v>6074984</v>
      </c>
      <c r="M194">
        <v>0</v>
      </c>
      <c r="N194">
        <v>196004</v>
      </c>
      <c r="P194">
        <v>0</v>
      </c>
      <c r="Q194">
        <v>1340159</v>
      </c>
      <c r="R194">
        <v>0</v>
      </c>
      <c r="S194">
        <v>77530</v>
      </c>
      <c r="T194">
        <v>0</v>
      </c>
      <c r="U194">
        <v>0</v>
      </c>
      <c r="V194">
        <v>0</v>
      </c>
      <c r="W194">
        <v>0</v>
      </c>
      <c r="X194">
        <v>0</v>
      </c>
      <c r="Y194">
        <v>0</v>
      </c>
      <c r="Z194">
        <v>66572</v>
      </c>
      <c r="AA194">
        <v>0</v>
      </c>
      <c r="AB194">
        <v>0</v>
      </c>
      <c r="AC194">
        <v>0</v>
      </c>
      <c r="AD194">
        <v>33977</v>
      </c>
      <c r="AE194">
        <v>22238</v>
      </c>
      <c r="AF194">
        <v>6833</v>
      </c>
      <c r="AG194">
        <v>0</v>
      </c>
      <c r="AH194">
        <v>0</v>
      </c>
      <c r="AI194">
        <v>0</v>
      </c>
      <c r="AJ194">
        <v>183768</v>
      </c>
      <c r="AK194">
        <v>15300</v>
      </c>
      <c r="AL194">
        <v>0</v>
      </c>
      <c r="AM194">
        <v>0</v>
      </c>
      <c r="AN194">
        <v>193081</v>
      </c>
      <c r="AP194">
        <v>0</v>
      </c>
      <c r="AQ194">
        <v>3918915</v>
      </c>
      <c r="AR194">
        <v>24759</v>
      </c>
      <c r="AS194">
        <v>27126</v>
      </c>
      <c r="AT194">
        <v>145119</v>
      </c>
      <c r="AU194">
        <v>127906</v>
      </c>
      <c r="AV194">
        <v>52189</v>
      </c>
      <c r="AX194">
        <v>110394</v>
      </c>
      <c r="AY194">
        <v>75689</v>
      </c>
      <c r="AZ194">
        <v>36795</v>
      </c>
      <c r="BA194">
        <v>0</v>
      </c>
      <c r="BB194">
        <v>142492</v>
      </c>
      <c r="BC194">
        <v>32967</v>
      </c>
      <c r="BD194">
        <v>0</v>
      </c>
      <c r="BE194">
        <v>2695597</v>
      </c>
      <c r="BH194">
        <v>44920</v>
      </c>
      <c r="BI194">
        <v>0</v>
      </c>
      <c r="BJ194">
        <v>0</v>
      </c>
      <c r="BK194">
        <v>46165</v>
      </c>
      <c r="BL194">
        <v>203472</v>
      </c>
      <c r="BM194">
        <v>0</v>
      </c>
      <c r="BN194">
        <v>338259</v>
      </c>
      <c r="BO194">
        <v>90875</v>
      </c>
      <c r="BP194">
        <v>37740</v>
      </c>
      <c r="BQ194">
        <v>63994</v>
      </c>
      <c r="BR194">
        <v>0</v>
      </c>
      <c r="BS194">
        <v>0</v>
      </c>
      <c r="BT194">
        <v>0</v>
      </c>
      <c r="BU194">
        <v>0</v>
      </c>
      <c r="BV194">
        <v>167368</v>
      </c>
      <c r="BW194">
        <v>27259</v>
      </c>
      <c r="BX194">
        <v>0</v>
      </c>
      <c r="BY194">
        <v>0</v>
      </c>
      <c r="BZ194">
        <v>14484677</v>
      </c>
      <c r="CA194">
        <v>0</v>
      </c>
    </row>
    <row r="195" spans="1:79" x14ac:dyDescent="0.3">
      <c r="A195" s="155">
        <v>656</v>
      </c>
      <c r="B195" t="s">
        <v>419</v>
      </c>
      <c r="D195">
        <v>0</v>
      </c>
      <c r="E195">
        <v>0</v>
      </c>
      <c r="F195">
        <v>0</v>
      </c>
      <c r="G195">
        <v>0</v>
      </c>
      <c r="H195">
        <v>0</v>
      </c>
      <c r="I195">
        <v>0</v>
      </c>
      <c r="J195">
        <v>0</v>
      </c>
      <c r="K195">
        <v>2</v>
      </c>
      <c r="L195">
        <v>2</v>
      </c>
      <c r="M195">
        <v>0</v>
      </c>
      <c r="N195">
        <v>2</v>
      </c>
      <c r="P195">
        <v>2</v>
      </c>
      <c r="Q195">
        <v>2</v>
      </c>
      <c r="R195">
        <v>0</v>
      </c>
      <c r="S195">
        <v>2</v>
      </c>
      <c r="T195">
        <v>0</v>
      </c>
      <c r="U195">
        <v>0</v>
      </c>
      <c r="V195">
        <v>0</v>
      </c>
      <c r="W195">
        <v>0</v>
      </c>
      <c r="X195">
        <v>2</v>
      </c>
      <c r="Y195">
        <v>2</v>
      </c>
      <c r="Z195">
        <v>0</v>
      </c>
      <c r="AA195">
        <v>2</v>
      </c>
      <c r="AB195">
        <v>0</v>
      </c>
      <c r="AC195">
        <v>0</v>
      </c>
      <c r="AD195">
        <v>0</v>
      </c>
      <c r="AE195">
        <v>2</v>
      </c>
      <c r="AF195">
        <v>2</v>
      </c>
      <c r="AG195">
        <v>0</v>
      </c>
      <c r="AH195">
        <v>0</v>
      </c>
      <c r="AI195">
        <v>2</v>
      </c>
      <c r="AJ195">
        <v>2</v>
      </c>
      <c r="AK195">
        <v>0</v>
      </c>
      <c r="AL195">
        <v>0</v>
      </c>
      <c r="AM195">
        <v>2</v>
      </c>
      <c r="AN195">
        <v>2</v>
      </c>
      <c r="AP195">
        <v>0</v>
      </c>
      <c r="AQ195">
        <v>2</v>
      </c>
      <c r="AR195">
        <v>2</v>
      </c>
      <c r="AS195">
        <v>0</v>
      </c>
      <c r="AT195">
        <v>2</v>
      </c>
      <c r="AU195">
        <v>2</v>
      </c>
      <c r="AV195">
        <v>2</v>
      </c>
      <c r="AX195">
        <v>2</v>
      </c>
      <c r="AY195">
        <v>0</v>
      </c>
      <c r="AZ195">
        <v>0</v>
      </c>
      <c r="BA195">
        <v>2</v>
      </c>
      <c r="BB195">
        <v>2</v>
      </c>
      <c r="BC195">
        <v>2</v>
      </c>
      <c r="BD195">
        <v>2</v>
      </c>
      <c r="BE195">
        <v>2</v>
      </c>
      <c r="BH195">
        <v>2</v>
      </c>
      <c r="BI195">
        <v>2</v>
      </c>
      <c r="BJ195">
        <v>0</v>
      </c>
      <c r="BK195">
        <v>0</v>
      </c>
      <c r="BL195">
        <v>2</v>
      </c>
      <c r="BM195">
        <v>0</v>
      </c>
      <c r="BN195">
        <v>2</v>
      </c>
      <c r="BO195">
        <v>1</v>
      </c>
      <c r="BP195">
        <v>0</v>
      </c>
      <c r="BQ195">
        <v>2</v>
      </c>
      <c r="BR195">
        <v>2</v>
      </c>
      <c r="BS195">
        <v>2</v>
      </c>
      <c r="BT195">
        <v>0</v>
      </c>
      <c r="BU195">
        <v>2</v>
      </c>
      <c r="BV195">
        <v>2</v>
      </c>
      <c r="BW195">
        <v>2</v>
      </c>
      <c r="BX195">
        <v>2</v>
      </c>
      <c r="BY195">
        <v>0</v>
      </c>
      <c r="BZ195">
        <v>2</v>
      </c>
      <c r="CA195">
        <v>0</v>
      </c>
    </row>
    <row r="196" spans="1:79" x14ac:dyDescent="0.3">
      <c r="A196" s="155">
        <v>657</v>
      </c>
      <c r="B196" t="s">
        <v>911</v>
      </c>
      <c r="D196">
        <v>0</v>
      </c>
      <c r="E196">
        <v>0</v>
      </c>
      <c r="F196">
        <v>0</v>
      </c>
      <c r="G196">
        <v>0</v>
      </c>
      <c r="H196">
        <v>0</v>
      </c>
      <c r="I196">
        <v>0</v>
      </c>
      <c r="J196">
        <v>0</v>
      </c>
      <c r="K196">
        <v>0</v>
      </c>
      <c r="L196">
        <v>0</v>
      </c>
      <c r="M196">
        <v>0</v>
      </c>
      <c r="N196">
        <v>0</v>
      </c>
      <c r="P196">
        <v>0</v>
      </c>
      <c r="Q196">
        <v>0</v>
      </c>
      <c r="R196">
        <v>0</v>
      </c>
      <c r="S196">
        <v>5210732</v>
      </c>
      <c r="T196">
        <v>0</v>
      </c>
      <c r="U196">
        <v>44195361</v>
      </c>
      <c r="V196">
        <v>0</v>
      </c>
      <c r="W196">
        <v>0</v>
      </c>
      <c r="X196">
        <v>0</v>
      </c>
      <c r="Y196">
        <v>0</v>
      </c>
      <c r="Z196">
        <v>3429604</v>
      </c>
      <c r="AA196">
        <v>0</v>
      </c>
      <c r="AB196">
        <v>0</v>
      </c>
      <c r="AC196">
        <v>0</v>
      </c>
      <c r="AD196">
        <v>0</v>
      </c>
      <c r="AE196">
        <v>3067565</v>
      </c>
      <c r="AF196">
        <v>0</v>
      </c>
      <c r="AG196">
        <v>0</v>
      </c>
      <c r="AH196">
        <v>0</v>
      </c>
      <c r="AI196">
        <v>0</v>
      </c>
      <c r="AJ196">
        <v>5640069</v>
      </c>
      <c r="AK196">
        <v>0</v>
      </c>
      <c r="AL196">
        <v>0</v>
      </c>
      <c r="AM196">
        <v>0</v>
      </c>
      <c r="AN196">
        <v>0</v>
      </c>
      <c r="AP196">
        <v>0</v>
      </c>
      <c r="AQ196">
        <v>25504227</v>
      </c>
      <c r="AR196">
        <v>0</v>
      </c>
      <c r="AS196">
        <v>0</v>
      </c>
      <c r="AT196">
        <v>0</v>
      </c>
      <c r="AU196">
        <v>5640871</v>
      </c>
      <c r="AV196">
        <v>0</v>
      </c>
      <c r="AX196">
        <v>0</v>
      </c>
      <c r="AY196">
        <v>0</v>
      </c>
      <c r="AZ196">
        <v>2768995</v>
      </c>
      <c r="BA196">
        <v>0</v>
      </c>
      <c r="BB196">
        <v>0</v>
      </c>
      <c r="BC196">
        <v>7565479</v>
      </c>
      <c r="BD196">
        <v>0</v>
      </c>
      <c r="BE196">
        <v>17756540</v>
      </c>
      <c r="BH196">
        <v>0</v>
      </c>
      <c r="BI196">
        <v>0</v>
      </c>
      <c r="BJ196">
        <v>0</v>
      </c>
      <c r="BK196">
        <v>4128995</v>
      </c>
      <c r="BL196">
        <v>0</v>
      </c>
      <c r="BM196">
        <v>0</v>
      </c>
      <c r="BN196">
        <v>0</v>
      </c>
      <c r="BO196">
        <v>0</v>
      </c>
      <c r="BP196">
        <v>0</v>
      </c>
      <c r="BQ196">
        <v>0</v>
      </c>
      <c r="BR196">
        <v>0</v>
      </c>
      <c r="BS196">
        <v>0</v>
      </c>
      <c r="BT196">
        <v>0</v>
      </c>
      <c r="BU196">
        <v>0</v>
      </c>
      <c r="BV196">
        <v>0</v>
      </c>
      <c r="BW196">
        <v>0</v>
      </c>
      <c r="BX196">
        <v>0</v>
      </c>
      <c r="BY196">
        <v>0</v>
      </c>
      <c r="BZ196">
        <v>0</v>
      </c>
      <c r="CA196">
        <v>0</v>
      </c>
    </row>
    <row r="197" spans="1:79" x14ac:dyDescent="0.3">
      <c r="A197" s="155">
        <v>658</v>
      </c>
      <c r="B197" t="s">
        <v>912</v>
      </c>
      <c r="D197">
        <v>0</v>
      </c>
      <c r="E197">
        <v>0</v>
      </c>
      <c r="F197">
        <v>0</v>
      </c>
      <c r="G197">
        <v>0</v>
      </c>
      <c r="H197">
        <v>0</v>
      </c>
      <c r="I197">
        <v>0</v>
      </c>
      <c r="J197">
        <v>0</v>
      </c>
      <c r="K197">
        <v>0</v>
      </c>
      <c r="L197">
        <v>0</v>
      </c>
      <c r="M197">
        <v>0</v>
      </c>
      <c r="N197">
        <v>0</v>
      </c>
      <c r="P197">
        <v>0</v>
      </c>
      <c r="Q197">
        <v>0</v>
      </c>
      <c r="R197">
        <v>0</v>
      </c>
      <c r="S197">
        <v>488289</v>
      </c>
      <c r="T197">
        <v>0</v>
      </c>
      <c r="U197">
        <v>1775612</v>
      </c>
      <c r="V197">
        <v>0</v>
      </c>
      <c r="W197">
        <v>0</v>
      </c>
      <c r="X197">
        <v>0</v>
      </c>
      <c r="Y197">
        <v>0</v>
      </c>
      <c r="Z197">
        <v>2147422</v>
      </c>
      <c r="AA197">
        <v>0</v>
      </c>
      <c r="AB197">
        <v>0</v>
      </c>
      <c r="AC197">
        <v>0</v>
      </c>
      <c r="AD197">
        <v>0</v>
      </c>
      <c r="AE197">
        <v>130005</v>
      </c>
      <c r="AF197">
        <v>0</v>
      </c>
      <c r="AG197">
        <v>0</v>
      </c>
      <c r="AH197">
        <v>0</v>
      </c>
      <c r="AI197">
        <v>0</v>
      </c>
      <c r="AJ197">
        <v>685778</v>
      </c>
      <c r="AK197">
        <v>0</v>
      </c>
      <c r="AL197">
        <v>0</v>
      </c>
      <c r="AM197">
        <v>0</v>
      </c>
      <c r="AN197">
        <v>0</v>
      </c>
      <c r="AP197">
        <v>0</v>
      </c>
      <c r="AQ197">
        <v>685078</v>
      </c>
      <c r="AR197">
        <v>0</v>
      </c>
      <c r="AS197">
        <v>0</v>
      </c>
      <c r="AT197">
        <v>0</v>
      </c>
      <c r="AU197">
        <v>293080</v>
      </c>
      <c r="AV197">
        <v>0</v>
      </c>
      <c r="AX197">
        <v>0</v>
      </c>
      <c r="AY197">
        <v>0</v>
      </c>
      <c r="AZ197">
        <v>1022426</v>
      </c>
      <c r="BA197">
        <v>0</v>
      </c>
      <c r="BB197">
        <v>0</v>
      </c>
      <c r="BC197">
        <v>103822</v>
      </c>
      <c r="BD197">
        <v>0</v>
      </c>
      <c r="BE197">
        <v>3293217</v>
      </c>
      <c r="BH197">
        <v>0</v>
      </c>
      <c r="BI197">
        <v>0</v>
      </c>
      <c r="BJ197">
        <v>0</v>
      </c>
      <c r="BK197">
        <v>139573</v>
      </c>
      <c r="BL197">
        <v>0</v>
      </c>
      <c r="BM197">
        <v>0</v>
      </c>
      <c r="BN197">
        <v>0</v>
      </c>
      <c r="BO197">
        <v>0</v>
      </c>
      <c r="BP197">
        <v>0</v>
      </c>
      <c r="BQ197">
        <v>0</v>
      </c>
      <c r="BR197">
        <v>0</v>
      </c>
      <c r="BS197">
        <v>0</v>
      </c>
      <c r="BT197">
        <v>0</v>
      </c>
      <c r="BU197">
        <v>0</v>
      </c>
      <c r="BV197">
        <v>0</v>
      </c>
      <c r="BW197">
        <v>0</v>
      </c>
      <c r="BX197">
        <v>0</v>
      </c>
      <c r="BY197">
        <v>0</v>
      </c>
      <c r="BZ197">
        <v>0</v>
      </c>
      <c r="CA197">
        <v>0</v>
      </c>
    </row>
    <row r="198" spans="1:79" x14ac:dyDescent="0.3">
      <c r="A198" s="155">
        <v>659</v>
      </c>
      <c r="B198" t="s">
        <v>913</v>
      </c>
      <c r="D198">
        <v>0</v>
      </c>
      <c r="E198">
        <v>0</v>
      </c>
      <c r="F198">
        <v>0</v>
      </c>
      <c r="G198">
        <v>2439527</v>
      </c>
      <c r="H198">
        <v>359498</v>
      </c>
      <c r="I198">
        <v>-686410</v>
      </c>
      <c r="J198">
        <v>0</v>
      </c>
      <c r="K198">
        <v>402466</v>
      </c>
      <c r="L198">
        <v>83659576</v>
      </c>
      <c r="M198">
        <v>0</v>
      </c>
      <c r="N198">
        <v>1051659</v>
      </c>
      <c r="P198">
        <v>10897133</v>
      </c>
      <c r="Q198">
        <v>9679018</v>
      </c>
      <c r="R198">
        <v>427443</v>
      </c>
      <c r="S198">
        <v>14689355</v>
      </c>
      <c r="T198">
        <v>0</v>
      </c>
      <c r="U198">
        <v>281003</v>
      </c>
      <c r="V198">
        <v>0</v>
      </c>
      <c r="W198">
        <v>0</v>
      </c>
      <c r="X198">
        <v>9019599</v>
      </c>
      <c r="Y198">
        <v>2002180</v>
      </c>
      <c r="Z198">
        <v>0</v>
      </c>
      <c r="AA198">
        <v>564603</v>
      </c>
      <c r="AB198">
        <v>0</v>
      </c>
      <c r="AC198">
        <v>0</v>
      </c>
      <c r="AD198">
        <v>0</v>
      </c>
      <c r="AE198">
        <v>0</v>
      </c>
      <c r="AF198">
        <v>0</v>
      </c>
      <c r="AG198">
        <v>0</v>
      </c>
      <c r="AH198">
        <v>0</v>
      </c>
      <c r="AI198">
        <v>0</v>
      </c>
      <c r="AJ198">
        <v>2786571</v>
      </c>
      <c r="AK198">
        <v>0</v>
      </c>
      <c r="AL198">
        <v>0</v>
      </c>
      <c r="AM198">
        <v>0</v>
      </c>
      <c r="AN198">
        <v>3921621</v>
      </c>
      <c r="AP198">
        <v>0</v>
      </c>
      <c r="AQ198">
        <v>20583917</v>
      </c>
      <c r="AR198">
        <v>0</v>
      </c>
      <c r="AS198">
        <v>264577</v>
      </c>
      <c r="AT198">
        <v>2200313</v>
      </c>
      <c r="AU198">
        <v>12225430</v>
      </c>
      <c r="AV198">
        <v>0</v>
      </c>
      <c r="AX198">
        <v>0</v>
      </c>
      <c r="AY198">
        <v>162124</v>
      </c>
      <c r="AZ198">
        <v>1374648</v>
      </c>
      <c r="BA198">
        <v>0</v>
      </c>
      <c r="BB198">
        <v>514820</v>
      </c>
      <c r="BC198">
        <v>0</v>
      </c>
      <c r="BD198">
        <v>0</v>
      </c>
      <c r="BE198">
        <v>49261617</v>
      </c>
      <c r="BH198">
        <v>3853115</v>
      </c>
      <c r="BI198">
        <v>305220</v>
      </c>
      <c r="BJ198">
        <v>0</v>
      </c>
      <c r="BK198">
        <v>1244578</v>
      </c>
      <c r="BL198">
        <v>2174563</v>
      </c>
      <c r="BM198">
        <v>0</v>
      </c>
      <c r="BN198">
        <v>216802</v>
      </c>
      <c r="BO198">
        <v>0</v>
      </c>
      <c r="BP198">
        <v>0</v>
      </c>
      <c r="BQ198">
        <v>0</v>
      </c>
      <c r="BR198">
        <v>0</v>
      </c>
      <c r="BS198">
        <v>0</v>
      </c>
      <c r="BT198">
        <v>0</v>
      </c>
      <c r="BU198">
        <v>5229881</v>
      </c>
      <c r="BV198">
        <v>0</v>
      </c>
      <c r="BW198">
        <v>0</v>
      </c>
      <c r="BX198">
        <v>0</v>
      </c>
      <c r="BY198">
        <v>0</v>
      </c>
      <c r="BZ198">
        <v>12878757</v>
      </c>
      <c r="CA198">
        <v>0</v>
      </c>
    </row>
    <row r="199" spans="1:79" x14ac:dyDescent="0.3">
      <c r="A199" s="155">
        <v>660</v>
      </c>
      <c r="B199" t="s">
        <v>914</v>
      </c>
      <c r="D199">
        <v>0</v>
      </c>
      <c r="E199">
        <v>0</v>
      </c>
      <c r="F199">
        <v>0</v>
      </c>
      <c r="G199">
        <v>0</v>
      </c>
      <c r="H199">
        <v>0</v>
      </c>
      <c r="I199">
        <v>19505</v>
      </c>
      <c r="J199">
        <v>0</v>
      </c>
      <c r="K199">
        <v>0</v>
      </c>
      <c r="L199">
        <v>0</v>
      </c>
      <c r="M199">
        <v>0</v>
      </c>
      <c r="N199">
        <v>0</v>
      </c>
      <c r="P199">
        <v>0</v>
      </c>
      <c r="Q199">
        <v>275652</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P199">
        <v>0</v>
      </c>
      <c r="AQ199">
        <v>0</v>
      </c>
      <c r="AR199">
        <v>0</v>
      </c>
      <c r="AS199">
        <v>0</v>
      </c>
      <c r="AT199">
        <v>0</v>
      </c>
      <c r="AU199">
        <v>0</v>
      </c>
      <c r="AV199">
        <v>0</v>
      </c>
      <c r="AX199">
        <v>0</v>
      </c>
      <c r="AY199">
        <v>0</v>
      </c>
      <c r="AZ199">
        <v>0</v>
      </c>
      <c r="BA199">
        <v>0</v>
      </c>
      <c r="BB199">
        <v>0</v>
      </c>
      <c r="BC199">
        <v>0</v>
      </c>
      <c r="BD199">
        <v>0</v>
      </c>
      <c r="BE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row>
    <row r="200" spans="1:79" x14ac:dyDescent="0.3">
      <c r="A200" s="155">
        <v>661</v>
      </c>
      <c r="B200" t="s">
        <v>418</v>
      </c>
      <c r="D200">
        <v>0</v>
      </c>
      <c r="E200">
        <v>0</v>
      </c>
      <c r="F200">
        <v>0</v>
      </c>
      <c r="G200">
        <v>0</v>
      </c>
      <c r="H200">
        <v>0</v>
      </c>
      <c r="I200">
        <v>-2.8</v>
      </c>
      <c r="J200">
        <v>0</v>
      </c>
      <c r="K200">
        <v>0</v>
      </c>
      <c r="L200">
        <v>0</v>
      </c>
      <c r="M200">
        <v>0</v>
      </c>
      <c r="N200">
        <v>0</v>
      </c>
      <c r="P200">
        <v>0</v>
      </c>
      <c r="Q200">
        <v>2.9</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P200">
        <v>0</v>
      </c>
      <c r="AQ200">
        <v>0</v>
      </c>
      <c r="AR200">
        <v>0</v>
      </c>
      <c r="AS200">
        <v>0</v>
      </c>
      <c r="AT200">
        <v>0</v>
      </c>
      <c r="AU200">
        <v>0</v>
      </c>
      <c r="AV200">
        <v>0</v>
      </c>
      <c r="AX200">
        <v>0</v>
      </c>
      <c r="AY200">
        <v>0</v>
      </c>
      <c r="AZ200">
        <v>0</v>
      </c>
      <c r="BA200">
        <v>0</v>
      </c>
      <c r="BB200">
        <v>0</v>
      </c>
      <c r="BC200">
        <v>0</v>
      </c>
      <c r="BD200">
        <v>0</v>
      </c>
      <c r="BE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row>
    <row r="201" spans="1:79" x14ac:dyDescent="0.3">
      <c r="A201" s="155">
        <v>662</v>
      </c>
      <c r="B201" t="s">
        <v>448</v>
      </c>
      <c r="E201">
        <v>0</v>
      </c>
      <c r="G201">
        <v>128807</v>
      </c>
      <c r="K201">
        <v>0</v>
      </c>
      <c r="L201">
        <v>0</v>
      </c>
      <c r="P201">
        <v>0</v>
      </c>
      <c r="Q201">
        <v>0</v>
      </c>
      <c r="S201">
        <v>1</v>
      </c>
      <c r="U201">
        <v>16214</v>
      </c>
      <c r="X201">
        <v>445364</v>
      </c>
      <c r="Y201">
        <v>0</v>
      </c>
      <c r="AA201">
        <v>0</v>
      </c>
      <c r="AJ201">
        <v>0</v>
      </c>
      <c r="AM201">
        <v>0</v>
      </c>
      <c r="AN201">
        <v>0</v>
      </c>
      <c r="AQ201">
        <v>0</v>
      </c>
      <c r="AR201">
        <v>0</v>
      </c>
      <c r="AT201">
        <v>0</v>
      </c>
      <c r="AU201">
        <v>0</v>
      </c>
      <c r="AZ201">
        <v>0</v>
      </c>
      <c r="BC201">
        <v>0</v>
      </c>
      <c r="BE201">
        <v>0</v>
      </c>
      <c r="BH201">
        <v>0</v>
      </c>
      <c r="BJ201">
        <v>0</v>
      </c>
      <c r="BN201">
        <v>0</v>
      </c>
      <c r="BS201">
        <v>0</v>
      </c>
      <c r="BZ201">
        <v>0</v>
      </c>
    </row>
    <row r="202" spans="1:79" x14ac:dyDescent="0.3">
      <c r="A202" s="155">
        <v>663</v>
      </c>
      <c r="B202" t="s">
        <v>915</v>
      </c>
      <c r="E202">
        <v>0</v>
      </c>
      <c r="G202">
        <v>0</v>
      </c>
      <c r="K202">
        <v>0</v>
      </c>
      <c r="L202">
        <v>1463648</v>
      </c>
      <c r="P202">
        <v>0</v>
      </c>
      <c r="Q202">
        <v>0</v>
      </c>
      <c r="S202">
        <v>11629</v>
      </c>
      <c r="U202">
        <v>421234</v>
      </c>
      <c r="X202">
        <v>0</v>
      </c>
      <c r="Y202">
        <v>0</v>
      </c>
      <c r="AA202">
        <v>0</v>
      </c>
      <c r="AJ202">
        <v>0</v>
      </c>
      <c r="AM202">
        <v>0</v>
      </c>
      <c r="AN202">
        <v>0</v>
      </c>
      <c r="AQ202">
        <v>0</v>
      </c>
      <c r="AR202">
        <v>0</v>
      </c>
      <c r="AT202">
        <v>0</v>
      </c>
      <c r="AU202">
        <v>0</v>
      </c>
      <c r="AZ202">
        <v>0</v>
      </c>
      <c r="BC202">
        <v>0</v>
      </c>
      <c r="BE202">
        <v>0</v>
      </c>
      <c r="BH202">
        <v>0</v>
      </c>
      <c r="BJ202">
        <v>0</v>
      </c>
      <c r="BN202">
        <v>0</v>
      </c>
      <c r="BS202">
        <v>0</v>
      </c>
      <c r="BZ202">
        <v>0</v>
      </c>
    </row>
    <row r="203" spans="1:79" x14ac:dyDescent="0.3">
      <c r="A203" s="155">
        <v>906</v>
      </c>
      <c r="B203" t="s">
        <v>916</v>
      </c>
      <c r="D203">
        <v>1</v>
      </c>
      <c r="E203">
        <v>1</v>
      </c>
      <c r="F203">
        <v>1</v>
      </c>
      <c r="G203">
        <v>1</v>
      </c>
      <c r="H203">
        <v>1</v>
      </c>
      <c r="I203">
        <v>1</v>
      </c>
      <c r="J203">
        <v>1</v>
      </c>
      <c r="K203">
        <v>1</v>
      </c>
      <c r="L203">
        <v>1</v>
      </c>
      <c r="M203">
        <v>1</v>
      </c>
      <c r="N203">
        <v>1</v>
      </c>
      <c r="P203">
        <v>1</v>
      </c>
      <c r="Q203">
        <v>1</v>
      </c>
      <c r="R203">
        <v>1</v>
      </c>
      <c r="S203">
        <v>1</v>
      </c>
      <c r="T203">
        <v>1</v>
      </c>
      <c r="U203">
        <v>1</v>
      </c>
      <c r="V203">
        <v>1</v>
      </c>
      <c r="W203">
        <v>1</v>
      </c>
      <c r="X203">
        <v>1</v>
      </c>
      <c r="Y203">
        <v>1</v>
      </c>
      <c r="Z203">
        <v>1</v>
      </c>
      <c r="AA203">
        <v>1</v>
      </c>
      <c r="AB203">
        <v>1</v>
      </c>
      <c r="AC203">
        <v>1</v>
      </c>
      <c r="AD203">
        <v>1</v>
      </c>
      <c r="AE203">
        <v>1</v>
      </c>
      <c r="AF203">
        <v>1</v>
      </c>
      <c r="AG203">
        <v>1</v>
      </c>
      <c r="AH203">
        <v>1</v>
      </c>
      <c r="AI203">
        <v>1</v>
      </c>
      <c r="AJ203">
        <v>1</v>
      </c>
      <c r="AK203">
        <v>1</v>
      </c>
      <c r="AL203">
        <v>1</v>
      </c>
      <c r="AM203">
        <v>1</v>
      </c>
      <c r="AN203">
        <v>1</v>
      </c>
      <c r="AP203">
        <v>1</v>
      </c>
      <c r="AQ203">
        <v>1</v>
      </c>
      <c r="AR203">
        <v>1</v>
      </c>
      <c r="AS203">
        <v>1</v>
      </c>
      <c r="AT203">
        <v>1</v>
      </c>
      <c r="AU203">
        <v>1</v>
      </c>
      <c r="AV203">
        <v>1</v>
      </c>
      <c r="AX203">
        <v>1</v>
      </c>
      <c r="AY203">
        <v>1</v>
      </c>
      <c r="AZ203">
        <v>1</v>
      </c>
      <c r="BA203">
        <v>1</v>
      </c>
      <c r="BB203">
        <v>1</v>
      </c>
      <c r="BC203">
        <v>1</v>
      </c>
      <c r="BD203">
        <v>1</v>
      </c>
      <c r="BE203">
        <v>1</v>
      </c>
      <c r="BH203">
        <v>1</v>
      </c>
      <c r="BI203">
        <v>1</v>
      </c>
      <c r="BJ203">
        <v>1</v>
      </c>
      <c r="BK203">
        <v>1</v>
      </c>
      <c r="BL203">
        <v>1</v>
      </c>
      <c r="BM203">
        <v>1</v>
      </c>
      <c r="BN203">
        <v>1</v>
      </c>
      <c r="BO203">
        <v>1</v>
      </c>
      <c r="BP203">
        <v>1</v>
      </c>
      <c r="BQ203">
        <v>1</v>
      </c>
      <c r="BR203">
        <v>1</v>
      </c>
      <c r="BS203">
        <v>1</v>
      </c>
      <c r="BT203">
        <v>1</v>
      </c>
      <c r="BU203">
        <v>1</v>
      </c>
      <c r="BV203">
        <v>1</v>
      </c>
      <c r="BW203">
        <v>1</v>
      </c>
      <c r="BX203">
        <v>1</v>
      </c>
      <c r="BY203">
        <v>1</v>
      </c>
      <c r="BZ203">
        <v>1</v>
      </c>
      <c r="CA203">
        <v>1</v>
      </c>
    </row>
    <row r="204" spans="1:79" x14ac:dyDescent="0.3">
      <c r="A204" s="155">
        <v>907</v>
      </c>
      <c r="B204" t="s">
        <v>917</v>
      </c>
      <c r="D204">
        <v>2</v>
      </c>
      <c r="E204">
        <v>2</v>
      </c>
      <c r="F204">
        <v>2</v>
      </c>
      <c r="G204">
        <v>2</v>
      </c>
      <c r="H204">
        <v>2</v>
      </c>
      <c r="I204">
        <v>2</v>
      </c>
      <c r="J204">
        <v>2</v>
      </c>
      <c r="K204">
        <v>2</v>
      </c>
      <c r="L204">
        <v>2</v>
      </c>
      <c r="M204">
        <v>1</v>
      </c>
      <c r="N204">
        <v>1</v>
      </c>
      <c r="P204">
        <v>2</v>
      </c>
      <c r="Q204">
        <v>2</v>
      </c>
      <c r="R204">
        <v>2</v>
      </c>
      <c r="S204">
        <v>2</v>
      </c>
      <c r="T204">
        <v>2</v>
      </c>
      <c r="U204">
        <v>2</v>
      </c>
      <c r="V204">
        <v>2</v>
      </c>
      <c r="W204">
        <v>2</v>
      </c>
      <c r="X204">
        <v>2</v>
      </c>
      <c r="Y204">
        <v>2</v>
      </c>
      <c r="Z204">
        <v>2</v>
      </c>
      <c r="AA204">
        <v>1</v>
      </c>
      <c r="AB204">
        <v>2</v>
      </c>
      <c r="AC204">
        <v>2</v>
      </c>
      <c r="AD204">
        <v>1</v>
      </c>
      <c r="AE204">
        <v>2</v>
      </c>
      <c r="AF204">
        <v>1</v>
      </c>
      <c r="AG204">
        <v>1</v>
      </c>
      <c r="AH204">
        <v>1</v>
      </c>
      <c r="AI204">
        <v>2</v>
      </c>
      <c r="AJ204">
        <v>2</v>
      </c>
      <c r="AK204">
        <v>1</v>
      </c>
      <c r="AL204">
        <v>2</v>
      </c>
      <c r="AM204">
        <v>2</v>
      </c>
      <c r="AN204">
        <v>2</v>
      </c>
      <c r="AP204">
        <v>2</v>
      </c>
      <c r="AQ204">
        <v>2</v>
      </c>
      <c r="AR204">
        <v>2</v>
      </c>
      <c r="AS204">
        <v>1</v>
      </c>
      <c r="AT204">
        <v>2</v>
      </c>
      <c r="AU204">
        <v>2</v>
      </c>
      <c r="AV204">
        <v>1</v>
      </c>
      <c r="AX204">
        <v>2</v>
      </c>
      <c r="AY204">
        <v>1</v>
      </c>
      <c r="AZ204">
        <v>2</v>
      </c>
      <c r="BA204">
        <v>1</v>
      </c>
      <c r="BB204">
        <v>1</v>
      </c>
      <c r="BC204">
        <v>1</v>
      </c>
      <c r="BD204">
        <v>1</v>
      </c>
      <c r="BE204">
        <v>2</v>
      </c>
      <c r="BH204">
        <v>2</v>
      </c>
      <c r="BI204">
        <v>2</v>
      </c>
      <c r="BJ204">
        <v>1</v>
      </c>
      <c r="BK204">
        <v>2</v>
      </c>
      <c r="BL204">
        <v>2</v>
      </c>
      <c r="BM204">
        <v>1</v>
      </c>
      <c r="BN204">
        <v>2</v>
      </c>
      <c r="BO204">
        <v>1</v>
      </c>
      <c r="BP204">
        <v>1</v>
      </c>
      <c r="BQ204">
        <v>2</v>
      </c>
      <c r="BR204">
        <v>1</v>
      </c>
      <c r="BS204">
        <v>2</v>
      </c>
      <c r="BT204">
        <v>2</v>
      </c>
      <c r="BU204">
        <v>2</v>
      </c>
      <c r="BV204">
        <v>1</v>
      </c>
      <c r="BW204">
        <v>1</v>
      </c>
      <c r="BX204">
        <v>2</v>
      </c>
      <c r="BY204">
        <v>1</v>
      </c>
      <c r="BZ204">
        <v>2</v>
      </c>
      <c r="CA204">
        <v>2</v>
      </c>
    </row>
    <row r="205" spans="1:79" x14ac:dyDescent="0.3">
      <c r="A205" s="155">
        <v>947</v>
      </c>
      <c r="B205" t="s">
        <v>918</v>
      </c>
      <c r="D205" t="s">
        <v>2038</v>
      </c>
      <c r="E205" t="s">
        <v>2039</v>
      </c>
      <c r="F205" t="s">
        <v>2040</v>
      </c>
      <c r="G205" t="s">
        <v>2041</v>
      </c>
      <c r="H205" t="s">
        <v>2042</v>
      </c>
      <c r="I205" t="s">
        <v>2043</v>
      </c>
      <c r="J205" t="s">
        <v>2044</v>
      </c>
      <c r="K205" t="s">
        <v>2045</v>
      </c>
      <c r="L205" t="s">
        <v>2046</v>
      </c>
      <c r="M205" t="s">
        <v>2047</v>
      </c>
      <c r="N205" t="s">
        <v>2048</v>
      </c>
      <c r="P205" t="s">
        <v>2049</v>
      </c>
      <c r="Q205" t="s">
        <v>2050</v>
      </c>
      <c r="R205" t="s">
        <v>921</v>
      </c>
      <c r="S205" t="s">
        <v>2051</v>
      </c>
      <c r="T205" t="s">
        <v>2052</v>
      </c>
      <c r="U205" t="s">
        <v>2053</v>
      </c>
      <c r="V205" t="s">
        <v>2054</v>
      </c>
      <c r="W205" t="s">
        <v>2055</v>
      </c>
      <c r="X205" t="s">
        <v>2056</v>
      </c>
      <c r="Y205" t="s">
        <v>2057</v>
      </c>
      <c r="Z205" t="s">
        <v>920</v>
      </c>
      <c r="AA205" t="s">
        <v>2058</v>
      </c>
      <c r="AB205" t="s">
        <v>919</v>
      </c>
      <c r="AC205" t="s">
        <v>2059</v>
      </c>
      <c r="AD205" t="s">
        <v>2060</v>
      </c>
      <c r="AE205" t="s">
        <v>2061</v>
      </c>
      <c r="AF205" t="s">
        <v>2062</v>
      </c>
      <c r="AG205" t="s">
        <v>2063</v>
      </c>
      <c r="AH205" t="s">
        <v>1544</v>
      </c>
      <c r="AI205" t="s">
        <v>2064</v>
      </c>
      <c r="AJ205" t="s">
        <v>2065</v>
      </c>
      <c r="AK205" t="s">
        <v>1543</v>
      </c>
      <c r="AL205" t="s">
        <v>2066</v>
      </c>
      <c r="AM205" t="s">
        <v>2067</v>
      </c>
      <c r="AN205" t="s">
        <v>2053</v>
      </c>
      <c r="AP205" t="s">
        <v>2068</v>
      </c>
      <c r="AQ205" t="s">
        <v>2069</v>
      </c>
      <c r="AR205" t="s">
        <v>2070</v>
      </c>
      <c r="AS205" t="s">
        <v>1968</v>
      </c>
      <c r="AT205" t="s">
        <v>1589</v>
      </c>
      <c r="AU205" t="s">
        <v>2071</v>
      </c>
      <c r="AV205" t="s">
        <v>2072</v>
      </c>
      <c r="AX205" t="s">
        <v>2073</v>
      </c>
      <c r="AY205" t="s">
        <v>2074</v>
      </c>
      <c r="AZ205" t="s">
        <v>429</v>
      </c>
      <c r="BA205" t="s">
        <v>1589</v>
      </c>
      <c r="BB205" t="s">
        <v>1589</v>
      </c>
      <c r="BC205" t="s">
        <v>2075</v>
      </c>
      <c r="BD205" t="s">
        <v>2076</v>
      </c>
      <c r="BE205" t="s">
        <v>2077</v>
      </c>
      <c r="BH205" t="s">
        <v>2059</v>
      </c>
      <c r="BI205" t="s">
        <v>2078</v>
      </c>
      <c r="BJ205" t="s">
        <v>1545</v>
      </c>
      <c r="BK205" t="s">
        <v>2079</v>
      </c>
      <c r="BL205" t="s">
        <v>2064</v>
      </c>
      <c r="BM205" t="s">
        <v>2080</v>
      </c>
      <c r="BN205" t="s">
        <v>2081</v>
      </c>
      <c r="BO205" t="s">
        <v>2082</v>
      </c>
      <c r="BP205" t="s">
        <v>2083</v>
      </c>
      <c r="BQ205" t="s">
        <v>2045</v>
      </c>
      <c r="BR205" t="s">
        <v>2084</v>
      </c>
      <c r="BS205" t="s">
        <v>2085</v>
      </c>
      <c r="BT205" t="s">
        <v>2086</v>
      </c>
      <c r="BU205" t="s">
        <v>2087</v>
      </c>
      <c r="BV205" t="s">
        <v>429</v>
      </c>
      <c r="BW205" t="s">
        <v>2088</v>
      </c>
      <c r="BX205" t="s">
        <v>1588</v>
      </c>
      <c r="BY205" t="s">
        <v>2089</v>
      </c>
      <c r="BZ205" t="s">
        <v>2090</v>
      </c>
      <c r="CA205" t="s">
        <v>2091</v>
      </c>
    </row>
    <row r="206" spans="1:79" x14ac:dyDescent="0.3">
      <c r="A206" s="155">
        <v>948</v>
      </c>
      <c r="B206" t="s">
        <v>922</v>
      </c>
      <c r="D206" t="s">
        <v>1550</v>
      </c>
      <c r="E206" t="s">
        <v>2092</v>
      </c>
      <c r="F206" t="s">
        <v>2093</v>
      </c>
      <c r="G206" t="s">
        <v>2094</v>
      </c>
      <c r="H206" t="s">
        <v>2095</v>
      </c>
      <c r="I206" t="s">
        <v>2096</v>
      </c>
      <c r="J206" t="s">
        <v>2097</v>
      </c>
      <c r="K206" t="s">
        <v>2098</v>
      </c>
      <c r="L206" t="s">
        <v>2099</v>
      </c>
      <c r="M206" t="s">
        <v>2100</v>
      </c>
      <c r="N206" t="s">
        <v>2101</v>
      </c>
      <c r="P206" t="s">
        <v>2102</v>
      </c>
      <c r="Q206" t="s">
        <v>2103</v>
      </c>
      <c r="R206" t="s">
        <v>2104</v>
      </c>
      <c r="S206" t="s">
        <v>2105</v>
      </c>
      <c r="T206" t="s">
        <v>1548</v>
      </c>
      <c r="U206" t="s">
        <v>2106</v>
      </c>
      <c r="V206" t="s">
        <v>2107</v>
      </c>
      <c r="W206" t="s">
        <v>2108</v>
      </c>
      <c r="X206" t="s">
        <v>2109</v>
      </c>
      <c r="Y206" t="s">
        <v>2110</v>
      </c>
      <c r="Z206" t="s">
        <v>2111</v>
      </c>
      <c r="AA206" t="s">
        <v>2112</v>
      </c>
      <c r="AB206" t="s">
        <v>2113</v>
      </c>
      <c r="AC206" t="s">
        <v>2114</v>
      </c>
      <c r="AD206" t="s">
        <v>2115</v>
      </c>
      <c r="AE206" t="s">
        <v>525</v>
      </c>
      <c r="AF206" t="s">
        <v>2116</v>
      </c>
      <c r="AG206" t="s">
        <v>2117</v>
      </c>
      <c r="AH206" t="s">
        <v>2118</v>
      </c>
      <c r="AI206" t="s">
        <v>1546</v>
      </c>
      <c r="AJ206" t="s">
        <v>2119</v>
      </c>
      <c r="AK206" t="s">
        <v>2120</v>
      </c>
      <c r="AL206" t="s">
        <v>2121</v>
      </c>
      <c r="AM206" t="s">
        <v>2122</v>
      </c>
      <c r="AN206" t="s">
        <v>2123</v>
      </c>
      <c r="AP206" t="s">
        <v>2124</v>
      </c>
      <c r="AQ206" t="s">
        <v>2125</v>
      </c>
      <c r="AR206" t="s">
        <v>2126</v>
      </c>
      <c r="AS206" t="s">
        <v>2127</v>
      </c>
      <c r="AT206" t="s">
        <v>2128</v>
      </c>
      <c r="AU206" t="s">
        <v>2129</v>
      </c>
      <c r="AV206" t="s">
        <v>2130</v>
      </c>
      <c r="AX206" t="s">
        <v>1547</v>
      </c>
      <c r="AY206" t="s">
        <v>2131</v>
      </c>
      <c r="AZ206" t="s">
        <v>429</v>
      </c>
      <c r="BA206" t="s">
        <v>2132</v>
      </c>
      <c r="BB206" t="s">
        <v>2133</v>
      </c>
      <c r="BC206" t="s">
        <v>1976</v>
      </c>
      <c r="BD206" t="s">
        <v>2134</v>
      </c>
      <c r="BE206" t="s">
        <v>2135</v>
      </c>
      <c r="BH206" t="s">
        <v>2101</v>
      </c>
      <c r="BI206" t="s">
        <v>2136</v>
      </c>
      <c r="BJ206" t="s">
        <v>1590</v>
      </c>
      <c r="BK206" t="s">
        <v>1550</v>
      </c>
      <c r="BL206" t="s">
        <v>2137</v>
      </c>
      <c r="BM206" t="s">
        <v>1402</v>
      </c>
      <c r="BN206" t="s">
        <v>2138</v>
      </c>
      <c r="BO206" t="s">
        <v>2139</v>
      </c>
      <c r="BP206" t="s">
        <v>2140</v>
      </c>
      <c r="BQ206" t="s">
        <v>2141</v>
      </c>
      <c r="BR206" t="s">
        <v>2142</v>
      </c>
      <c r="BS206" t="s">
        <v>2143</v>
      </c>
      <c r="BT206" t="s">
        <v>2144</v>
      </c>
      <c r="BU206" t="s">
        <v>2145</v>
      </c>
      <c r="BV206" t="s">
        <v>429</v>
      </c>
      <c r="BW206" t="s">
        <v>2146</v>
      </c>
      <c r="BX206" t="s">
        <v>2147</v>
      </c>
      <c r="BY206" t="s">
        <v>2148</v>
      </c>
      <c r="BZ206" t="s">
        <v>2149</v>
      </c>
      <c r="CA206" t="s">
        <v>1546</v>
      </c>
    </row>
    <row r="207" spans="1:79" x14ac:dyDescent="0.3">
      <c r="A207" s="155">
        <v>949</v>
      </c>
      <c r="B207" t="s">
        <v>923</v>
      </c>
      <c r="D207" t="s">
        <v>410</v>
      </c>
      <c r="E207" t="s">
        <v>410</v>
      </c>
      <c r="F207" t="s">
        <v>410</v>
      </c>
      <c r="G207" t="s">
        <v>410</v>
      </c>
      <c r="H207" t="s">
        <v>410</v>
      </c>
      <c r="I207" t="s">
        <v>410</v>
      </c>
      <c r="J207" t="s">
        <v>410</v>
      </c>
      <c r="K207" t="s">
        <v>410</v>
      </c>
      <c r="L207" t="s">
        <v>410</v>
      </c>
      <c r="M207" t="s">
        <v>410</v>
      </c>
      <c r="N207" t="s">
        <v>410</v>
      </c>
      <c r="P207" t="s">
        <v>410</v>
      </c>
      <c r="Q207" t="s">
        <v>410</v>
      </c>
      <c r="R207" t="s">
        <v>410</v>
      </c>
      <c r="S207" t="s">
        <v>410</v>
      </c>
      <c r="T207" t="s">
        <v>410</v>
      </c>
      <c r="U207" t="s">
        <v>410</v>
      </c>
      <c r="V207" t="s">
        <v>410</v>
      </c>
      <c r="W207" t="s">
        <v>410</v>
      </c>
      <c r="X207" t="s">
        <v>410</v>
      </c>
      <c r="Y207" t="s">
        <v>410</v>
      </c>
      <c r="Z207" t="s">
        <v>410</v>
      </c>
      <c r="AA207" t="s">
        <v>410</v>
      </c>
      <c r="AB207" t="s">
        <v>410</v>
      </c>
      <c r="AC207" t="s">
        <v>410</v>
      </c>
      <c r="AD207" t="s">
        <v>410</v>
      </c>
      <c r="AE207" t="s">
        <v>410</v>
      </c>
      <c r="AF207" t="s">
        <v>410</v>
      </c>
      <c r="AG207" t="s">
        <v>410</v>
      </c>
      <c r="AH207" t="s">
        <v>410</v>
      </c>
      <c r="AI207" t="s">
        <v>410</v>
      </c>
      <c r="AJ207" t="s">
        <v>410</v>
      </c>
      <c r="AK207" t="s">
        <v>410</v>
      </c>
      <c r="AL207" t="s">
        <v>410</v>
      </c>
      <c r="AM207" t="s">
        <v>410</v>
      </c>
      <c r="AN207" t="s">
        <v>410</v>
      </c>
      <c r="AP207" t="s">
        <v>410</v>
      </c>
      <c r="AQ207" t="s">
        <v>410</v>
      </c>
      <c r="AR207" t="s">
        <v>410</v>
      </c>
      <c r="AS207" t="s">
        <v>410</v>
      </c>
      <c r="AT207" t="s">
        <v>410</v>
      </c>
      <c r="AU207" t="s">
        <v>410</v>
      </c>
      <c r="AV207" t="s">
        <v>410</v>
      </c>
      <c r="AX207" t="s">
        <v>410</v>
      </c>
      <c r="AY207" t="s">
        <v>410</v>
      </c>
      <c r="AZ207" t="s">
        <v>429</v>
      </c>
      <c r="BA207" t="s">
        <v>410</v>
      </c>
      <c r="BB207" t="s">
        <v>410</v>
      </c>
      <c r="BC207" t="s">
        <v>410</v>
      </c>
      <c r="BD207" t="s">
        <v>410</v>
      </c>
      <c r="BE207" t="s">
        <v>410</v>
      </c>
      <c r="BH207" t="s">
        <v>410</v>
      </c>
      <c r="BI207" t="s">
        <v>410</v>
      </c>
      <c r="BJ207" t="s">
        <v>410</v>
      </c>
      <c r="BK207" t="s">
        <v>410</v>
      </c>
      <c r="BL207" t="s">
        <v>410</v>
      </c>
      <c r="BM207" t="s">
        <v>410</v>
      </c>
      <c r="BN207" t="s">
        <v>410</v>
      </c>
      <c r="BO207" t="s">
        <v>410</v>
      </c>
      <c r="BP207" t="s">
        <v>410</v>
      </c>
      <c r="BQ207" t="s">
        <v>410</v>
      </c>
      <c r="BR207" t="s">
        <v>428</v>
      </c>
      <c r="BS207" t="s">
        <v>410</v>
      </c>
      <c r="BT207" t="s">
        <v>410</v>
      </c>
      <c r="BU207" t="s">
        <v>410</v>
      </c>
      <c r="BV207" t="s">
        <v>429</v>
      </c>
      <c r="BW207" t="s">
        <v>410</v>
      </c>
      <c r="BX207" t="s">
        <v>410</v>
      </c>
      <c r="BY207" t="s">
        <v>410</v>
      </c>
      <c r="BZ207" t="s">
        <v>410</v>
      </c>
      <c r="CA207" t="s">
        <v>410</v>
      </c>
    </row>
    <row r="208" spans="1:79" x14ac:dyDescent="0.3">
      <c r="A208" s="155">
        <v>950</v>
      </c>
      <c r="B208" t="s">
        <v>924</v>
      </c>
      <c r="D208" t="s">
        <v>50</v>
      </c>
      <c r="E208" t="s">
        <v>50</v>
      </c>
      <c r="F208" t="s">
        <v>50</v>
      </c>
      <c r="G208" t="s">
        <v>50</v>
      </c>
      <c r="H208" t="s">
        <v>50</v>
      </c>
      <c r="I208" t="s">
        <v>50</v>
      </c>
      <c r="J208" t="s">
        <v>50</v>
      </c>
      <c r="K208" t="s">
        <v>50</v>
      </c>
      <c r="L208" t="s">
        <v>50</v>
      </c>
      <c r="M208" t="s">
        <v>50</v>
      </c>
      <c r="N208" t="s">
        <v>50</v>
      </c>
      <c r="P208" t="s">
        <v>50</v>
      </c>
      <c r="Q208" t="s">
        <v>50</v>
      </c>
      <c r="R208" t="s">
        <v>50</v>
      </c>
      <c r="S208" t="s">
        <v>50</v>
      </c>
      <c r="T208" t="s">
        <v>50</v>
      </c>
      <c r="U208" t="s">
        <v>50</v>
      </c>
      <c r="V208" t="s">
        <v>50</v>
      </c>
      <c r="W208" t="s">
        <v>50</v>
      </c>
      <c r="X208" t="s">
        <v>50</v>
      </c>
      <c r="Y208" t="s">
        <v>50</v>
      </c>
      <c r="Z208" t="s">
        <v>50</v>
      </c>
      <c r="AA208" t="s">
        <v>50</v>
      </c>
      <c r="AB208" t="s">
        <v>50</v>
      </c>
      <c r="AC208" t="s">
        <v>50</v>
      </c>
      <c r="AD208" t="s">
        <v>50</v>
      </c>
      <c r="AE208" t="s">
        <v>50</v>
      </c>
      <c r="AF208" t="s">
        <v>50</v>
      </c>
      <c r="AG208" t="s">
        <v>50</v>
      </c>
      <c r="AH208" t="s">
        <v>50</v>
      </c>
      <c r="AI208" t="s">
        <v>50</v>
      </c>
      <c r="AJ208" t="s">
        <v>50</v>
      </c>
      <c r="AK208" t="s">
        <v>50</v>
      </c>
      <c r="AL208" t="s">
        <v>50</v>
      </c>
      <c r="AM208" t="s">
        <v>50</v>
      </c>
      <c r="AN208" t="s">
        <v>50</v>
      </c>
      <c r="AP208" t="s">
        <v>50</v>
      </c>
      <c r="AQ208" t="s">
        <v>50</v>
      </c>
      <c r="AR208" t="s">
        <v>50</v>
      </c>
      <c r="AS208" t="s">
        <v>50</v>
      </c>
      <c r="AT208" t="s">
        <v>50</v>
      </c>
      <c r="AU208" t="s">
        <v>50</v>
      </c>
      <c r="AV208" t="s">
        <v>50</v>
      </c>
      <c r="AX208" t="s">
        <v>50</v>
      </c>
      <c r="AY208" t="s">
        <v>50</v>
      </c>
      <c r="AZ208" t="s">
        <v>51</v>
      </c>
      <c r="BA208" t="s">
        <v>50</v>
      </c>
      <c r="BB208" t="s">
        <v>50</v>
      </c>
      <c r="BC208" t="s">
        <v>50</v>
      </c>
      <c r="BD208" t="s">
        <v>50</v>
      </c>
      <c r="BE208" t="s">
        <v>50</v>
      </c>
      <c r="BH208" t="s">
        <v>50</v>
      </c>
      <c r="BI208" t="s">
        <v>50</v>
      </c>
      <c r="BJ208" t="s">
        <v>50</v>
      </c>
      <c r="BK208" t="s">
        <v>50</v>
      </c>
      <c r="BL208" t="s">
        <v>50</v>
      </c>
      <c r="BM208" t="s">
        <v>50</v>
      </c>
      <c r="BN208" t="s">
        <v>50</v>
      </c>
      <c r="BO208" t="s">
        <v>50</v>
      </c>
      <c r="BP208" t="s">
        <v>50</v>
      </c>
      <c r="BQ208" t="s">
        <v>50</v>
      </c>
      <c r="BR208" t="s">
        <v>50</v>
      </c>
      <c r="BS208" t="s">
        <v>50</v>
      </c>
      <c r="BT208" t="s">
        <v>50</v>
      </c>
      <c r="BU208" t="s">
        <v>50</v>
      </c>
      <c r="BV208" t="s">
        <v>50</v>
      </c>
      <c r="BW208" t="s">
        <v>50</v>
      </c>
      <c r="BX208" t="s">
        <v>50</v>
      </c>
      <c r="BY208" t="s">
        <v>50</v>
      </c>
      <c r="BZ208" t="s">
        <v>50</v>
      </c>
      <c r="CA208" t="s">
        <v>50</v>
      </c>
    </row>
    <row r="209" spans="1:79" x14ac:dyDescent="0.3">
      <c r="A209" s="155">
        <v>951</v>
      </c>
      <c r="B209" t="s">
        <v>925</v>
      </c>
      <c r="D209">
        <v>2</v>
      </c>
      <c r="E209">
        <v>2</v>
      </c>
      <c r="F209">
        <v>2</v>
      </c>
      <c r="G209">
        <v>2</v>
      </c>
      <c r="H209">
        <v>2</v>
      </c>
      <c r="I209">
        <v>2</v>
      </c>
      <c r="J209">
        <v>2</v>
      </c>
      <c r="K209">
        <v>2</v>
      </c>
      <c r="L209">
        <v>2</v>
      </c>
      <c r="M209">
        <v>1</v>
      </c>
      <c r="N209">
        <v>2</v>
      </c>
      <c r="P209">
        <v>2</v>
      </c>
      <c r="Q209">
        <v>2</v>
      </c>
      <c r="R209">
        <v>2</v>
      </c>
      <c r="S209">
        <v>2</v>
      </c>
      <c r="T209">
        <v>2</v>
      </c>
      <c r="U209">
        <v>2</v>
      </c>
      <c r="V209">
        <v>2</v>
      </c>
      <c r="W209">
        <v>2</v>
      </c>
      <c r="X209">
        <v>2</v>
      </c>
      <c r="Y209">
        <v>2</v>
      </c>
      <c r="Z209">
        <v>2</v>
      </c>
      <c r="AA209">
        <v>2</v>
      </c>
      <c r="AB209">
        <v>2</v>
      </c>
      <c r="AC209">
        <v>2</v>
      </c>
      <c r="AD209">
        <v>2</v>
      </c>
      <c r="AE209">
        <v>2</v>
      </c>
      <c r="AF209">
        <v>1</v>
      </c>
      <c r="AG209">
        <v>1</v>
      </c>
      <c r="AH209">
        <v>1</v>
      </c>
      <c r="AI209">
        <v>2</v>
      </c>
      <c r="AJ209">
        <v>2</v>
      </c>
      <c r="AK209">
        <v>2</v>
      </c>
      <c r="AL209">
        <v>2</v>
      </c>
      <c r="AM209">
        <v>2</v>
      </c>
      <c r="AN209">
        <v>2</v>
      </c>
      <c r="AP209">
        <v>2</v>
      </c>
      <c r="AQ209">
        <v>2</v>
      </c>
      <c r="AR209">
        <v>2</v>
      </c>
      <c r="AS209">
        <v>2</v>
      </c>
      <c r="AT209">
        <v>2</v>
      </c>
      <c r="AU209">
        <v>2</v>
      </c>
      <c r="AV209">
        <v>2</v>
      </c>
      <c r="AX209">
        <v>2</v>
      </c>
      <c r="AY209">
        <v>2</v>
      </c>
      <c r="AZ209">
        <v>2</v>
      </c>
      <c r="BA209">
        <v>1</v>
      </c>
      <c r="BB209">
        <v>2</v>
      </c>
      <c r="BC209">
        <v>2</v>
      </c>
      <c r="BD209">
        <v>2</v>
      </c>
      <c r="BE209">
        <v>2</v>
      </c>
      <c r="BH209">
        <v>2</v>
      </c>
      <c r="BI209">
        <v>2</v>
      </c>
      <c r="BJ209">
        <v>2</v>
      </c>
      <c r="BK209">
        <v>2</v>
      </c>
      <c r="BL209">
        <v>2</v>
      </c>
      <c r="BM209">
        <v>2</v>
      </c>
      <c r="BN209">
        <v>2</v>
      </c>
      <c r="BO209">
        <v>1</v>
      </c>
      <c r="BP209">
        <v>2</v>
      </c>
      <c r="BQ209">
        <v>2</v>
      </c>
      <c r="BR209">
        <v>2</v>
      </c>
      <c r="BS209">
        <v>2</v>
      </c>
      <c r="BT209">
        <v>2</v>
      </c>
      <c r="BU209">
        <v>1</v>
      </c>
      <c r="BV209">
        <v>2</v>
      </c>
      <c r="BW209">
        <v>2</v>
      </c>
      <c r="BX209">
        <v>2</v>
      </c>
      <c r="BY209">
        <v>1</v>
      </c>
      <c r="BZ209">
        <v>2</v>
      </c>
      <c r="CA209">
        <v>2</v>
      </c>
    </row>
    <row r="210" spans="1:79" x14ac:dyDescent="0.3">
      <c r="A210" s="155">
        <v>952</v>
      </c>
      <c r="B210" t="s">
        <v>926</v>
      </c>
      <c r="E210" t="s">
        <v>2150</v>
      </c>
      <c r="F210" t="s">
        <v>2151</v>
      </c>
      <c r="G210" t="s">
        <v>2152</v>
      </c>
      <c r="H210" t="s">
        <v>2153</v>
      </c>
      <c r="I210" t="s">
        <v>2154</v>
      </c>
      <c r="J210" t="s">
        <v>2155</v>
      </c>
      <c r="K210" t="s">
        <v>2156</v>
      </c>
      <c r="L210" t="s">
        <v>2157</v>
      </c>
      <c r="N210" t="s">
        <v>2158</v>
      </c>
      <c r="Q210" t="s">
        <v>2159</v>
      </c>
      <c r="R210" t="s">
        <v>2160</v>
      </c>
      <c r="S210" t="s">
        <v>2161</v>
      </c>
      <c r="T210" t="s">
        <v>2162</v>
      </c>
      <c r="U210" t="s">
        <v>2163</v>
      </c>
      <c r="V210" t="s">
        <v>2164</v>
      </c>
      <c r="W210" t="s">
        <v>2165</v>
      </c>
      <c r="Y210" t="s">
        <v>2166</v>
      </c>
      <c r="Z210" t="s">
        <v>2167</v>
      </c>
      <c r="AA210" t="s">
        <v>2168</v>
      </c>
      <c r="AB210" t="s">
        <v>1549</v>
      </c>
      <c r="AD210" t="s">
        <v>2169</v>
      </c>
      <c r="AE210" t="s">
        <v>2170</v>
      </c>
      <c r="AH210" t="s">
        <v>2171</v>
      </c>
      <c r="AI210" t="s">
        <v>2172</v>
      </c>
      <c r="AJ210" t="s">
        <v>2173</v>
      </c>
      <c r="AK210" t="s">
        <v>2171</v>
      </c>
      <c r="AL210" t="s">
        <v>2174</v>
      </c>
      <c r="AM210" t="s">
        <v>2175</v>
      </c>
      <c r="AN210" t="s">
        <v>2176</v>
      </c>
      <c r="AP210" t="s">
        <v>2161</v>
      </c>
      <c r="AQ210" t="s">
        <v>2177</v>
      </c>
      <c r="AS210" t="s">
        <v>2178</v>
      </c>
      <c r="AU210" t="s">
        <v>2179</v>
      </c>
      <c r="AY210" t="s">
        <v>2180</v>
      </c>
      <c r="BB210" t="s">
        <v>2181</v>
      </c>
      <c r="BC210" t="s">
        <v>2182</v>
      </c>
      <c r="BE210" t="s">
        <v>2183</v>
      </c>
      <c r="BI210" t="s">
        <v>2184</v>
      </c>
      <c r="BJ210" t="s">
        <v>2185</v>
      </c>
      <c r="BK210" t="s">
        <v>2186</v>
      </c>
      <c r="BM210" t="s">
        <v>1549</v>
      </c>
      <c r="BN210" t="s">
        <v>2187</v>
      </c>
      <c r="BP210" t="s">
        <v>2188</v>
      </c>
      <c r="BR210" t="s">
        <v>1600</v>
      </c>
      <c r="BS210" t="s">
        <v>2189</v>
      </c>
      <c r="BT210" t="s">
        <v>1549</v>
      </c>
      <c r="BW210" t="s">
        <v>2190</v>
      </c>
      <c r="BX210" t="s">
        <v>2169</v>
      </c>
      <c r="BY210" t="s">
        <v>2191</v>
      </c>
      <c r="BZ210" t="s">
        <v>2192</v>
      </c>
    </row>
    <row r="211" spans="1:79" x14ac:dyDescent="0.3">
      <c r="A211" s="155">
        <v>953</v>
      </c>
      <c r="B211" t="s">
        <v>927</v>
      </c>
      <c r="D211">
        <v>2</v>
      </c>
      <c r="E211">
        <v>2</v>
      </c>
      <c r="F211">
        <v>2</v>
      </c>
      <c r="G211">
        <v>2</v>
      </c>
      <c r="H211">
        <v>2</v>
      </c>
      <c r="I211">
        <v>2</v>
      </c>
      <c r="J211">
        <v>2</v>
      </c>
      <c r="K211">
        <v>2</v>
      </c>
      <c r="L211">
        <v>2</v>
      </c>
      <c r="M211">
        <v>2</v>
      </c>
      <c r="N211">
        <v>2</v>
      </c>
      <c r="P211">
        <v>2</v>
      </c>
      <c r="Q211">
        <v>2</v>
      </c>
      <c r="R211">
        <v>2</v>
      </c>
      <c r="S211">
        <v>2</v>
      </c>
      <c r="T211">
        <v>2</v>
      </c>
      <c r="U211">
        <v>2</v>
      </c>
      <c r="V211">
        <v>2</v>
      </c>
      <c r="W211">
        <v>2</v>
      </c>
      <c r="X211">
        <v>2</v>
      </c>
      <c r="Y211">
        <v>2</v>
      </c>
      <c r="Z211">
        <v>2</v>
      </c>
      <c r="AA211">
        <v>2</v>
      </c>
      <c r="AB211">
        <v>2</v>
      </c>
      <c r="AC211">
        <v>2</v>
      </c>
      <c r="AD211">
        <v>2</v>
      </c>
      <c r="AE211">
        <v>2</v>
      </c>
      <c r="AF211">
        <v>2</v>
      </c>
      <c r="AG211">
        <v>2</v>
      </c>
      <c r="AH211">
        <v>2</v>
      </c>
      <c r="AI211">
        <v>2</v>
      </c>
      <c r="AJ211">
        <v>2</v>
      </c>
      <c r="AK211">
        <v>2</v>
      </c>
      <c r="AL211">
        <v>2</v>
      </c>
      <c r="AM211">
        <v>2</v>
      </c>
      <c r="AN211">
        <v>2</v>
      </c>
      <c r="AP211">
        <v>2</v>
      </c>
      <c r="AQ211">
        <v>2</v>
      </c>
      <c r="AR211">
        <v>1</v>
      </c>
      <c r="AS211">
        <v>2</v>
      </c>
      <c r="AT211">
        <v>2</v>
      </c>
      <c r="AU211">
        <v>2</v>
      </c>
      <c r="AV211">
        <v>2</v>
      </c>
      <c r="AX211">
        <v>2</v>
      </c>
      <c r="AY211">
        <v>2</v>
      </c>
      <c r="AZ211">
        <v>2</v>
      </c>
      <c r="BA211">
        <v>2</v>
      </c>
      <c r="BB211">
        <v>2</v>
      </c>
      <c r="BC211">
        <v>2</v>
      </c>
      <c r="BD211">
        <v>2</v>
      </c>
      <c r="BE211">
        <v>2</v>
      </c>
      <c r="BH211">
        <v>2</v>
      </c>
      <c r="BI211">
        <v>2</v>
      </c>
      <c r="BJ211">
        <v>2</v>
      </c>
      <c r="BK211">
        <v>2</v>
      </c>
      <c r="BL211">
        <v>2</v>
      </c>
      <c r="BM211">
        <v>2</v>
      </c>
      <c r="BN211">
        <v>2</v>
      </c>
      <c r="BO211">
        <v>2</v>
      </c>
      <c r="BP211">
        <v>2</v>
      </c>
      <c r="BQ211">
        <v>2</v>
      </c>
      <c r="BR211">
        <v>2</v>
      </c>
      <c r="BS211">
        <v>2</v>
      </c>
      <c r="BT211">
        <v>2</v>
      </c>
      <c r="BU211">
        <v>2</v>
      </c>
      <c r="BV211">
        <v>2</v>
      </c>
      <c r="BW211">
        <v>2</v>
      </c>
      <c r="BX211">
        <v>2</v>
      </c>
      <c r="BY211">
        <v>2</v>
      </c>
      <c r="BZ211">
        <v>2</v>
      </c>
      <c r="CA211">
        <v>2</v>
      </c>
    </row>
    <row r="212" spans="1:79" x14ac:dyDescent="0.3">
      <c r="A212" s="155">
        <v>954</v>
      </c>
      <c r="B212" t="s">
        <v>408</v>
      </c>
      <c r="D212" t="s">
        <v>50</v>
      </c>
      <c r="E212" t="s">
        <v>50</v>
      </c>
      <c r="F212" t="s">
        <v>50</v>
      </c>
      <c r="G212" t="s">
        <v>50</v>
      </c>
      <c r="H212" t="s">
        <v>50</v>
      </c>
      <c r="I212" t="s">
        <v>50</v>
      </c>
      <c r="J212" t="s">
        <v>50</v>
      </c>
      <c r="K212" t="s">
        <v>50</v>
      </c>
      <c r="L212" t="s">
        <v>50</v>
      </c>
      <c r="M212" t="s">
        <v>50</v>
      </c>
      <c r="N212" t="s">
        <v>50</v>
      </c>
      <c r="P212" t="s">
        <v>50</v>
      </c>
      <c r="Q212" t="s">
        <v>50</v>
      </c>
      <c r="R212" t="s">
        <v>50</v>
      </c>
      <c r="S212" t="s">
        <v>50</v>
      </c>
      <c r="T212" t="s">
        <v>50</v>
      </c>
      <c r="U212" t="s">
        <v>50</v>
      </c>
      <c r="V212" t="s">
        <v>50</v>
      </c>
      <c r="W212" t="s">
        <v>50</v>
      </c>
      <c r="X212" t="s">
        <v>50</v>
      </c>
      <c r="Y212" t="s">
        <v>50</v>
      </c>
      <c r="Z212" t="s">
        <v>50</v>
      </c>
      <c r="AA212" t="s">
        <v>50</v>
      </c>
      <c r="AB212" t="s">
        <v>50</v>
      </c>
      <c r="AC212" t="s">
        <v>50</v>
      </c>
      <c r="AD212" t="s">
        <v>50</v>
      </c>
      <c r="AE212" t="s">
        <v>50</v>
      </c>
      <c r="AF212" t="s">
        <v>50</v>
      </c>
      <c r="AG212" t="s">
        <v>50</v>
      </c>
      <c r="AH212" t="s">
        <v>50</v>
      </c>
      <c r="AI212" t="s">
        <v>50</v>
      </c>
      <c r="AJ212" t="s">
        <v>50</v>
      </c>
      <c r="AK212" t="s">
        <v>50</v>
      </c>
      <c r="AL212" t="s">
        <v>50</v>
      </c>
      <c r="AM212" t="s">
        <v>50</v>
      </c>
      <c r="AN212" t="s">
        <v>50</v>
      </c>
      <c r="AP212" t="s">
        <v>50</v>
      </c>
      <c r="AQ212" t="s">
        <v>50</v>
      </c>
      <c r="AR212" t="s">
        <v>50</v>
      </c>
      <c r="AS212" t="s">
        <v>50</v>
      </c>
      <c r="AT212" t="s">
        <v>50</v>
      </c>
      <c r="AU212" t="s">
        <v>50</v>
      </c>
      <c r="AV212" t="s">
        <v>50</v>
      </c>
      <c r="AX212" t="s">
        <v>50</v>
      </c>
      <c r="AY212" t="s">
        <v>50</v>
      </c>
      <c r="AZ212" t="s">
        <v>50</v>
      </c>
      <c r="BA212" t="s">
        <v>50</v>
      </c>
      <c r="BB212" t="s">
        <v>50</v>
      </c>
      <c r="BC212" t="s">
        <v>50</v>
      </c>
      <c r="BD212" t="s">
        <v>50</v>
      </c>
      <c r="BE212" t="s">
        <v>50</v>
      </c>
      <c r="BH212" t="s">
        <v>50</v>
      </c>
      <c r="BI212" t="s">
        <v>50</v>
      </c>
      <c r="BJ212" t="s">
        <v>50</v>
      </c>
      <c r="BK212" t="s">
        <v>50</v>
      </c>
      <c r="BL212" t="s">
        <v>50</v>
      </c>
      <c r="BM212" t="s">
        <v>50</v>
      </c>
      <c r="BN212" t="s">
        <v>50</v>
      </c>
      <c r="BO212" t="s">
        <v>50</v>
      </c>
      <c r="BP212" t="s">
        <v>50</v>
      </c>
      <c r="BQ212" t="s">
        <v>50</v>
      </c>
      <c r="BR212" t="s">
        <v>50</v>
      </c>
      <c r="BS212" t="s">
        <v>50</v>
      </c>
      <c r="BT212" t="s">
        <v>50</v>
      </c>
      <c r="BU212" t="s">
        <v>50</v>
      </c>
      <c r="BV212" t="s">
        <v>50</v>
      </c>
      <c r="BW212" t="s">
        <v>50</v>
      </c>
      <c r="BX212" t="s">
        <v>50</v>
      </c>
      <c r="BY212" t="s">
        <v>50</v>
      </c>
      <c r="BZ212" t="s">
        <v>50</v>
      </c>
      <c r="CA212" t="s">
        <v>50</v>
      </c>
    </row>
    <row r="213" spans="1:79" x14ac:dyDescent="0.3">
      <c r="A213" s="155">
        <v>955</v>
      </c>
      <c r="B213" t="s">
        <v>928</v>
      </c>
      <c r="D213">
        <v>0</v>
      </c>
      <c r="E213">
        <v>0</v>
      </c>
      <c r="F213">
        <v>1</v>
      </c>
      <c r="G213">
        <v>0</v>
      </c>
      <c r="H213">
        <v>0</v>
      </c>
      <c r="I213">
        <v>0</v>
      </c>
      <c r="J213">
        <v>1</v>
      </c>
      <c r="K213">
        <v>0</v>
      </c>
      <c r="L213">
        <v>0</v>
      </c>
      <c r="M213">
        <v>0</v>
      </c>
      <c r="N213">
        <v>0</v>
      </c>
      <c r="P213">
        <v>0</v>
      </c>
      <c r="Q213">
        <v>0</v>
      </c>
      <c r="R213">
        <v>0</v>
      </c>
      <c r="S213">
        <v>0</v>
      </c>
      <c r="T213">
        <v>1</v>
      </c>
      <c r="U213">
        <v>0</v>
      </c>
      <c r="V213">
        <v>0</v>
      </c>
      <c r="W213">
        <v>0</v>
      </c>
      <c r="X213">
        <v>0</v>
      </c>
      <c r="Y213">
        <v>0</v>
      </c>
      <c r="Z213">
        <v>0</v>
      </c>
      <c r="AA213">
        <v>0</v>
      </c>
      <c r="AB213">
        <v>0</v>
      </c>
      <c r="AC213">
        <v>0</v>
      </c>
      <c r="AD213">
        <v>2</v>
      </c>
      <c r="AE213">
        <v>0</v>
      </c>
      <c r="AF213">
        <v>0</v>
      </c>
      <c r="AG213">
        <v>0</v>
      </c>
      <c r="AH213">
        <v>2</v>
      </c>
      <c r="AI213">
        <v>0</v>
      </c>
      <c r="AJ213">
        <v>1</v>
      </c>
      <c r="AK213">
        <v>0</v>
      </c>
      <c r="AL213">
        <v>0</v>
      </c>
      <c r="AM213">
        <v>1</v>
      </c>
      <c r="AN213">
        <v>0</v>
      </c>
      <c r="AP213">
        <v>0</v>
      </c>
      <c r="AQ213">
        <v>0</v>
      </c>
      <c r="AR213">
        <v>4</v>
      </c>
      <c r="AS213">
        <v>0</v>
      </c>
      <c r="AT213">
        <v>2</v>
      </c>
      <c r="AU213">
        <v>0</v>
      </c>
      <c r="AV213">
        <v>0</v>
      </c>
      <c r="AX213">
        <v>0</v>
      </c>
      <c r="AY213">
        <v>0</v>
      </c>
      <c r="AZ213">
        <v>0</v>
      </c>
      <c r="BA213">
        <v>1</v>
      </c>
      <c r="BB213">
        <v>0</v>
      </c>
      <c r="BC213">
        <v>2</v>
      </c>
      <c r="BD213">
        <v>0</v>
      </c>
      <c r="BE213">
        <v>0</v>
      </c>
      <c r="BH213">
        <v>1</v>
      </c>
      <c r="BI213">
        <v>0</v>
      </c>
      <c r="BJ213">
        <v>0</v>
      </c>
      <c r="BK213">
        <v>0</v>
      </c>
      <c r="BL213">
        <v>0</v>
      </c>
      <c r="BM213">
        <v>0</v>
      </c>
      <c r="BN213">
        <v>0</v>
      </c>
      <c r="BO213">
        <v>0</v>
      </c>
      <c r="BP213">
        <v>0</v>
      </c>
      <c r="BQ213">
        <v>0</v>
      </c>
      <c r="BR213">
        <v>0</v>
      </c>
      <c r="BS213">
        <v>1</v>
      </c>
      <c r="BT213">
        <v>0</v>
      </c>
      <c r="BU213">
        <v>2</v>
      </c>
      <c r="BV213">
        <v>0</v>
      </c>
      <c r="BW213">
        <v>0</v>
      </c>
      <c r="BX213">
        <v>0</v>
      </c>
      <c r="BY213">
        <v>0</v>
      </c>
      <c r="BZ213">
        <v>0</v>
      </c>
      <c r="CA213">
        <v>0</v>
      </c>
    </row>
    <row r="214" spans="1:79" x14ac:dyDescent="0.3">
      <c r="A214" s="155">
        <v>956</v>
      </c>
      <c r="B214" t="s">
        <v>409</v>
      </c>
      <c r="D214" t="s">
        <v>50</v>
      </c>
      <c r="E214" t="s">
        <v>50</v>
      </c>
      <c r="F214" t="s">
        <v>50</v>
      </c>
      <c r="G214" t="s">
        <v>50</v>
      </c>
      <c r="H214" t="s">
        <v>50</v>
      </c>
      <c r="I214" t="s">
        <v>50</v>
      </c>
      <c r="J214" t="s">
        <v>50</v>
      </c>
      <c r="K214" t="s">
        <v>50</v>
      </c>
      <c r="L214" t="s">
        <v>50</v>
      </c>
      <c r="M214" t="s">
        <v>50</v>
      </c>
      <c r="N214" t="s">
        <v>50</v>
      </c>
      <c r="P214" t="s">
        <v>50</v>
      </c>
      <c r="Q214" t="s">
        <v>50</v>
      </c>
      <c r="R214" t="s">
        <v>50</v>
      </c>
      <c r="S214" t="s">
        <v>50</v>
      </c>
      <c r="T214" t="s">
        <v>50</v>
      </c>
      <c r="U214" t="s">
        <v>50</v>
      </c>
      <c r="V214" t="s">
        <v>50</v>
      </c>
      <c r="W214" t="s">
        <v>50</v>
      </c>
      <c r="X214" t="s">
        <v>50</v>
      </c>
      <c r="Y214" t="s">
        <v>50</v>
      </c>
      <c r="Z214" t="s">
        <v>50</v>
      </c>
      <c r="AA214" t="s">
        <v>50</v>
      </c>
      <c r="AB214" t="s">
        <v>50</v>
      </c>
      <c r="AC214" t="s">
        <v>50</v>
      </c>
      <c r="AD214" t="s">
        <v>50</v>
      </c>
      <c r="AE214" t="s">
        <v>50</v>
      </c>
      <c r="AF214" t="s">
        <v>50</v>
      </c>
      <c r="AG214" t="s">
        <v>50</v>
      </c>
      <c r="AH214" t="s">
        <v>50</v>
      </c>
      <c r="AI214" t="s">
        <v>50</v>
      </c>
      <c r="AJ214" t="s">
        <v>50</v>
      </c>
      <c r="AK214" t="s">
        <v>50</v>
      </c>
      <c r="AL214" t="s">
        <v>50</v>
      </c>
      <c r="AM214" t="s">
        <v>50</v>
      </c>
      <c r="AN214" t="s">
        <v>50</v>
      </c>
      <c r="AP214" t="s">
        <v>50</v>
      </c>
      <c r="AQ214" t="s">
        <v>50</v>
      </c>
      <c r="AR214" t="s">
        <v>50</v>
      </c>
      <c r="AS214" t="s">
        <v>51</v>
      </c>
      <c r="AT214" t="s">
        <v>50</v>
      </c>
      <c r="AU214" t="s">
        <v>50</v>
      </c>
      <c r="AV214" t="s">
        <v>50</v>
      </c>
      <c r="AX214" t="s">
        <v>50</v>
      </c>
      <c r="AY214" t="s">
        <v>50</v>
      </c>
      <c r="AZ214" t="s">
        <v>50</v>
      </c>
      <c r="BA214" t="s">
        <v>50</v>
      </c>
      <c r="BB214" t="s">
        <v>50</v>
      </c>
      <c r="BC214" t="s">
        <v>50</v>
      </c>
      <c r="BD214" t="s">
        <v>50</v>
      </c>
      <c r="BE214" t="s">
        <v>50</v>
      </c>
      <c r="BH214" t="s">
        <v>50</v>
      </c>
      <c r="BI214" t="s">
        <v>50</v>
      </c>
      <c r="BJ214" t="s">
        <v>50</v>
      </c>
      <c r="BK214" t="s">
        <v>50</v>
      </c>
      <c r="BL214" t="s">
        <v>50</v>
      </c>
      <c r="BM214" t="s">
        <v>50</v>
      </c>
      <c r="BN214" t="s">
        <v>50</v>
      </c>
      <c r="BO214" t="s">
        <v>50</v>
      </c>
      <c r="BP214" t="s">
        <v>50</v>
      </c>
      <c r="BQ214" t="s">
        <v>50</v>
      </c>
      <c r="BR214" t="s">
        <v>50</v>
      </c>
      <c r="BS214" t="s">
        <v>50</v>
      </c>
      <c r="BT214" t="s">
        <v>50</v>
      </c>
      <c r="BU214" t="s">
        <v>50</v>
      </c>
      <c r="BV214" t="s">
        <v>50</v>
      </c>
      <c r="BW214" t="s">
        <v>50</v>
      </c>
      <c r="BX214" t="s">
        <v>50</v>
      </c>
      <c r="BY214" t="s">
        <v>50</v>
      </c>
      <c r="BZ214" t="s">
        <v>50</v>
      </c>
      <c r="CA214" t="s">
        <v>50</v>
      </c>
    </row>
    <row r="215" spans="1:79" x14ac:dyDescent="0.3">
      <c r="A215" s="155">
        <v>957</v>
      </c>
      <c r="B215" t="s">
        <v>929</v>
      </c>
      <c r="D215">
        <v>0</v>
      </c>
      <c r="E215">
        <v>0</v>
      </c>
      <c r="F215">
        <v>0</v>
      </c>
      <c r="G215">
        <v>0</v>
      </c>
      <c r="H215">
        <v>0</v>
      </c>
      <c r="I215">
        <v>0</v>
      </c>
      <c r="J215">
        <v>0</v>
      </c>
      <c r="K215">
        <v>0</v>
      </c>
      <c r="L215">
        <v>2</v>
      </c>
      <c r="M215">
        <v>0</v>
      </c>
      <c r="N215">
        <v>0</v>
      </c>
      <c r="P215">
        <v>0</v>
      </c>
      <c r="Q215">
        <v>0</v>
      </c>
      <c r="R215">
        <v>0</v>
      </c>
      <c r="S215">
        <v>0</v>
      </c>
      <c r="T215">
        <v>0</v>
      </c>
      <c r="U215">
        <v>0</v>
      </c>
      <c r="V215">
        <v>0</v>
      </c>
      <c r="W215">
        <v>0</v>
      </c>
      <c r="X215">
        <v>0</v>
      </c>
      <c r="Y215">
        <v>0</v>
      </c>
      <c r="Z215">
        <v>0</v>
      </c>
      <c r="AA215">
        <v>3</v>
      </c>
      <c r="AB215">
        <v>0</v>
      </c>
      <c r="AC215">
        <v>0</v>
      </c>
      <c r="AD215">
        <v>2</v>
      </c>
      <c r="AE215">
        <v>2</v>
      </c>
      <c r="AF215">
        <v>0</v>
      </c>
      <c r="AG215">
        <v>0</v>
      </c>
      <c r="AH215">
        <v>0</v>
      </c>
      <c r="AI215">
        <v>0</v>
      </c>
      <c r="AJ215">
        <v>1</v>
      </c>
      <c r="AK215">
        <v>0</v>
      </c>
      <c r="AL215">
        <v>0</v>
      </c>
      <c r="AM215">
        <v>0</v>
      </c>
      <c r="AN215">
        <v>0</v>
      </c>
      <c r="AP215">
        <v>0</v>
      </c>
      <c r="AQ215">
        <v>0</v>
      </c>
      <c r="AR215">
        <v>1</v>
      </c>
      <c r="AS215">
        <v>1</v>
      </c>
      <c r="AT215">
        <v>0</v>
      </c>
      <c r="AU215">
        <v>0</v>
      </c>
      <c r="AV215">
        <v>4</v>
      </c>
      <c r="AX215">
        <v>0</v>
      </c>
      <c r="AY215">
        <v>0</v>
      </c>
      <c r="AZ215">
        <v>1</v>
      </c>
      <c r="BA215">
        <v>0</v>
      </c>
      <c r="BB215">
        <v>0</v>
      </c>
      <c r="BC215">
        <v>1</v>
      </c>
      <c r="BD215">
        <v>0</v>
      </c>
      <c r="BE215">
        <v>0</v>
      </c>
      <c r="BH215">
        <v>0</v>
      </c>
      <c r="BI215">
        <v>0</v>
      </c>
      <c r="BJ215">
        <v>0</v>
      </c>
      <c r="BK215">
        <v>0</v>
      </c>
      <c r="BL215">
        <v>0</v>
      </c>
      <c r="BM215">
        <v>0</v>
      </c>
      <c r="BN215">
        <v>0</v>
      </c>
      <c r="BO215">
        <v>0</v>
      </c>
      <c r="BP215">
        <v>0</v>
      </c>
      <c r="BQ215">
        <v>0</v>
      </c>
      <c r="BR215">
        <v>0</v>
      </c>
      <c r="BS215">
        <v>1</v>
      </c>
      <c r="BT215">
        <v>0</v>
      </c>
      <c r="BU215">
        <v>0</v>
      </c>
      <c r="BV215">
        <v>0</v>
      </c>
      <c r="BW215">
        <v>0</v>
      </c>
      <c r="BX215">
        <v>0</v>
      </c>
      <c r="BY215">
        <v>0</v>
      </c>
      <c r="BZ215">
        <v>0</v>
      </c>
      <c r="CA215">
        <v>0</v>
      </c>
    </row>
    <row r="216" spans="1:79" x14ac:dyDescent="0.3">
      <c r="A216" s="155">
        <v>958</v>
      </c>
      <c r="B216" t="s">
        <v>930</v>
      </c>
      <c r="D216" t="s">
        <v>50</v>
      </c>
      <c r="E216" t="s">
        <v>50</v>
      </c>
      <c r="F216" t="s">
        <v>50</v>
      </c>
      <c r="G216" t="s">
        <v>50</v>
      </c>
      <c r="H216" t="s">
        <v>50</v>
      </c>
      <c r="I216" t="s">
        <v>50</v>
      </c>
      <c r="J216" t="s">
        <v>50</v>
      </c>
      <c r="K216" t="s">
        <v>50</v>
      </c>
      <c r="L216" t="s">
        <v>50</v>
      </c>
      <c r="M216" t="s">
        <v>50</v>
      </c>
      <c r="N216" t="s">
        <v>50</v>
      </c>
      <c r="P216" t="s">
        <v>50</v>
      </c>
      <c r="Q216" t="s">
        <v>50</v>
      </c>
      <c r="R216" t="s">
        <v>50</v>
      </c>
      <c r="S216" t="s">
        <v>50</v>
      </c>
      <c r="T216" t="s">
        <v>50</v>
      </c>
      <c r="U216" t="s">
        <v>50</v>
      </c>
      <c r="V216" t="s">
        <v>50</v>
      </c>
      <c r="W216" t="s">
        <v>50</v>
      </c>
      <c r="X216" t="s">
        <v>50</v>
      </c>
      <c r="Y216" t="s">
        <v>50</v>
      </c>
      <c r="Z216" t="s">
        <v>50</v>
      </c>
      <c r="AA216" t="s">
        <v>50</v>
      </c>
      <c r="AB216" t="s">
        <v>50</v>
      </c>
      <c r="AC216" t="s">
        <v>50</v>
      </c>
      <c r="AD216" t="s">
        <v>50</v>
      </c>
      <c r="AE216" t="s">
        <v>50</v>
      </c>
      <c r="AF216" t="s">
        <v>50</v>
      </c>
      <c r="AG216" t="s">
        <v>50</v>
      </c>
      <c r="AH216" t="s">
        <v>50</v>
      </c>
      <c r="AI216" t="s">
        <v>50</v>
      </c>
      <c r="AJ216" t="s">
        <v>50</v>
      </c>
      <c r="AK216" t="s">
        <v>50</v>
      </c>
      <c r="AL216" t="s">
        <v>50</v>
      </c>
      <c r="AM216" t="s">
        <v>50</v>
      </c>
      <c r="AN216" t="s">
        <v>50</v>
      </c>
      <c r="AP216" t="s">
        <v>50</v>
      </c>
      <c r="AQ216" t="s">
        <v>50</v>
      </c>
      <c r="AR216" t="s">
        <v>50</v>
      </c>
      <c r="AS216" t="s">
        <v>50</v>
      </c>
      <c r="AT216" t="s">
        <v>50</v>
      </c>
      <c r="AU216" t="s">
        <v>50</v>
      </c>
      <c r="AV216" t="s">
        <v>1592</v>
      </c>
      <c r="AX216" t="s">
        <v>50</v>
      </c>
      <c r="AY216" t="s">
        <v>50</v>
      </c>
      <c r="AZ216" t="s">
        <v>50</v>
      </c>
      <c r="BA216" t="s">
        <v>50</v>
      </c>
      <c r="BB216" t="s">
        <v>50</v>
      </c>
      <c r="BC216" t="s">
        <v>50</v>
      </c>
      <c r="BD216" t="s">
        <v>50</v>
      </c>
      <c r="BE216" t="s">
        <v>50</v>
      </c>
      <c r="BH216" t="s">
        <v>50</v>
      </c>
      <c r="BI216" t="s">
        <v>50</v>
      </c>
      <c r="BJ216" t="s">
        <v>50</v>
      </c>
      <c r="BK216" t="s">
        <v>50</v>
      </c>
      <c r="BL216" t="s">
        <v>50</v>
      </c>
      <c r="BM216" t="s">
        <v>50</v>
      </c>
      <c r="BN216" t="s">
        <v>50</v>
      </c>
      <c r="BO216" t="s">
        <v>50</v>
      </c>
      <c r="BP216" t="s">
        <v>50</v>
      </c>
      <c r="BQ216" t="s">
        <v>50</v>
      </c>
      <c r="BR216" t="s">
        <v>50</v>
      </c>
      <c r="BS216" t="s">
        <v>50</v>
      </c>
      <c r="BT216" t="s">
        <v>50</v>
      </c>
      <c r="BU216" t="s">
        <v>50</v>
      </c>
      <c r="BV216" t="s">
        <v>50</v>
      </c>
      <c r="BW216" t="s">
        <v>50</v>
      </c>
      <c r="BX216" t="s">
        <v>50</v>
      </c>
      <c r="BY216" t="s">
        <v>50</v>
      </c>
      <c r="BZ216" t="s">
        <v>50</v>
      </c>
      <c r="CA216" t="s">
        <v>50</v>
      </c>
    </row>
    <row r="217" spans="1:79" x14ac:dyDescent="0.3">
      <c r="A217" s="155">
        <v>959</v>
      </c>
      <c r="B217" t="s">
        <v>931</v>
      </c>
      <c r="D217">
        <v>2</v>
      </c>
      <c r="E217">
        <v>2</v>
      </c>
      <c r="F217">
        <v>2</v>
      </c>
      <c r="G217">
        <v>2</v>
      </c>
      <c r="H217">
        <v>2</v>
      </c>
      <c r="I217">
        <v>3</v>
      </c>
      <c r="J217">
        <v>2</v>
      </c>
      <c r="K217">
        <v>2</v>
      </c>
      <c r="L217">
        <v>2</v>
      </c>
      <c r="M217">
        <v>3</v>
      </c>
      <c r="N217">
        <v>2</v>
      </c>
      <c r="P217">
        <v>2</v>
      </c>
      <c r="Q217">
        <v>2</v>
      </c>
      <c r="R217">
        <v>2</v>
      </c>
      <c r="S217">
        <v>2</v>
      </c>
      <c r="T217">
        <v>3</v>
      </c>
      <c r="U217">
        <v>2</v>
      </c>
      <c r="V217">
        <v>2</v>
      </c>
      <c r="W217">
        <v>2</v>
      </c>
      <c r="X217">
        <v>2</v>
      </c>
      <c r="Y217">
        <v>2</v>
      </c>
      <c r="Z217">
        <v>2</v>
      </c>
      <c r="AA217">
        <v>2</v>
      </c>
      <c r="AB217">
        <v>3</v>
      </c>
      <c r="AC217">
        <v>3</v>
      </c>
      <c r="AD217">
        <v>2</v>
      </c>
      <c r="AE217">
        <v>2</v>
      </c>
      <c r="AF217">
        <v>3</v>
      </c>
      <c r="AG217">
        <v>2</v>
      </c>
      <c r="AH217">
        <v>3</v>
      </c>
      <c r="AI217">
        <v>3</v>
      </c>
      <c r="AJ217">
        <v>2</v>
      </c>
      <c r="AK217">
        <v>3</v>
      </c>
      <c r="AL217">
        <v>3</v>
      </c>
      <c r="AM217">
        <v>3</v>
      </c>
      <c r="AN217">
        <v>2</v>
      </c>
      <c r="AP217">
        <v>2</v>
      </c>
      <c r="AQ217">
        <v>2</v>
      </c>
      <c r="AR217">
        <v>2</v>
      </c>
      <c r="AS217">
        <v>2</v>
      </c>
      <c r="AT217">
        <v>2</v>
      </c>
      <c r="AU217">
        <v>2</v>
      </c>
      <c r="AV217">
        <v>3</v>
      </c>
      <c r="AX217">
        <v>2</v>
      </c>
      <c r="AY217">
        <v>2</v>
      </c>
      <c r="AZ217">
        <v>2</v>
      </c>
      <c r="BA217">
        <v>3</v>
      </c>
      <c r="BB217">
        <v>2</v>
      </c>
      <c r="BC217">
        <v>2</v>
      </c>
      <c r="BD217">
        <v>3</v>
      </c>
      <c r="BE217">
        <v>2</v>
      </c>
      <c r="BH217">
        <v>2</v>
      </c>
      <c r="BI217">
        <v>2</v>
      </c>
      <c r="BJ217">
        <v>2</v>
      </c>
      <c r="BK217">
        <v>2</v>
      </c>
      <c r="BL217">
        <v>2</v>
      </c>
      <c r="BM217">
        <v>3</v>
      </c>
      <c r="BN217">
        <v>2</v>
      </c>
      <c r="BO217">
        <v>2</v>
      </c>
      <c r="BP217">
        <v>2</v>
      </c>
      <c r="BQ217">
        <v>2</v>
      </c>
      <c r="BR217">
        <v>2</v>
      </c>
      <c r="BS217">
        <v>2</v>
      </c>
      <c r="BT217">
        <v>2</v>
      </c>
      <c r="BU217">
        <v>2</v>
      </c>
      <c r="BV217">
        <v>2</v>
      </c>
      <c r="BW217">
        <v>3</v>
      </c>
      <c r="BX217">
        <v>2</v>
      </c>
      <c r="BY217">
        <v>3</v>
      </c>
      <c r="BZ217">
        <v>2</v>
      </c>
      <c r="CA217">
        <v>2</v>
      </c>
    </row>
    <row r="218" spans="1:79" x14ac:dyDescent="0.3">
      <c r="A218" s="155">
        <v>960</v>
      </c>
      <c r="B218" t="s">
        <v>932</v>
      </c>
      <c r="D218" t="s">
        <v>2193</v>
      </c>
      <c r="E218" t="s">
        <v>2194</v>
      </c>
      <c r="F218" t="s">
        <v>2195</v>
      </c>
      <c r="G218" t="s">
        <v>2196</v>
      </c>
      <c r="H218" t="s">
        <v>2197</v>
      </c>
      <c r="I218" t="s">
        <v>2198</v>
      </c>
      <c r="J218" t="s">
        <v>2199</v>
      </c>
      <c r="K218" t="s">
        <v>2200</v>
      </c>
      <c r="L218" t="s">
        <v>2201</v>
      </c>
      <c r="M218" t="s">
        <v>2202</v>
      </c>
      <c r="N218" t="s">
        <v>2203</v>
      </c>
      <c r="P218" t="s">
        <v>2204</v>
      </c>
      <c r="Q218" t="s">
        <v>2205</v>
      </c>
      <c r="R218" t="s">
        <v>2206</v>
      </c>
      <c r="S218" t="s">
        <v>2207</v>
      </c>
      <c r="T218" t="s">
        <v>2208</v>
      </c>
      <c r="U218" t="s">
        <v>2209</v>
      </c>
      <c r="V218" t="s">
        <v>2210</v>
      </c>
      <c r="W218" t="s">
        <v>2211</v>
      </c>
      <c r="X218" t="s">
        <v>2212</v>
      </c>
      <c r="Y218" t="s">
        <v>2213</v>
      </c>
      <c r="Z218" t="s">
        <v>2214</v>
      </c>
      <c r="AA218" t="s">
        <v>2215</v>
      </c>
      <c r="AB218" t="s">
        <v>2216</v>
      </c>
      <c r="AC218" t="s">
        <v>2217</v>
      </c>
      <c r="AD218" t="s">
        <v>2218</v>
      </c>
      <c r="AE218" t="s">
        <v>2219</v>
      </c>
      <c r="AF218" t="s">
        <v>2220</v>
      </c>
      <c r="AG218" t="s">
        <v>2221</v>
      </c>
      <c r="AH218" t="s">
        <v>2222</v>
      </c>
      <c r="AI218" t="s">
        <v>2223</v>
      </c>
      <c r="AJ218" t="s">
        <v>2224</v>
      </c>
      <c r="AK218" t="s">
        <v>2225</v>
      </c>
      <c r="AL218" t="s">
        <v>2226</v>
      </c>
      <c r="AM218" t="s">
        <v>2227</v>
      </c>
      <c r="AN218" t="s">
        <v>2228</v>
      </c>
      <c r="AP218" t="s">
        <v>2229</v>
      </c>
      <c r="AQ218" t="s">
        <v>2230</v>
      </c>
      <c r="AR218" t="s">
        <v>2231</v>
      </c>
      <c r="AS218" t="s">
        <v>2232</v>
      </c>
      <c r="AT218" t="s">
        <v>2233</v>
      </c>
      <c r="AU218" t="s">
        <v>2234</v>
      </c>
      <c r="AV218" t="s">
        <v>2235</v>
      </c>
      <c r="AX218" t="s">
        <v>2236</v>
      </c>
      <c r="AY218" t="s">
        <v>2237</v>
      </c>
      <c r="AZ218" t="s">
        <v>2238</v>
      </c>
      <c r="BA218" t="s">
        <v>2239</v>
      </c>
      <c r="BB218" t="s">
        <v>2240</v>
      </c>
      <c r="BC218" t="s">
        <v>2241</v>
      </c>
      <c r="BD218" t="s">
        <v>2242</v>
      </c>
      <c r="BE218" t="s">
        <v>2243</v>
      </c>
      <c r="BH218" t="s">
        <v>2244</v>
      </c>
      <c r="BI218" t="s">
        <v>2245</v>
      </c>
      <c r="BJ218" t="s">
        <v>2246</v>
      </c>
      <c r="BK218" t="s">
        <v>2247</v>
      </c>
      <c r="BL218" t="s">
        <v>2248</v>
      </c>
      <c r="BM218" t="s">
        <v>2249</v>
      </c>
      <c r="BN218" t="s">
        <v>2250</v>
      </c>
      <c r="BO218" t="s">
        <v>2251</v>
      </c>
      <c r="BP218" t="s">
        <v>2252</v>
      </c>
      <c r="BQ218" t="s">
        <v>2253</v>
      </c>
      <c r="BR218" t="s">
        <v>2254</v>
      </c>
      <c r="BS218" t="s">
        <v>2255</v>
      </c>
      <c r="BT218" t="s">
        <v>2256</v>
      </c>
      <c r="BU218" t="s">
        <v>2257</v>
      </c>
      <c r="BV218" t="s">
        <v>429</v>
      </c>
      <c r="BW218" t="s">
        <v>2258</v>
      </c>
      <c r="BX218" t="s">
        <v>2259</v>
      </c>
      <c r="BY218" t="s">
        <v>2260</v>
      </c>
      <c r="BZ218" t="s">
        <v>2261</v>
      </c>
      <c r="CA218" t="s">
        <v>2262</v>
      </c>
    </row>
    <row r="219" spans="1:79" x14ac:dyDescent="0.3">
      <c r="A219" s="155">
        <v>962</v>
      </c>
      <c r="B219" t="s">
        <v>933</v>
      </c>
      <c r="D219" t="s">
        <v>938</v>
      </c>
      <c r="E219" t="s">
        <v>934</v>
      </c>
      <c r="F219" t="s">
        <v>1979</v>
      </c>
      <c r="G219" t="s">
        <v>934</v>
      </c>
      <c r="H219" t="s">
        <v>934</v>
      </c>
      <c r="I219" t="s">
        <v>935</v>
      </c>
      <c r="J219" t="s">
        <v>936</v>
      </c>
      <c r="K219" t="s">
        <v>938</v>
      </c>
      <c r="L219" t="s">
        <v>934</v>
      </c>
      <c r="M219" t="s">
        <v>935</v>
      </c>
      <c r="N219" t="s">
        <v>935</v>
      </c>
      <c r="P219" t="s">
        <v>934</v>
      </c>
      <c r="Q219" t="s">
        <v>934</v>
      </c>
      <c r="R219" t="s">
        <v>2263</v>
      </c>
      <c r="S219" t="s">
        <v>934</v>
      </c>
      <c r="T219" t="s">
        <v>935</v>
      </c>
      <c r="U219" t="s">
        <v>1914</v>
      </c>
      <c r="V219" t="s">
        <v>2264</v>
      </c>
      <c r="W219" t="s">
        <v>935</v>
      </c>
      <c r="X219" t="s">
        <v>934</v>
      </c>
      <c r="Y219" t="s">
        <v>2265</v>
      </c>
      <c r="Z219" t="s">
        <v>935</v>
      </c>
      <c r="AA219" t="s">
        <v>934</v>
      </c>
      <c r="AB219" t="s">
        <v>935</v>
      </c>
      <c r="AC219" t="s">
        <v>935</v>
      </c>
      <c r="AD219" t="s">
        <v>2266</v>
      </c>
      <c r="AE219" t="s">
        <v>935</v>
      </c>
      <c r="AF219" t="s">
        <v>935</v>
      </c>
      <c r="AG219" t="s">
        <v>936</v>
      </c>
      <c r="AH219" t="s">
        <v>937</v>
      </c>
      <c r="AI219" t="s">
        <v>935</v>
      </c>
      <c r="AJ219" t="s">
        <v>1914</v>
      </c>
      <c r="AK219" t="s">
        <v>937</v>
      </c>
      <c r="AL219" t="s">
        <v>935</v>
      </c>
      <c r="AM219" t="s">
        <v>934</v>
      </c>
      <c r="AN219" t="s">
        <v>935</v>
      </c>
      <c r="AP219" t="s">
        <v>935</v>
      </c>
      <c r="AQ219" t="s">
        <v>934</v>
      </c>
      <c r="AR219" t="s">
        <v>934</v>
      </c>
      <c r="AS219" t="s">
        <v>935</v>
      </c>
      <c r="AT219" t="s">
        <v>935</v>
      </c>
      <c r="AU219" t="s">
        <v>934</v>
      </c>
      <c r="AV219" t="s">
        <v>937</v>
      </c>
      <c r="AX219" t="s">
        <v>935</v>
      </c>
      <c r="AY219" t="s">
        <v>935</v>
      </c>
      <c r="AZ219" t="s">
        <v>2267</v>
      </c>
      <c r="BA219" t="s">
        <v>2268</v>
      </c>
      <c r="BB219" t="s">
        <v>934</v>
      </c>
      <c r="BC219" t="s">
        <v>935</v>
      </c>
      <c r="BD219" t="s">
        <v>935</v>
      </c>
      <c r="BE219" t="s">
        <v>934</v>
      </c>
      <c r="BH219" t="s">
        <v>934</v>
      </c>
      <c r="BI219" t="s">
        <v>934</v>
      </c>
      <c r="BJ219" t="s">
        <v>2269</v>
      </c>
      <c r="BK219" t="s">
        <v>935</v>
      </c>
      <c r="BL219" t="s">
        <v>935</v>
      </c>
      <c r="BM219" t="s">
        <v>935</v>
      </c>
      <c r="BN219" t="s">
        <v>934</v>
      </c>
      <c r="BO219" t="s">
        <v>2270</v>
      </c>
      <c r="BP219" t="s">
        <v>935</v>
      </c>
      <c r="BQ219" t="s">
        <v>935</v>
      </c>
      <c r="BR219" t="s">
        <v>1551</v>
      </c>
      <c r="BS219" t="s">
        <v>934</v>
      </c>
      <c r="BT219" t="s">
        <v>935</v>
      </c>
      <c r="BU219" t="s">
        <v>935</v>
      </c>
      <c r="BV219" t="s">
        <v>934</v>
      </c>
      <c r="BW219" t="s">
        <v>2264</v>
      </c>
      <c r="BX219" t="s">
        <v>935</v>
      </c>
      <c r="BY219" t="s">
        <v>2271</v>
      </c>
      <c r="BZ219" t="s">
        <v>934</v>
      </c>
      <c r="CA219" t="s">
        <v>935</v>
      </c>
    </row>
    <row r="220" spans="1:79" x14ac:dyDescent="0.3">
      <c r="A220" s="155">
        <v>964</v>
      </c>
      <c r="B220" t="s">
        <v>939</v>
      </c>
      <c r="D220" t="s">
        <v>1605</v>
      </c>
      <c r="E220" t="s">
        <v>2272</v>
      </c>
      <c r="F220" t="s">
        <v>1980</v>
      </c>
      <c r="G220" t="s">
        <v>1609</v>
      </c>
      <c r="H220" t="s">
        <v>2273</v>
      </c>
      <c r="I220" t="s">
        <v>1627</v>
      </c>
      <c r="J220" t="s">
        <v>1625</v>
      </c>
      <c r="K220" t="s">
        <v>1623</v>
      </c>
      <c r="L220" t="s">
        <v>2273</v>
      </c>
      <c r="M220" t="s">
        <v>2274</v>
      </c>
      <c r="N220" t="s">
        <v>1614</v>
      </c>
      <c r="P220" t="s">
        <v>1619</v>
      </c>
      <c r="Q220" t="s">
        <v>1630</v>
      </c>
      <c r="R220" t="s">
        <v>1607</v>
      </c>
      <c r="S220" t="s">
        <v>1600</v>
      </c>
      <c r="T220" t="s">
        <v>1603</v>
      </c>
      <c r="U220" t="s">
        <v>1621</v>
      </c>
      <c r="V220" t="s">
        <v>1599</v>
      </c>
      <c r="W220" t="s">
        <v>1600</v>
      </c>
      <c r="X220" t="s">
        <v>1603</v>
      </c>
      <c r="Y220" t="s">
        <v>1600</v>
      </c>
      <c r="Z220" t="s">
        <v>1610</v>
      </c>
      <c r="AA220" t="s">
        <v>2275</v>
      </c>
      <c r="AB220" t="s">
        <v>2276</v>
      </c>
      <c r="AC220" t="s">
        <v>1600</v>
      </c>
      <c r="AD220" t="s">
        <v>1611</v>
      </c>
      <c r="AE220" t="s">
        <v>2277</v>
      </c>
      <c r="AF220" t="s">
        <v>1607</v>
      </c>
      <c r="AG220" t="s">
        <v>2278</v>
      </c>
      <c r="AH220" t="s">
        <v>1613</v>
      </c>
      <c r="AI220" t="s">
        <v>2279</v>
      </c>
      <c r="AJ220" t="s">
        <v>1593</v>
      </c>
      <c r="AK220" t="s">
        <v>2280</v>
      </c>
      <c r="AL220" t="s">
        <v>2281</v>
      </c>
      <c r="AM220" t="s">
        <v>1603</v>
      </c>
      <c r="AN220" t="s">
        <v>1594</v>
      </c>
      <c r="AP220" t="s">
        <v>2277</v>
      </c>
      <c r="AQ220" t="s">
        <v>2282</v>
      </c>
      <c r="AR220" t="s">
        <v>2283</v>
      </c>
      <c r="AS220" t="s">
        <v>2284</v>
      </c>
      <c r="AT220" t="s">
        <v>1995</v>
      </c>
      <c r="AU220" t="s">
        <v>1601</v>
      </c>
      <c r="AV220" t="s">
        <v>2285</v>
      </c>
      <c r="AX220" t="s">
        <v>1607</v>
      </c>
      <c r="AY220" t="s">
        <v>1630</v>
      </c>
      <c r="AZ220" t="s">
        <v>1990</v>
      </c>
      <c r="BA220" t="s">
        <v>1597</v>
      </c>
      <c r="BB220" t="s">
        <v>1630</v>
      </c>
      <c r="BC220" t="s">
        <v>2286</v>
      </c>
      <c r="BD220" t="s">
        <v>2287</v>
      </c>
      <c r="BE220" t="s">
        <v>1610</v>
      </c>
      <c r="BH220" t="s">
        <v>2288</v>
      </c>
      <c r="BI220" t="s">
        <v>1629</v>
      </c>
      <c r="BJ220" t="s">
        <v>1600</v>
      </c>
      <c r="BK220" t="s">
        <v>1603</v>
      </c>
      <c r="BL220" t="s">
        <v>2281</v>
      </c>
      <c r="BM220" t="s">
        <v>1600</v>
      </c>
      <c r="BN220" t="s">
        <v>1597</v>
      </c>
      <c r="BO220" t="s">
        <v>2280</v>
      </c>
      <c r="BP220" t="s">
        <v>1622</v>
      </c>
      <c r="BQ220" t="s">
        <v>2289</v>
      </c>
      <c r="BR220" t="s">
        <v>2290</v>
      </c>
      <c r="BS220" t="s">
        <v>2291</v>
      </c>
      <c r="BT220" t="s">
        <v>1597</v>
      </c>
      <c r="BU220" t="s">
        <v>1610</v>
      </c>
      <c r="BV220" t="s">
        <v>1608</v>
      </c>
      <c r="BW220" t="s">
        <v>1612</v>
      </c>
      <c r="BX220" t="s">
        <v>2292</v>
      </c>
      <c r="BY220" t="s">
        <v>1595</v>
      </c>
      <c r="BZ220" t="s">
        <v>1610</v>
      </c>
      <c r="CA220" t="s">
        <v>1609</v>
      </c>
    </row>
    <row r="221" spans="1:79" x14ac:dyDescent="0.3">
      <c r="A221" s="155">
        <v>966</v>
      </c>
      <c r="B221" t="s">
        <v>940</v>
      </c>
      <c r="D221" t="s">
        <v>2293</v>
      </c>
      <c r="E221" t="s">
        <v>2294</v>
      </c>
      <c r="F221" t="s">
        <v>2295</v>
      </c>
      <c r="G221" t="s">
        <v>2296</v>
      </c>
      <c r="H221" t="s">
        <v>2297</v>
      </c>
      <c r="I221" t="s">
        <v>2298</v>
      </c>
      <c r="K221" t="s">
        <v>2299</v>
      </c>
      <c r="L221" t="s">
        <v>2300</v>
      </c>
      <c r="M221" t="s">
        <v>2301</v>
      </c>
      <c r="N221" t="s">
        <v>2302</v>
      </c>
      <c r="P221" t="s">
        <v>2303</v>
      </c>
      <c r="Q221" t="s">
        <v>2304</v>
      </c>
      <c r="R221" t="s">
        <v>2305</v>
      </c>
      <c r="S221" t="s">
        <v>2306</v>
      </c>
      <c r="T221" t="s">
        <v>2307</v>
      </c>
      <c r="U221" t="s">
        <v>2308</v>
      </c>
      <c r="V221" t="s">
        <v>2309</v>
      </c>
      <c r="W221" t="s">
        <v>2310</v>
      </c>
      <c r="X221" t="s">
        <v>2311</v>
      </c>
      <c r="Y221" t="s">
        <v>2312</v>
      </c>
      <c r="Z221" t="s">
        <v>2313</v>
      </c>
      <c r="AA221" t="s">
        <v>2314</v>
      </c>
      <c r="AB221" t="s">
        <v>2315</v>
      </c>
      <c r="AC221" t="s">
        <v>2316</v>
      </c>
      <c r="AD221" t="s">
        <v>2317</v>
      </c>
      <c r="AE221" t="s">
        <v>2318</v>
      </c>
      <c r="AF221" t="s">
        <v>2319</v>
      </c>
      <c r="AG221" t="s">
        <v>2320</v>
      </c>
      <c r="AH221" t="s">
        <v>2321</v>
      </c>
      <c r="AI221" t="s">
        <v>2322</v>
      </c>
      <c r="AJ221" t="s">
        <v>2323</v>
      </c>
      <c r="AK221" t="s">
        <v>2324</v>
      </c>
      <c r="AL221" t="s">
        <v>2325</v>
      </c>
      <c r="AM221" t="s">
        <v>2326</v>
      </c>
      <c r="AN221" t="s">
        <v>2327</v>
      </c>
      <c r="AP221" t="s">
        <v>2328</v>
      </c>
      <c r="AQ221" t="s">
        <v>2329</v>
      </c>
      <c r="AR221" t="s">
        <v>2330</v>
      </c>
      <c r="AS221" t="s">
        <v>2331</v>
      </c>
      <c r="AT221" t="s">
        <v>2332</v>
      </c>
      <c r="AU221" t="s">
        <v>2333</v>
      </c>
      <c r="AV221" t="s">
        <v>2334</v>
      </c>
      <c r="AX221" t="s">
        <v>2335</v>
      </c>
      <c r="AY221" t="s">
        <v>2336</v>
      </c>
      <c r="AZ221" t="s">
        <v>2337</v>
      </c>
      <c r="BA221" t="s">
        <v>2338</v>
      </c>
      <c r="BB221" t="s">
        <v>2339</v>
      </c>
      <c r="BC221" t="s">
        <v>2340</v>
      </c>
      <c r="BD221" t="s">
        <v>2341</v>
      </c>
      <c r="BE221" t="s">
        <v>2342</v>
      </c>
      <c r="BH221" t="s">
        <v>2343</v>
      </c>
      <c r="BI221" t="s">
        <v>2344</v>
      </c>
      <c r="BJ221" t="s">
        <v>2345</v>
      </c>
      <c r="BK221" t="s">
        <v>2346</v>
      </c>
      <c r="BL221" t="s">
        <v>2347</v>
      </c>
      <c r="BM221" t="s">
        <v>2348</v>
      </c>
      <c r="BN221" t="s">
        <v>2349</v>
      </c>
      <c r="BO221" t="s">
        <v>2350</v>
      </c>
      <c r="BP221" t="s">
        <v>2351</v>
      </c>
      <c r="BQ221" t="s">
        <v>2352</v>
      </c>
      <c r="BR221" t="s">
        <v>2353</v>
      </c>
      <c r="BS221" t="s">
        <v>2354</v>
      </c>
      <c r="BT221" t="s">
        <v>2355</v>
      </c>
      <c r="BU221" t="s">
        <v>2356</v>
      </c>
      <c r="BV221" t="s">
        <v>2357</v>
      </c>
      <c r="BW221" t="s">
        <v>2358</v>
      </c>
      <c r="BX221" t="s">
        <v>2359</v>
      </c>
      <c r="BY221" t="s">
        <v>2360</v>
      </c>
      <c r="BZ221" t="s">
        <v>2361</v>
      </c>
      <c r="CA221" t="s">
        <v>2362</v>
      </c>
    </row>
    <row r="222" spans="1:79" x14ac:dyDescent="0.3">
      <c r="A222" s="155">
        <v>968</v>
      </c>
      <c r="B222" t="s">
        <v>941</v>
      </c>
      <c r="D222" t="s">
        <v>2363</v>
      </c>
      <c r="E222" t="s">
        <v>2364</v>
      </c>
      <c r="F222" t="s">
        <v>2365</v>
      </c>
      <c r="G222" t="s">
        <v>2366</v>
      </c>
      <c r="H222" t="s">
        <v>2367</v>
      </c>
      <c r="I222" t="s">
        <v>2368</v>
      </c>
      <c r="J222" t="s">
        <v>2369</v>
      </c>
      <c r="K222" t="s">
        <v>2370</v>
      </c>
      <c r="L222" t="s">
        <v>2371</v>
      </c>
      <c r="M222" t="s">
        <v>2372</v>
      </c>
      <c r="N222" t="s">
        <v>2373</v>
      </c>
      <c r="P222" t="s">
        <v>2374</v>
      </c>
      <c r="Q222" t="s">
        <v>2375</v>
      </c>
      <c r="R222" t="s">
        <v>2376</v>
      </c>
      <c r="S222" t="s">
        <v>2377</v>
      </c>
      <c r="T222" t="s">
        <v>2378</v>
      </c>
      <c r="U222" t="s">
        <v>2379</v>
      </c>
      <c r="V222" t="s">
        <v>2380</v>
      </c>
      <c r="W222" t="s">
        <v>2381</v>
      </c>
      <c r="X222" t="s">
        <v>2382</v>
      </c>
      <c r="Y222" t="s">
        <v>2383</v>
      </c>
      <c r="Z222" t="s">
        <v>2384</v>
      </c>
      <c r="AA222" t="s">
        <v>2385</v>
      </c>
      <c r="AB222" t="s">
        <v>2386</v>
      </c>
      <c r="AC222" t="s">
        <v>2387</v>
      </c>
      <c r="AD222" t="s">
        <v>2388</v>
      </c>
      <c r="AE222" t="s">
        <v>2389</v>
      </c>
      <c r="AF222" t="s">
        <v>2390</v>
      </c>
      <c r="AG222" t="s">
        <v>2391</v>
      </c>
      <c r="AH222" t="s">
        <v>2392</v>
      </c>
      <c r="AI222" t="s">
        <v>2393</v>
      </c>
      <c r="AJ222" t="s">
        <v>2394</v>
      </c>
      <c r="AK222" t="s">
        <v>2395</v>
      </c>
      <c r="AL222" t="s">
        <v>2396</v>
      </c>
      <c r="AM222" t="s">
        <v>2397</v>
      </c>
      <c r="AN222" t="s">
        <v>2398</v>
      </c>
      <c r="AP222" t="s">
        <v>2399</v>
      </c>
      <c r="AQ222" t="s">
        <v>2400</v>
      </c>
      <c r="AR222" t="s">
        <v>2401</v>
      </c>
      <c r="AS222" t="s">
        <v>2402</v>
      </c>
      <c r="AT222" t="s">
        <v>2403</v>
      </c>
      <c r="AU222" t="s">
        <v>2404</v>
      </c>
      <c r="AV222" t="s">
        <v>2405</v>
      </c>
      <c r="AX222" t="s">
        <v>2406</v>
      </c>
      <c r="AY222" t="s">
        <v>2407</v>
      </c>
      <c r="AZ222" t="s">
        <v>2408</v>
      </c>
      <c r="BA222" t="s">
        <v>2409</v>
      </c>
      <c r="BB222" t="s">
        <v>2410</v>
      </c>
      <c r="BC222" t="s">
        <v>2411</v>
      </c>
      <c r="BD222" t="s">
        <v>2412</v>
      </c>
      <c r="BE222" t="s">
        <v>2413</v>
      </c>
      <c r="BH222" t="s">
        <v>2414</v>
      </c>
      <c r="BI222" t="s">
        <v>2415</v>
      </c>
      <c r="BJ222" t="s">
        <v>2416</v>
      </c>
      <c r="BK222" t="s">
        <v>2417</v>
      </c>
      <c r="BL222" t="s">
        <v>2418</v>
      </c>
      <c r="BM222" t="s">
        <v>2419</v>
      </c>
      <c r="BN222" t="s">
        <v>2420</v>
      </c>
      <c r="BO222" t="s">
        <v>2421</v>
      </c>
      <c r="BP222" t="s">
        <v>2422</v>
      </c>
      <c r="BQ222" t="s">
        <v>2423</v>
      </c>
      <c r="BR222" t="s">
        <v>2424</v>
      </c>
      <c r="BS222" t="s">
        <v>2425</v>
      </c>
      <c r="BT222" t="s">
        <v>2426</v>
      </c>
      <c r="BU222" t="s">
        <v>2427</v>
      </c>
      <c r="BV222" t="s">
        <v>429</v>
      </c>
      <c r="BW222" t="s">
        <v>2428</v>
      </c>
      <c r="BX222" t="s">
        <v>2429</v>
      </c>
      <c r="BY222" t="s">
        <v>2430</v>
      </c>
      <c r="BZ222" t="s">
        <v>2431</v>
      </c>
      <c r="CA222" t="s">
        <v>2432</v>
      </c>
    </row>
    <row r="223" spans="1:79" x14ac:dyDescent="0.3">
      <c r="A223" s="155">
        <v>973</v>
      </c>
      <c r="B223" t="s">
        <v>1617</v>
      </c>
      <c r="D223">
        <v>0</v>
      </c>
      <c r="E223">
        <v>0</v>
      </c>
      <c r="F223">
        <v>0</v>
      </c>
      <c r="G223">
        <v>0</v>
      </c>
      <c r="H223">
        <v>0</v>
      </c>
      <c r="I223">
        <v>0</v>
      </c>
      <c r="J223">
        <v>1</v>
      </c>
      <c r="K223">
        <v>0</v>
      </c>
      <c r="L223">
        <v>0</v>
      </c>
      <c r="M223">
        <v>0</v>
      </c>
      <c r="N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P223">
        <v>0</v>
      </c>
      <c r="AQ223">
        <v>0</v>
      </c>
      <c r="AR223">
        <v>1</v>
      </c>
      <c r="AS223">
        <v>1</v>
      </c>
      <c r="AT223">
        <v>0</v>
      </c>
      <c r="AU223">
        <v>0</v>
      </c>
      <c r="AV223">
        <v>0</v>
      </c>
      <c r="AX223">
        <v>0</v>
      </c>
      <c r="AY223">
        <v>0</v>
      </c>
      <c r="AZ223">
        <v>0</v>
      </c>
      <c r="BA223">
        <v>0</v>
      </c>
      <c r="BB223">
        <v>0</v>
      </c>
      <c r="BC223">
        <v>1</v>
      </c>
      <c r="BD223">
        <v>0</v>
      </c>
      <c r="BE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row>
    <row r="224" spans="1:79" x14ac:dyDescent="0.3">
      <c r="A224" s="155">
        <v>974</v>
      </c>
      <c r="B224" t="s">
        <v>942</v>
      </c>
      <c r="D224">
        <v>3</v>
      </c>
      <c r="E224">
        <v>2</v>
      </c>
      <c r="F224">
        <v>2</v>
      </c>
      <c r="G224">
        <v>2</v>
      </c>
      <c r="H224">
        <v>2</v>
      </c>
      <c r="I224">
        <v>3</v>
      </c>
      <c r="J224">
        <v>2</v>
      </c>
      <c r="K224">
        <v>2</v>
      </c>
      <c r="L224">
        <v>2</v>
      </c>
      <c r="M224">
        <v>3</v>
      </c>
      <c r="N224">
        <v>2</v>
      </c>
      <c r="P224">
        <v>2</v>
      </c>
      <c r="Q224">
        <v>2</v>
      </c>
      <c r="R224">
        <v>2</v>
      </c>
      <c r="S224">
        <v>2</v>
      </c>
      <c r="T224">
        <v>3</v>
      </c>
      <c r="U224">
        <v>2</v>
      </c>
      <c r="V224">
        <v>3</v>
      </c>
      <c r="W224">
        <v>2</v>
      </c>
      <c r="X224">
        <v>2</v>
      </c>
      <c r="Y224">
        <v>2</v>
      </c>
      <c r="Z224">
        <v>2</v>
      </c>
      <c r="AA224">
        <v>2</v>
      </c>
      <c r="AB224">
        <v>3</v>
      </c>
      <c r="AC224">
        <v>2</v>
      </c>
      <c r="AD224">
        <v>2</v>
      </c>
      <c r="AE224">
        <v>2</v>
      </c>
      <c r="AF224">
        <v>3</v>
      </c>
      <c r="AG224">
        <v>3</v>
      </c>
      <c r="AH224">
        <v>3</v>
      </c>
      <c r="AI224">
        <v>3</v>
      </c>
      <c r="AJ224">
        <v>2</v>
      </c>
      <c r="AK224">
        <v>3</v>
      </c>
      <c r="AL224">
        <v>3</v>
      </c>
      <c r="AM224">
        <v>3</v>
      </c>
      <c r="AN224">
        <v>2</v>
      </c>
      <c r="AP224">
        <v>2</v>
      </c>
      <c r="AQ224">
        <v>2</v>
      </c>
      <c r="AR224">
        <v>2</v>
      </c>
      <c r="AS224">
        <v>2</v>
      </c>
      <c r="AT224">
        <v>2</v>
      </c>
      <c r="AU224">
        <v>2</v>
      </c>
      <c r="AV224">
        <v>2</v>
      </c>
      <c r="AX224">
        <v>2</v>
      </c>
      <c r="AY224">
        <v>2</v>
      </c>
      <c r="AZ224">
        <v>2</v>
      </c>
      <c r="BA224">
        <v>2</v>
      </c>
      <c r="BB224">
        <v>2</v>
      </c>
      <c r="BC224">
        <v>2</v>
      </c>
      <c r="BD224">
        <v>3</v>
      </c>
      <c r="BE224">
        <v>2</v>
      </c>
      <c r="BH224">
        <v>2</v>
      </c>
      <c r="BI224">
        <v>2</v>
      </c>
      <c r="BJ224">
        <v>2</v>
      </c>
      <c r="BK224">
        <v>2</v>
      </c>
      <c r="BL224">
        <v>2</v>
      </c>
      <c r="BM224">
        <v>3</v>
      </c>
      <c r="BN224">
        <v>2</v>
      </c>
      <c r="BO224">
        <v>2</v>
      </c>
      <c r="BP224">
        <v>2</v>
      </c>
      <c r="BQ224">
        <v>3</v>
      </c>
      <c r="BR224">
        <v>2</v>
      </c>
      <c r="BS224">
        <v>2</v>
      </c>
      <c r="BT224">
        <v>2</v>
      </c>
      <c r="BU224">
        <v>2</v>
      </c>
      <c r="BV224">
        <v>2</v>
      </c>
      <c r="BW224">
        <v>3</v>
      </c>
      <c r="BX224">
        <v>2</v>
      </c>
      <c r="BY224">
        <v>3</v>
      </c>
      <c r="BZ224">
        <v>2</v>
      </c>
      <c r="CA224">
        <v>2</v>
      </c>
    </row>
    <row r="225" spans="1:79" x14ac:dyDescent="0.3">
      <c r="A225" s="155">
        <v>975</v>
      </c>
      <c r="B225" t="s">
        <v>596</v>
      </c>
      <c r="D225">
        <v>1</v>
      </c>
      <c r="E225">
        <v>1</v>
      </c>
      <c r="F225">
        <v>1</v>
      </c>
      <c r="G225">
        <v>2</v>
      </c>
      <c r="H225">
        <v>1</v>
      </c>
      <c r="I225">
        <v>1</v>
      </c>
      <c r="J225">
        <v>1</v>
      </c>
      <c r="K225">
        <v>1</v>
      </c>
      <c r="L225">
        <v>1</v>
      </c>
      <c r="M225">
        <v>1</v>
      </c>
      <c r="N225">
        <v>1</v>
      </c>
      <c r="P225">
        <v>1</v>
      </c>
      <c r="Q225">
        <v>2</v>
      </c>
      <c r="R225">
        <v>2</v>
      </c>
      <c r="S225">
        <v>1</v>
      </c>
      <c r="T225">
        <v>1</v>
      </c>
      <c r="U225">
        <v>1</v>
      </c>
      <c r="V225">
        <v>2</v>
      </c>
      <c r="W225">
        <v>2</v>
      </c>
      <c r="X225">
        <v>2</v>
      </c>
      <c r="Y225">
        <v>2</v>
      </c>
      <c r="Z225">
        <v>2</v>
      </c>
      <c r="AA225">
        <v>1</v>
      </c>
      <c r="AB225">
        <v>2</v>
      </c>
      <c r="AC225">
        <v>2</v>
      </c>
      <c r="AD225">
        <v>1</v>
      </c>
      <c r="AE225">
        <v>1</v>
      </c>
      <c r="AF225">
        <v>1</v>
      </c>
      <c r="AG225">
        <v>1</v>
      </c>
      <c r="AH225">
        <v>1</v>
      </c>
      <c r="AI225">
        <v>2</v>
      </c>
      <c r="AJ225">
        <v>1</v>
      </c>
      <c r="AK225">
        <v>1</v>
      </c>
      <c r="AL225">
        <v>2</v>
      </c>
      <c r="AM225">
        <v>1</v>
      </c>
      <c r="AN225">
        <v>2</v>
      </c>
      <c r="AP225">
        <v>2</v>
      </c>
      <c r="AQ225">
        <v>2</v>
      </c>
      <c r="AR225">
        <v>1</v>
      </c>
      <c r="AS225">
        <v>1</v>
      </c>
      <c r="AT225">
        <v>1</v>
      </c>
      <c r="AU225">
        <v>1</v>
      </c>
      <c r="AV225">
        <v>1</v>
      </c>
      <c r="AX225">
        <v>2</v>
      </c>
      <c r="AY225">
        <v>2</v>
      </c>
      <c r="AZ225">
        <v>1</v>
      </c>
      <c r="BA225">
        <v>1</v>
      </c>
      <c r="BB225">
        <v>2</v>
      </c>
      <c r="BC225">
        <v>1</v>
      </c>
      <c r="BD225">
        <v>1</v>
      </c>
      <c r="BE225">
        <v>1</v>
      </c>
      <c r="BH225">
        <v>1</v>
      </c>
      <c r="BI225">
        <v>2</v>
      </c>
      <c r="BJ225">
        <v>1</v>
      </c>
      <c r="BK225">
        <v>1</v>
      </c>
      <c r="BL225">
        <v>2</v>
      </c>
      <c r="BM225">
        <v>2</v>
      </c>
      <c r="BN225">
        <v>1</v>
      </c>
      <c r="BO225">
        <v>2</v>
      </c>
      <c r="BP225">
        <v>2</v>
      </c>
      <c r="BQ225">
        <v>1</v>
      </c>
      <c r="BR225">
        <v>1</v>
      </c>
      <c r="BS225">
        <v>1</v>
      </c>
      <c r="BT225">
        <v>1</v>
      </c>
      <c r="BU225">
        <v>1</v>
      </c>
      <c r="BV225">
        <v>1</v>
      </c>
      <c r="BW225">
        <v>1</v>
      </c>
      <c r="BX225">
        <v>1</v>
      </c>
      <c r="BY225">
        <v>1</v>
      </c>
      <c r="BZ225">
        <v>1</v>
      </c>
      <c r="CA225">
        <v>1</v>
      </c>
    </row>
    <row r="226" spans="1:79" x14ac:dyDescent="0.3">
      <c r="A226" s="155">
        <v>979</v>
      </c>
      <c r="B226" t="s">
        <v>943</v>
      </c>
      <c r="D226">
        <v>1</v>
      </c>
      <c r="E226">
        <v>1</v>
      </c>
      <c r="F226">
        <v>2</v>
      </c>
      <c r="G226">
        <v>1</v>
      </c>
      <c r="H226">
        <v>2</v>
      </c>
      <c r="I226">
        <v>2</v>
      </c>
      <c r="J226">
        <v>2</v>
      </c>
      <c r="K226">
        <v>2</v>
      </c>
      <c r="L226">
        <v>2</v>
      </c>
      <c r="M226">
        <v>2</v>
      </c>
      <c r="N226">
        <v>1</v>
      </c>
      <c r="P226">
        <v>2</v>
      </c>
      <c r="Q226">
        <v>1</v>
      </c>
      <c r="R226">
        <v>1</v>
      </c>
      <c r="S226">
        <v>1</v>
      </c>
      <c r="T226">
        <v>1</v>
      </c>
      <c r="U226">
        <v>2</v>
      </c>
      <c r="V226">
        <v>1</v>
      </c>
      <c r="W226">
        <v>1</v>
      </c>
      <c r="X226">
        <v>1</v>
      </c>
      <c r="Y226">
        <v>1</v>
      </c>
      <c r="Z226">
        <v>1</v>
      </c>
      <c r="AA226">
        <v>2</v>
      </c>
      <c r="AB226">
        <v>1</v>
      </c>
      <c r="AC226">
        <v>1</v>
      </c>
      <c r="AD226">
        <v>2</v>
      </c>
      <c r="AE226">
        <v>1</v>
      </c>
      <c r="AF226">
        <v>1</v>
      </c>
      <c r="AG226">
        <v>1</v>
      </c>
      <c r="AH226">
        <v>1</v>
      </c>
      <c r="AI226">
        <v>1</v>
      </c>
      <c r="AJ226">
        <v>2</v>
      </c>
      <c r="AK226">
        <v>1</v>
      </c>
      <c r="AL226">
        <v>1</v>
      </c>
      <c r="AM226">
        <v>1</v>
      </c>
      <c r="AN226">
        <v>1</v>
      </c>
      <c r="AP226">
        <v>1</v>
      </c>
      <c r="AQ226">
        <v>1</v>
      </c>
      <c r="AR226">
        <v>2</v>
      </c>
      <c r="AS226">
        <v>2</v>
      </c>
      <c r="AT226">
        <v>2</v>
      </c>
      <c r="AU226">
        <v>2</v>
      </c>
      <c r="AV226">
        <v>2</v>
      </c>
      <c r="AX226">
        <v>1</v>
      </c>
      <c r="AY226">
        <v>1</v>
      </c>
      <c r="AZ226">
        <v>2</v>
      </c>
      <c r="BA226">
        <v>1</v>
      </c>
      <c r="BB226">
        <v>1</v>
      </c>
      <c r="BC226">
        <v>2</v>
      </c>
      <c r="BD226">
        <v>2</v>
      </c>
      <c r="BE226">
        <v>1</v>
      </c>
      <c r="BH226">
        <v>2</v>
      </c>
      <c r="BI226">
        <v>1</v>
      </c>
      <c r="BJ226">
        <v>1</v>
      </c>
      <c r="BK226">
        <v>1</v>
      </c>
      <c r="BL226">
        <v>1</v>
      </c>
      <c r="BM226">
        <v>1</v>
      </c>
      <c r="BN226">
        <v>1</v>
      </c>
      <c r="BO226">
        <v>1</v>
      </c>
      <c r="BP226">
        <v>1</v>
      </c>
      <c r="BQ226">
        <v>2</v>
      </c>
      <c r="BR226">
        <v>2</v>
      </c>
      <c r="BS226">
        <v>2</v>
      </c>
      <c r="BT226">
        <v>1</v>
      </c>
      <c r="BU226">
        <v>1</v>
      </c>
      <c r="BV226">
        <v>2</v>
      </c>
      <c r="BW226">
        <v>1</v>
      </c>
      <c r="BX226">
        <v>2</v>
      </c>
      <c r="BY226">
        <v>1</v>
      </c>
      <c r="BZ226">
        <v>1</v>
      </c>
      <c r="CA226">
        <v>1</v>
      </c>
    </row>
    <row r="227" spans="1:79" x14ac:dyDescent="0.3">
      <c r="A227" s="155">
        <v>980</v>
      </c>
      <c r="B227" t="s">
        <v>583</v>
      </c>
      <c r="D227" t="s">
        <v>1607</v>
      </c>
      <c r="E227" t="s">
        <v>1620</v>
      </c>
      <c r="F227" t="s">
        <v>2433</v>
      </c>
      <c r="G227" t="s">
        <v>1614</v>
      </c>
      <c r="H227" t="s">
        <v>2434</v>
      </c>
      <c r="I227" t="s">
        <v>2435</v>
      </c>
      <c r="J227" t="s">
        <v>2435</v>
      </c>
      <c r="K227" t="s">
        <v>1623</v>
      </c>
      <c r="L227" t="s">
        <v>2436</v>
      </c>
      <c r="M227" t="s">
        <v>2437</v>
      </c>
      <c r="N227" t="s">
        <v>1625</v>
      </c>
      <c r="P227" t="s">
        <v>2157</v>
      </c>
      <c r="Q227" t="s">
        <v>1591</v>
      </c>
      <c r="R227" t="s">
        <v>1591</v>
      </c>
      <c r="S227" t="s">
        <v>1610</v>
      </c>
      <c r="T227" t="s">
        <v>2157</v>
      </c>
      <c r="U227" t="s">
        <v>2438</v>
      </c>
      <c r="V227" t="s">
        <v>1602</v>
      </c>
      <c r="W227" t="s">
        <v>1591</v>
      </c>
      <c r="X227" t="s">
        <v>1616</v>
      </c>
      <c r="Y227" t="s">
        <v>1591</v>
      </c>
      <c r="Z227" t="s">
        <v>1627</v>
      </c>
      <c r="AA227" t="s">
        <v>1915</v>
      </c>
      <c r="AB227" t="s">
        <v>1591</v>
      </c>
      <c r="AC227" t="s">
        <v>1602</v>
      </c>
      <c r="AD227" t="s">
        <v>1618</v>
      </c>
      <c r="AE227" t="s">
        <v>1596</v>
      </c>
      <c r="AF227" t="s">
        <v>1620</v>
      </c>
      <c r="AG227" t="s">
        <v>2439</v>
      </c>
      <c r="AH227" t="s">
        <v>2440</v>
      </c>
      <c r="AI227" t="s">
        <v>1622</v>
      </c>
      <c r="AJ227" t="s">
        <v>2441</v>
      </c>
      <c r="AK227" t="s">
        <v>2442</v>
      </c>
      <c r="AL227" t="s">
        <v>1591</v>
      </c>
      <c r="AM227" t="s">
        <v>1628</v>
      </c>
      <c r="AN227" t="s">
        <v>2443</v>
      </c>
      <c r="AP227" t="s">
        <v>1591</v>
      </c>
      <c r="AQ227" t="s">
        <v>1591</v>
      </c>
      <c r="AR227" t="s">
        <v>2444</v>
      </c>
      <c r="AS227" t="s">
        <v>2445</v>
      </c>
      <c r="AT227" t="s">
        <v>1916</v>
      </c>
      <c r="AU227" t="s">
        <v>1969</v>
      </c>
      <c r="AV227" t="s">
        <v>1606</v>
      </c>
      <c r="AX227" t="s">
        <v>1615</v>
      </c>
      <c r="AY227" t="s">
        <v>1591</v>
      </c>
      <c r="AZ227" t="s">
        <v>2446</v>
      </c>
      <c r="BA227" t="s">
        <v>1601</v>
      </c>
      <c r="BB227" t="s">
        <v>1591</v>
      </c>
      <c r="BC227" t="s">
        <v>2447</v>
      </c>
      <c r="BD227" t="s">
        <v>1604</v>
      </c>
      <c r="BE227" t="s">
        <v>2448</v>
      </c>
      <c r="BH227" t="s">
        <v>2449</v>
      </c>
      <c r="BI227" t="s">
        <v>1591</v>
      </c>
      <c r="BJ227" t="s">
        <v>2450</v>
      </c>
      <c r="BK227" t="s">
        <v>2450</v>
      </c>
      <c r="BL227" t="s">
        <v>2450</v>
      </c>
      <c r="BM227" t="s">
        <v>1591</v>
      </c>
      <c r="BN227" t="s">
        <v>1628</v>
      </c>
      <c r="BO227" t="s">
        <v>1627</v>
      </c>
      <c r="BP227" t="s">
        <v>1598</v>
      </c>
      <c r="BQ227" t="s">
        <v>1624</v>
      </c>
      <c r="BR227" t="s">
        <v>2451</v>
      </c>
      <c r="BS227" t="s">
        <v>2436</v>
      </c>
      <c r="BT227" t="s">
        <v>1601</v>
      </c>
      <c r="BU227" t="s">
        <v>1623</v>
      </c>
      <c r="BV227" t="s">
        <v>2285</v>
      </c>
      <c r="BW227" t="s">
        <v>1620</v>
      </c>
      <c r="BX227" t="s">
        <v>2452</v>
      </c>
      <c r="BY227" t="s">
        <v>2438</v>
      </c>
      <c r="BZ227" t="s">
        <v>2157</v>
      </c>
      <c r="CA227" t="s">
        <v>1615</v>
      </c>
    </row>
    <row r="228" spans="1:79" x14ac:dyDescent="0.3">
      <c r="A228" s="155">
        <v>984</v>
      </c>
      <c r="B228" t="s">
        <v>944</v>
      </c>
      <c r="D228">
        <v>1305246</v>
      </c>
      <c r="E228">
        <v>10597374</v>
      </c>
      <c r="F228">
        <v>174506</v>
      </c>
      <c r="G228">
        <v>24564498</v>
      </c>
      <c r="H228">
        <v>2479498</v>
      </c>
      <c r="I228">
        <v>139490</v>
      </c>
      <c r="J228">
        <v>673102</v>
      </c>
      <c r="K228">
        <v>976292</v>
      </c>
      <c r="L228">
        <v>34727004</v>
      </c>
      <c r="M228">
        <v>31679</v>
      </c>
      <c r="N228">
        <v>411089</v>
      </c>
      <c r="P228">
        <v>21211736</v>
      </c>
      <c r="Q228">
        <v>10174622</v>
      </c>
      <c r="R228">
        <v>3470290</v>
      </c>
      <c r="S228">
        <v>6924772</v>
      </c>
      <c r="T228">
        <v>108964</v>
      </c>
      <c r="U228">
        <v>11207178</v>
      </c>
      <c r="V228">
        <v>9475</v>
      </c>
      <c r="W228">
        <v>5072733</v>
      </c>
      <c r="X228">
        <v>10551065</v>
      </c>
      <c r="Y228">
        <v>3348552</v>
      </c>
      <c r="Z228">
        <v>700036</v>
      </c>
      <c r="AA228">
        <v>4510224</v>
      </c>
      <c r="AB228">
        <v>746490</v>
      </c>
      <c r="AC228">
        <v>253865</v>
      </c>
      <c r="AD228">
        <v>567304</v>
      </c>
      <c r="AE228">
        <v>1946650</v>
      </c>
      <c r="AF228">
        <v>37269</v>
      </c>
      <c r="AG228">
        <v>10140</v>
      </c>
      <c r="AH228">
        <v>45225</v>
      </c>
      <c r="AI228">
        <v>1952244</v>
      </c>
      <c r="AJ228">
        <v>3385643</v>
      </c>
      <c r="AK228">
        <v>86810</v>
      </c>
      <c r="AL228">
        <v>12151</v>
      </c>
      <c r="AM228">
        <v>9958406</v>
      </c>
      <c r="AN228">
        <v>10039257</v>
      </c>
      <c r="AP228">
        <v>2881149</v>
      </c>
      <c r="AQ228">
        <v>11851784</v>
      </c>
      <c r="AR228">
        <v>1284704</v>
      </c>
      <c r="AS228">
        <v>93287</v>
      </c>
      <c r="AT228">
        <v>2189557</v>
      </c>
      <c r="AU228">
        <v>5638718</v>
      </c>
      <c r="AV228">
        <v>31041</v>
      </c>
      <c r="AX228">
        <v>2261627</v>
      </c>
      <c r="AY228">
        <v>1838606</v>
      </c>
      <c r="AZ228">
        <v>1353116</v>
      </c>
      <c r="BA228">
        <v>31514</v>
      </c>
      <c r="BB228">
        <v>1756002</v>
      </c>
      <c r="BC228">
        <v>197034</v>
      </c>
      <c r="BD228">
        <v>36646</v>
      </c>
      <c r="BE228">
        <v>10670865</v>
      </c>
      <c r="BH228">
        <v>1766289</v>
      </c>
      <c r="BI228">
        <v>2099070</v>
      </c>
      <c r="BJ228">
        <v>189032</v>
      </c>
      <c r="BK228">
        <v>8344095</v>
      </c>
      <c r="BL228">
        <v>2349185</v>
      </c>
      <c r="BM228">
        <v>48272</v>
      </c>
      <c r="BN228">
        <v>3039883</v>
      </c>
      <c r="BO228">
        <v>767802</v>
      </c>
      <c r="BP228">
        <v>598752</v>
      </c>
      <c r="BQ228">
        <v>1208365</v>
      </c>
      <c r="BR228">
        <v>935311</v>
      </c>
      <c r="BS228">
        <v>15309355</v>
      </c>
      <c r="BT228">
        <v>869087</v>
      </c>
      <c r="BU228">
        <v>1656834</v>
      </c>
      <c r="BV228">
        <v>267478</v>
      </c>
      <c r="BW228">
        <v>447936</v>
      </c>
      <c r="BX228">
        <v>1809</v>
      </c>
      <c r="BY228">
        <v>11287</v>
      </c>
      <c r="BZ228">
        <v>12631940</v>
      </c>
      <c r="CA228">
        <v>35790</v>
      </c>
    </row>
    <row r="229" spans="1:79" x14ac:dyDescent="0.3">
      <c r="A229" s="155">
        <v>985</v>
      </c>
      <c r="B229" t="s">
        <v>945</v>
      </c>
      <c r="D229">
        <v>1304473</v>
      </c>
      <c r="E229">
        <v>10037235</v>
      </c>
      <c r="F229">
        <v>165550</v>
      </c>
      <c r="G229">
        <v>24414925</v>
      </c>
      <c r="H229">
        <v>2448390</v>
      </c>
      <c r="I229">
        <v>137691</v>
      </c>
      <c r="J229">
        <v>583000</v>
      </c>
      <c r="K229">
        <v>970600</v>
      </c>
      <c r="L229">
        <v>32860158</v>
      </c>
      <c r="M229">
        <v>29614</v>
      </c>
      <c r="N229">
        <v>403791</v>
      </c>
      <c r="P229">
        <v>20401961</v>
      </c>
      <c r="Q229">
        <v>9961049</v>
      </c>
      <c r="R229">
        <v>3397380</v>
      </c>
      <c r="S229">
        <v>6860000</v>
      </c>
      <c r="T229">
        <v>90855</v>
      </c>
      <c r="U229">
        <v>10836650</v>
      </c>
      <c r="V229">
        <v>8600</v>
      </c>
      <c r="W229">
        <v>4890002</v>
      </c>
      <c r="X229">
        <v>10561463</v>
      </c>
      <c r="Y229">
        <v>3293500</v>
      </c>
      <c r="Z229">
        <v>691331</v>
      </c>
      <c r="AA229">
        <v>4429782</v>
      </c>
      <c r="AB229">
        <v>735584</v>
      </c>
      <c r="AC229">
        <v>253625</v>
      </c>
      <c r="AD229">
        <v>564887</v>
      </c>
      <c r="AE229">
        <v>1849942</v>
      </c>
      <c r="AF229">
        <v>36058</v>
      </c>
      <c r="AG229">
        <v>9900</v>
      </c>
      <c r="AH229">
        <v>42000</v>
      </c>
      <c r="AI229">
        <v>1865200</v>
      </c>
      <c r="AJ229">
        <v>3269190</v>
      </c>
      <c r="AK229">
        <v>78000</v>
      </c>
      <c r="AL229">
        <v>11000</v>
      </c>
      <c r="AM229">
        <v>9675000</v>
      </c>
      <c r="AN229">
        <v>9389590</v>
      </c>
      <c r="AP229">
        <v>2765490</v>
      </c>
      <c r="AQ229">
        <v>11151500</v>
      </c>
      <c r="AR229">
        <v>1244200</v>
      </c>
      <c r="AS229">
        <v>93000</v>
      </c>
      <c r="AT229">
        <v>2091100</v>
      </c>
      <c r="AU229">
        <v>5550000</v>
      </c>
      <c r="AV229">
        <v>33000</v>
      </c>
      <c r="AX229">
        <v>1667000</v>
      </c>
      <c r="AY229">
        <v>1655750</v>
      </c>
      <c r="AZ229">
        <v>1340883</v>
      </c>
      <c r="BA229">
        <v>24717</v>
      </c>
      <c r="BB229">
        <v>1682825</v>
      </c>
      <c r="BC229">
        <v>212132</v>
      </c>
      <c r="BD229">
        <v>37000</v>
      </c>
      <c r="BE229">
        <v>10740140</v>
      </c>
      <c r="BH229">
        <v>1744000</v>
      </c>
      <c r="BI229">
        <v>1998091</v>
      </c>
      <c r="BJ229">
        <v>194700</v>
      </c>
      <c r="BK229">
        <v>8482312</v>
      </c>
      <c r="BL229">
        <v>2361393</v>
      </c>
      <c r="BM229">
        <v>44047</v>
      </c>
      <c r="BN229">
        <v>2945144</v>
      </c>
      <c r="BO229">
        <v>704500</v>
      </c>
      <c r="BP229">
        <v>598258</v>
      </c>
      <c r="BQ229">
        <v>1089556</v>
      </c>
      <c r="BR229">
        <v>931082</v>
      </c>
      <c r="BS229">
        <v>15034323</v>
      </c>
      <c r="BT229">
        <v>831200</v>
      </c>
      <c r="BU229">
        <v>1595075</v>
      </c>
      <c r="BV229">
        <v>257200</v>
      </c>
      <c r="BW229">
        <v>478000</v>
      </c>
      <c r="BX229">
        <v>1600</v>
      </c>
      <c r="BY229">
        <v>9862</v>
      </c>
      <c r="BZ229">
        <v>12569424</v>
      </c>
      <c r="CA229">
        <v>35000</v>
      </c>
    </row>
    <row r="230" spans="1:79" x14ac:dyDescent="0.3">
      <c r="A230" s="155">
        <v>986</v>
      </c>
      <c r="B230" t="s">
        <v>584</v>
      </c>
      <c r="D230">
        <v>0</v>
      </c>
      <c r="E230">
        <v>0</v>
      </c>
      <c r="F230">
        <v>0</v>
      </c>
      <c r="G230">
        <v>372310</v>
      </c>
      <c r="H230">
        <v>0</v>
      </c>
      <c r="I230">
        <v>0</v>
      </c>
      <c r="J230">
        <v>0</v>
      </c>
      <c r="K230">
        <v>0</v>
      </c>
      <c r="L230">
        <v>0</v>
      </c>
      <c r="M230">
        <v>0</v>
      </c>
      <c r="N230">
        <v>0</v>
      </c>
      <c r="P230">
        <v>0</v>
      </c>
      <c r="Q230">
        <v>0</v>
      </c>
      <c r="R230">
        <v>0</v>
      </c>
      <c r="S230">
        <v>0</v>
      </c>
      <c r="T230">
        <v>0</v>
      </c>
      <c r="U230">
        <v>40370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P230">
        <v>0</v>
      </c>
      <c r="AQ230">
        <v>0</v>
      </c>
      <c r="AR230">
        <v>0</v>
      </c>
      <c r="AS230">
        <v>62545</v>
      </c>
      <c r="AT230">
        <v>0</v>
      </c>
      <c r="AU230">
        <v>0</v>
      </c>
      <c r="AV230">
        <v>0</v>
      </c>
      <c r="AX230">
        <v>0</v>
      </c>
      <c r="AY230">
        <v>0</v>
      </c>
      <c r="AZ230">
        <v>0</v>
      </c>
      <c r="BA230">
        <v>0</v>
      </c>
      <c r="BB230">
        <v>0</v>
      </c>
      <c r="BC230">
        <v>0</v>
      </c>
      <c r="BD230">
        <v>0</v>
      </c>
      <c r="BE230">
        <v>0</v>
      </c>
      <c r="BH230">
        <v>0</v>
      </c>
      <c r="BI230">
        <v>0</v>
      </c>
      <c r="BJ230">
        <v>0</v>
      </c>
      <c r="BK230">
        <v>0</v>
      </c>
      <c r="BL230">
        <v>0</v>
      </c>
      <c r="BM230">
        <v>0</v>
      </c>
      <c r="BN230">
        <v>249285</v>
      </c>
      <c r="BO230">
        <v>0</v>
      </c>
      <c r="BP230">
        <v>0</v>
      </c>
      <c r="BQ230">
        <v>0</v>
      </c>
      <c r="BR230">
        <v>0</v>
      </c>
      <c r="BS230">
        <v>0</v>
      </c>
      <c r="BT230">
        <v>3258</v>
      </c>
      <c r="BU230">
        <v>0</v>
      </c>
      <c r="BV230">
        <v>0</v>
      </c>
      <c r="BW230">
        <v>0</v>
      </c>
      <c r="BX230">
        <v>0</v>
      </c>
      <c r="BY230">
        <v>0</v>
      </c>
      <c r="BZ230">
        <v>2045130</v>
      </c>
      <c r="CA230">
        <v>0</v>
      </c>
    </row>
    <row r="231" spans="1:79" x14ac:dyDescent="0.3">
      <c r="A231" s="155">
        <v>987</v>
      </c>
      <c r="B231" t="s">
        <v>946</v>
      </c>
      <c r="D231">
        <v>0</v>
      </c>
      <c r="E231">
        <v>0</v>
      </c>
      <c r="F231">
        <v>0</v>
      </c>
      <c r="G231">
        <v>0</v>
      </c>
      <c r="H231">
        <v>0</v>
      </c>
      <c r="I231">
        <v>0</v>
      </c>
      <c r="J231">
        <v>0</v>
      </c>
      <c r="K231">
        <v>0</v>
      </c>
      <c r="L231">
        <v>0</v>
      </c>
      <c r="M231">
        <v>0</v>
      </c>
      <c r="N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P231">
        <v>0</v>
      </c>
      <c r="AQ231">
        <v>0</v>
      </c>
      <c r="AR231">
        <v>0</v>
      </c>
      <c r="AS231">
        <v>0</v>
      </c>
      <c r="AT231">
        <v>0</v>
      </c>
      <c r="AU231">
        <v>0</v>
      </c>
      <c r="AV231">
        <v>0</v>
      </c>
      <c r="AX231">
        <v>0</v>
      </c>
      <c r="AY231">
        <v>0</v>
      </c>
      <c r="AZ231">
        <v>0</v>
      </c>
      <c r="BA231">
        <v>0</v>
      </c>
      <c r="BB231">
        <v>0</v>
      </c>
      <c r="BC231">
        <v>0</v>
      </c>
      <c r="BD231">
        <v>0</v>
      </c>
      <c r="BE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row>
    <row r="232" spans="1:79" x14ac:dyDescent="0.3">
      <c r="A232" s="155">
        <v>988</v>
      </c>
      <c r="B232" t="s">
        <v>947</v>
      </c>
      <c r="D232">
        <v>2</v>
      </c>
      <c r="E232">
        <v>2</v>
      </c>
      <c r="F232">
        <v>2</v>
      </c>
      <c r="G232">
        <v>2</v>
      </c>
      <c r="H232">
        <v>2</v>
      </c>
      <c r="I232">
        <v>2</v>
      </c>
      <c r="J232">
        <v>2</v>
      </c>
      <c r="K232">
        <v>2</v>
      </c>
      <c r="L232">
        <v>2</v>
      </c>
      <c r="M232">
        <v>0</v>
      </c>
      <c r="N232">
        <v>2</v>
      </c>
      <c r="P232">
        <v>0</v>
      </c>
      <c r="Q232">
        <v>2</v>
      </c>
      <c r="R232">
        <v>0</v>
      </c>
      <c r="S232">
        <v>2</v>
      </c>
      <c r="T232">
        <v>2</v>
      </c>
      <c r="U232">
        <v>2</v>
      </c>
      <c r="V232">
        <v>2</v>
      </c>
      <c r="W232">
        <v>2</v>
      </c>
      <c r="X232">
        <v>2</v>
      </c>
      <c r="Y232">
        <v>2</v>
      </c>
      <c r="Z232">
        <v>2</v>
      </c>
      <c r="AA232">
        <v>2</v>
      </c>
      <c r="AB232">
        <v>0</v>
      </c>
      <c r="AC232">
        <v>2</v>
      </c>
      <c r="AD232">
        <v>2</v>
      </c>
      <c r="AE232">
        <v>2</v>
      </c>
      <c r="AF232">
        <v>2</v>
      </c>
      <c r="AG232">
        <v>2</v>
      </c>
      <c r="AH232">
        <v>2</v>
      </c>
      <c r="AI232">
        <v>2</v>
      </c>
      <c r="AJ232">
        <v>2</v>
      </c>
      <c r="AK232">
        <v>2</v>
      </c>
      <c r="AL232">
        <v>2</v>
      </c>
      <c r="AM232">
        <v>2</v>
      </c>
      <c r="AN232">
        <v>2</v>
      </c>
      <c r="AP232">
        <v>2</v>
      </c>
      <c r="AQ232">
        <v>2</v>
      </c>
      <c r="AR232">
        <v>0</v>
      </c>
      <c r="AS232">
        <v>2</v>
      </c>
      <c r="AT232">
        <v>2</v>
      </c>
      <c r="AU232">
        <v>2</v>
      </c>
      <c r="AV232">
        <v>2</v>
      </c>
      <c r="AX232">
        <v>2</v>
      </c>
      <c r="AY232">
        <v>2</v>
      </c>
      <c r="AZ232">
        <v>2</v>
      </c>
      <c r="BA232">
        <v>2</v>
      </c>
      <c r="BB232">
        <v>2</v>
      </c>
      <c r="BC232">
        <v>2</v>
      </c>
      <c r="BD232">
        <v>2</v>
      </c>
      <c r="BE232">
        <v>2</v>
      </c>
      <c r="BH232">
        <v>2</v>
      </c>
      <c r="BI232">
        <v>2</v>
      </c>
      <c r="BJ232">
        <v>2</v>
      </c>
      <c r="BK232">
        <v>2</v>
      </c>
      <c r="BL232">
        <v>2</v>
      </c>
      <c r="BM232">
        <v>2</v>
      </c>
      <c r="BN232">
        <v>2</v>
      </c>
      <c r="BO232">
        <v>2</v>
      </c>
      <c r="BP232">
        <v>2</v>
      </c>
      <c r="BQ232">
        <v>2</v>
      </c>
      <c r="BR232">
        <v>2</v>
      </c>
      <c r="BS232">
        <v>2</v>
      </c>
      <c r="BT232">
        <v>2</v>
      </c>
      <c r="BU232">
        <v>2</v>
      </c>
      <c r="BV232">
        <v>2</v>
      </c>
      <c r="BW232">
        <v>2</v>
      </c>
      <c r="BX232">
        <v>2</v>
      </c>
      <c r="BY232">
        <v>2</v>
      </c>
      <c r="BZ232">
        <v>2</v>
      </c>
      <c r="CA232">
        <v>2</v>
      </c>
    </row>
    <row r="233" spans="1:79" x14ac:dyDescent="0.3">
      <c r="A233" s="155">
        <v>989</v>
      </c>
      <c r="B233" t="s">
        <v>948</v>
      </c>
      <c r="D233">
        <v>0</v>
      </c>
      <c r="E233">
        <v>0</v>
      </c>
      <c r="F233">
        <v>3</v>
      </c>
      <c r="G233">
        <v>0</v>
      </c>
      <c r="H233">
        <v>3</v>
      </c>
      <c r="I233">
        <v>0</v>
      </c>
      <c r="J233">
        <v>3</v>
      </c>
      <c r="K233">
        <v>3</v>
      </c>
      <c r="L233">
        <v>3</v>
      </c>
      <c r="M233">
        <v>0</v>
      </c>
      <c r="N233">
        <v>3</v>
      </c>
      <c r="P233">
        <v>0</v>
      </c>
      <c r="Q233">
        <v>0</v>
      </c>
      <c r="R233">
        <v>0</v>
      </c>
      <c r="S233">
        <v>3</v>
      </c>
      <c r="T233">
        <v>0</v>
      </c>
      <c r="U233">
        <v>3</v>
      </c>
      <c r="V233">
        <v>0</v>
      </c>
      <c r="W233">
        <v>0</v>
      </c>
      <c r="X233">
        <v>3</v>
      </c>
      <c r="Y233">
        <v>3</v>
      </c>
      <c r="Z233">
        <v>3</v>
      </c>
      <c r="AA233">
        <v>3</v>
      </c>
      <c r="AB233">
        <v>0</v>
      </c>
      <c r="AC233">
        <v>0</v>
      </c>
      <c r="AD233">
        <v>3</v>
      </c>
      <c r="AE233">
        <v>3</v>
      </c>
      <c r="AF233">
        <v>3</v>
      </c>
      <c r="AG233">
        <v>0</v>
      </c>
      <c r="AH233">
        <v>3</v>
      </c>
      <c r="AI233">
        <v>3</v>
      </c>
      <c r="AJ233">
        <v>3</v>
      </c>
      <c r="AK233">
        <v>0</v>
      </c>
      <c r="AL233">
        <v>0</v>
      </c>
      <c r="AM233">
        <v>3</v>
      </c>
      <c r="AN233">
        <v>0</v>
      </c>
      <c r="AP233">
        <v>3</v>
      </c>
      <c r="AQ233">
        <v>3</v>
      </c>
      <c r="AR233">
        <v>0</v>
      </c>
      <c r="AS233">
        <v>0</v>
      </c>
      <c r="AT233">
        <v>3</v>
      </c>
      <c r="AU233">
        <v>3</v>
      </c>
      <c r="AV233">
        <v>3</v>
      </c>
      <c r="AX233">
        <v>3</v>
      </c>
      <c r="AY233">
        <v>0</v>
      </c>
      <c r="AZ233">
        <v>3</v>
      </c>
      <c r="BA233">
        <v>3</v>
      </c>
      <c r="BB233">
        <v>3</v>
      </c>
      <c r="BC233">
        <v>3</v>
      </c>
      <c r="BD233">
        <v>3</v>
      </c>
      <c r="BE233">
        <v>3</v>
      </c>
      <c r="BH233">
        <v>3</v>
      </c>
      <c r="BI233">
        <v>3</v>
      </c>
      <c r="BJ233">
        <v>3</v>
      </c>
      <c r="BK233">
        <v>0</v>
      </c>
      <c r="BL233">
        <v>3</v>
      </c>
      <c r="BM233">
        <v>0</v>
      </c>
      <c r="BN233">
        <v>3</v>
      </c>
      <c r="BO233">
        <v>3</v>
      </c>
      <c r="BP233">
        <v>3</v>
      </c>
      <c r="BQ233">
        <v>3</v>
      </c>
      <c r="BR233">
        <v>3</v>
      </c>
      <c r="BS233">
        <v>3</v>
      </c>
      <c r="BT233">
        <v>3</v>
      </c>
      <c r="BU233">
        <v>0</v>
      </c>
      <c r="BV233">
        <v>3</v>
      </c>
      <c r="BW233">
        <v>3</v>
      </c>
      <c r="BX233">
        <v>3</v>
      </c>
      <c r="BY233">
        <v>0</v>
      </c>
      <c r="BZ233">
        <v>3</v>
      </c>
      <c r="CA233">
        <v>3</v>
      </c>
    </row>
    <row r="234" spans="1:79" x14ac:dyDescent="0.3">
      <c r="A234" s="155">
        <v>990</v>
      </c>
      <c r="B234" t="s">
        <v>575</v>
      </c>
      <c r="D234">
        <v>0</v>
      </c>
      <c r="E234">
        <v>0</v>
      </c>
      <c r="F234">
        <v>0</v>
      </c>
      <c r="G234">
        <v>0</v>
      </c>
      <c r="H234">
        <v>0</v>
      </c>
      <c r="I234">
        <v>0</v>
      </c>
      <c r="J234">
        <v>0</v>
      </c>
      <c r="K234">
        <v>0</v>
      </c>
      <c r="L234">
        <v>0</v>
      </c>
      <c r="M234">
        <v>0</v>
      </c>
      <c r="N234">
        <v>0</v>
      </c>
      <c r="P234">
        <v>0</v>
      </c>
      <c r="Q234">
        <v>0</v>
      </c>
      <c r="R234">
        <v>0</v>
      </c>
      <c r="S234">
        <v>0</v>
      </c>
      <c r="T234">
        <v>0</v>
      </c>
      <c r="U234">
        <v>422330</v>
      </c>
      <c r="V234">
        <v>0</v>
      </c>
      <c r="W234">
        <v>0</v>
      </c>
      <c r="X234">
        <v>0</v>
      </c>
      <c r="Y234">
        <v>0</v>
      </c>
      <c r="Z234">
        <v>0</v>
      </c>
      <c r="AA234">
        <v>0</v>
      </c>
      <c r="AB234">
        <v>0</v>
      </c>
      <c r="AC234">
        <v>0</v>
      </c>
      <c r="AD234">
        <v>0</v>
      </c>
      <c r="AE234">
        <v>0</v>
      </c>
      <c r="AF234">
        <v>0</v>
      </c>
      <c r="AG234">
        <v>0</v>
      </c>
      <c r="AH234">
        <v>0</v>
      </c>
      <c r="AI234">
        <v>0</v>
      </c>
      <c r="AJ234">
        <v>87015</v>
      </c>
      <c r="AK234">
        <v>0</v>
      </c>
      <c r="AL234">
        <v>0</v>
      </c>
      <c r="AM234">
        <v>0</v>
      </c>
      <c r="AN234">
        <v>0</v>
      </c>
      <c r="AP234">
        <v>0</v>
      </c>
      <c r="AQ234">
        <v>0</v>
      </c>
      <c r="AR234">
        <v>0</v>
      </c>
      <c r="AS234">
        <v>0</v>
      </c>
      <c r="AT234">
        <v>0</v>
      </c>
      <c r="AU234">
        <v>30465</v>
      </c>
      <c r="AV234">
        <v>0</v>
      </c>
      <c r="AX234">
        <v>0</v>
      </c>
      <c r="AY234">
        <v>0</v>
      </c>
      <c r="AZ234">
        <v>55444</v>
      </c>
      <c r="BA234">
        <v>0</v>
      </c>
      <c r="BB234">
        <v>0</v>
      </c>
      <c r="BC234">
        <v>0</v>
      </c>
      <c r="BD234">
        <v>0</v>
      </c>
      <c r="BE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row>
    <row r="235" spans="1:79" x14ac:dyDescent="0.3">
      <c r="A235" s="155">
        <v>991</v>
      </c>
      <c r="B235" t="s">
        <v>949</v>
      </c>
      <c r="D235">
        <v>23</v>
      </c>
      <c r="E235">
        <v>23</v>
      </c>
      <c r="F235">
        <v>22</v>
      </c>
      <c r="G235">
        <v>23</v>
      </c>
      <c r="H235">
        <v>23</v>
      </c>
      <c r="I235">
        <v>22</v>
      </c>
      <c r="J235">
        <v>22</v>
      </c>
      <c r="K235">
        <v>22</v>
      </c>
      <c r="L235">
        <v>23</v>
      </c>
      <c r="M235">
        <v>23</v>
      </c>
      <c r="N235">
        <v>23</v>
      </c>
      <c r="P235">
        <v>22</v>
      </c>
      <c r="Q235">
        <v>23</v>
      </c>
      <c r="R235">
        <v>23</v>
      </c>
      <c r="S235">
        <v>23</v>
      </c>
      <c r="T235">
        <v>23</v>
      </c>
      <c r="U235">
        <v>23</v>
      </c>
      <c r="V235">
        <v>23</v>
      </c>
      <c r="W235">
        <v>0</v>
      </c>
      <c r="X235">
        <v>23</v>
      </c>
      <c r="Y235">
        <v>22</v>
      </c>
      <c r="Z235">
        <v>23</v>
      </c>
      <c r="AA235">
        <v>20</v>
      </c>
      <c r="AB235">
        <v>0</v>
      </c>
      <c r="AC235">
        <v>20</v>
      </c>
      <c r="AD235">
        <v>22</v>
      </c>
      <c r="AE235">
        <v>23</v>
      </c>
      <c r="AF235">
        <v>23</v>
      </c>
      <c r="AG235">
        <v>20</v>
      </c>
      <c r="AH235">
        <v>23</v>
      </c>
      <c r="AI235">
        <v>20</v>
      </c>
      <c r="AJ235">
        <v>23</v>
      </c>
      <c r="AK235">
        <v>23</v>
      </c>
      <c r="AL235">
        <v>23</v>
      </c>
      <c r="AM235">
        <v>23</v>
      </c>
      <c r="AN235">
        <v>23</v>
      </c>
      <c r="AP235">
        <v>22</v>
      </c>
      <c r="AQ235">
        <v>23</v>
      </c>
      <c r="AR235">
        <v>23</v>
      </c>
      <c r="AS235">
        <v>0</v>
      </c>
      <c r="AT235">
        <v>23</v>
      </c>
      <c r="AU235">
        <v>20</v>
      </c>
      <c r="AV235">
        <v>23</v>
      </c>
      <c r="AX235">
        <v>23</v>
      </c>
      <c r="AY235">
        <v>20</v>
      </c>
      <c r="AZ235">
        <v>23</v>
      </c>
      <c r="BA235">
        <v>23</v>
      </c>
      <c r="BB235">
        <v>23</v>
      </c>
      <c r="BC235">
        <v>23</v>
      </c>
      <c r="BD235">
        <v>23</v>
      </c>
      <c r="BE235">
        <v>23</v>
      </c>
      <c r="BH235">
        <v>23</v>
      </c>
      <c r="BI235">
        <v>23</v>
      </c>
      <c r="BJ235">
        <v>23</v>
      </c>
      <c r="BK235">
        <v>20</v>
      </c>
      <c r="BL235">
        <v>23</v>
      </c>
      <c r="BM235">
        <v>0</v>
      </c>
      <c r="BN235">
        <v>20</v>
      </c>
      <c r="BO235">
        <v>23</v>
      </c>
      <c r="BP235">
        <v>23</v>
      </c>
      <c r="BQ235">
        <v>23</v>
      </c>
      <c r="BR235">
        <v>23</v>
      </c>
      <c r="BS235">
        <v>20</v>
      </c>
      <c r="BT235">
        <v>22</v>
      </c>
      <c r="BU235">
        <v>22</v>
      </c>
      <c r="BV235">
        <v>23</v>
      </c>
      <c r="BW235">
        <v>23</v>
      </c>
      <c r="BX235">
        <v>23</v>
      </c>
      <c r="BY235">
        <v>0</v>
      </c>
      <c r="BZ235">
        <v>20</v>
      </c>
      <c r="CA235">
        <v>23</v>
      </c>
    </row>
    <row r="236" spans="1:79" x14ac:dyDescent="0.3">
      <c r="A236" s="155">
        <v>995</v>
      </c>
      <c r="B236" t="s">
        <v>275</v>
      </c>
      <c r="D236">
        <v>0</v>
      </c>
      <c r="E236">
        <v>0</v>
      </c>
      <c r="F236">
        <v>0</v>
      </c>
      <c r="G236">
        <v>0</v>
      </c>
      <c r="H236">
        <v>0</v>
      </c>
      <c r="I236">
        <v>0</v>
      </c>
      <c r="J236">
        <v>0</v>
      </c>
      <c r="K236">
        <v>0</v>
      </c>
      <c r="L236">
        <v>0</v>
      </c>
      <c r="M236">
        <v>0</v>
      </c>
      <c r="N236">
        <v>0</v>
      </c>
      <c r="O236">
        <v>0</v>
      </c>
      <c r="P236">
        <v>0</v>
      </c>
      <c r="Q236">
        <v>0</v>
      </c>
      <c r="R236">
        <v>0</v>
      </c>
      <c r="S236">
        <v>0.09</v>
      </c>
      <c r="T236">
        <v>0</v>
      </c>
      <c r="U236">
        <v>0.08</v>
      </c>
      <c r="V236">
        <v>0</v>
      </c>
      <c r="W236">
        <v>0</v>
      </c>
      <c r="X236">
        <v>0</v>
      </c>
      <c r="Y236">
        <v>0</v>
      </c>
      <c r="Z236">
        <v>0.08</v>
      </c>
      <c r="AA236">
        <v>0</v>
      </c>
      <c r="AB236">
        <v>0</v>
      </c>
      <c r="AC236">
        <v>0</v>
      </c>
      <c r="AD236">
        <v>0</v>
      </c>
      <c r="AE236">
        <v>7.0000000000000007E-2</v>
      </c>
      <c r="AF236">
        <v>0</v>
      </c>
      <c r="AG236">
        <v>0</v>
      </c>
      <c r="AH236">
        <v>0</v>
      </c>
      <c r="AI236">
        <v>0</v>
      </c>
      <c r="AJ236">
        <v>0.08</v>
      </c>
      <c r="AK236">
        <v>0</v>
      </c>
      <c r="AL236">
        <v>0</v>
      </c>
      <c r="AM236">
        <v>0</v>
      </c>
      <c r="AN236">
        <v>0</v>
      </c>
      <c r="AO236">
        <v>0</v>
      </c>
      <c r="AP236">
        <v>0</v>
      </c>
      <c r="AQ236">
        <v>7.0000000000000007E-2</v>
      </c>
      <c r="AR236">
        <v>0</v>
      </c>
      <c r="AS236">
        <v>0</v>
      </c>
      <c r="AT236">
        <v>0</v>
      </c>
      <c r="AU236">
        <v>7.0000000000000007E-2</v>
      </c>
      <c r="AV236">
        <v>0</v>
      </c>
      <c r="AW236">
        <v>0</v>
      </c>
      <c r="AX236">
        <v>0</v>
      </c>
      <c r="AY236">
        <v>0</v>
      </c>
      <c r="AZ236">
        <v>0.08</v>
      </c>
      <c r="BA236">
        <v>0</v>
      </c>
      <c r="BB236">
        <v>0</v>
      </c>
      <c r="BC236">
        <v>0.09</v>
      </c>
      <c r="BD236">
        <v>0</v>
      </c>
      <c r="BE236">
        <v>0.08</v>
      </c>
      <c r="BF236">
        <v>0.09</v>
      </c>
      <c r="BG236">
        <v>0</v>
      </c>
      <c r="BH236">
        <v>0</v>
      </c>
      <c r="BI236">
        <v>0</v>
      </c>
      <c r="BJ236">
        <v>0</v>
      </c>
      <c r="BK236">
        <v>7.0000000000000007E-2</v>
      </c>
      <c r="BL236">
        <v>0</v>
      </c>
      <c r="BM236">
        <v>0</v>
      </c>
      <c r="BN236">
        <v>0</v>
      </c>
      <c r="BO236">
        <v>0</v>
      </c>
      <c r="BP236">
        <v>0</v>
      </c>
      <c r="BQ236">
        <v>0</v>
      </c>
      <c r="BR236">
        <v>0</v>
      </c>
      <c r="BS236">
        <v>0</v>
      </c>
      <c r="BT236">
        <v>0</v>
      </c>
      <c r="BU236">
        <v>0</v>
      </c>
      <c r="BV236">
        <v>0</v>
      </c>
      <c r="BW236">
        <v>0</v>
      </c>
      <c r="BX236">
        <v>0</v>
      </c>
      <c r="BY236">
        <v>0</v>
      </c>
      <c r="BZ236">
        <v>0</v>
      </c>
      <c r="CA236">
        <v>0</v>
      </c>
    </row>
    <row r="237" spans="1:79" x14ac:dyDescent="0.3">
      <c r="A237" s="155">
        <v>996</v>
      </c>
      <c r="B237" t="s">
        <v>276</v>
      </c>
      <c r="D237">
        <v>0</v>
      </c>
      <c r="E237">
        <v>0</v>
      </c>
      <c r="F237">
        <v>0.01</v>
      </c>
      <c r="G237">
        <v>0.01</v>
      </c>
      <c r="H237">
        <v>0.01</v>
      </c>
      <c r="I237">
        <v>0.01</v>
      </c>
      <c r="J237">
        <v>0.01</v>
      </c>
      <c r="K237">
        <v>0.01</v>
      </c>
      <c r="L237">
        <v>0.01</v>
      </c>
      <c r="M237">
        <v>0</v>
      </c>
      <c r="N237">
        <v>0.01</v>
      </c>
      <c r="O237">
        <v>0.01</v>
      </c>
      <c r="P237">
        <v>0</v>
      </c>
      <c r="Q237">
        <v>0.01</v>
      </c>
      <c r="R237">
        <v>0.01</v>
      </c>
      <c r="S237">
        <v>0.01</v>
      </c>
      <c r="T237">
        <v>0.01</v>
      </c>
      <c r="U237">
        <v>0.01</v>
      </c>
      <c r="V237">
        <v>0</v>
      </c>
      <c r="W237">
        <v>0</v>
      </c>
      <c r="X237">
        <v>0</v>
      </c>
      <c r="Y237">
        <v>0.01</v>
      </c>
      <c r="Z237">
        <v>0.01</v>
      </c>
      <c r="AA237">
        <v>0.01</v>
      </c>
      <c r="AB237">
        <v>0</v>
      </c>
      <c r="AC237">
        <v>0.01</v>
      </c>
      <c r="AD237">
        <v>0.01</v>
      </c>
      <c r="AE237">
        <v>0.01</v>
      </c>
      <c r="AF237">
        <v>0.01</v>
      </c>
      <c r="AG237">
        <v>0</v>
      </c>
      <c r="AH237">
        <v>0</v>
      </c>
      <c r="AI237">
        <v>0</v>
      </c>
      <c r="AJ237">
        <v>0.01</v>
      </c>
      <c r="AK237">
        <v>0.01</v>
      </c>
      <c r="AL237">
        <v>0</v>
      </c>
      <c r="AM237">
        <v>0</v>
      </c>
      <c r="AN237">
        <v>0.01</v>
      </c>
      <c r="AO237">
        <v>0.01</v>
      </c>
      <c r="AP237">
        <v>0</v>
      </c>
      <c r="AQ237">
        <v>0.01</v>
      </c>
      <c r="AR237">
        <v>0.01</v>
      </c>
      <c r="AS237">
        <v>0.01</v>
      </c>
      <c r="AT237">
        <v>0.01</v>
      </c>
      <c r="AU237">
        <v>0.01</v>
      </c>
      <c r="AV237">
        <v>0.01</v>
      </c>
      <c r="AW237">
        <v>0.01</v>
      </c>
      <c r="AX237">
        <v>0.01</v>
      </c>
      <c r="AY237">
        <v>0.01</v>
      </c>
      <c r="AZ237">
        <v>0.01</v>
      </c>
      <c r="BA237">
        <v>0.01</v>
      </c>
      <c r="BB237">
        <v>0.01</v>
      </c>
      <c r="BC237">
        <v>0.01</v>
      </c>
      <c r="BD237">
        <v>0</v>
      </c>
      <c r="BE237">
        <v>0.01</v>
      </c>
      <c r="BF237">
        <v>0.01</v>
      </c>
      <c r="BG237">
        <v>0</v>
      </c>
      <c r="BH237">
        <v>0.01</v>
      </c>
      <c r="BI237">
        <v>0.01</v>
      </c>
      <c r="BJ237">
        <v>0.01</v>
      </c>
      <c r="BK237">
        <v>0.01</v>
      </c>
      <c r="BL237">
        <v>0.01</v>
      </c>
      <c r="BM237">
        <v>0</v>
      </c>
      <c r="BN237">
        <v>0.01</v>
      </c>
      <c r="BO237">
        <v>0.01</v>
      </c>
      <c r="BP237">
        <v>0.01</v>
      </c>
      <c r="BQ237">
        <v>0.01</v>
      </c>
      <c r="BR237">
        <v>0</v>
      </c>
      <c r="BS237">
        <v>0</v>
      </c>
      <c r="BT237">
        <v>0.01</v>
      </c>
      <c r="BU237">
        <v>0.01</v>
      </c>
      <c r="BV237">
        <v>0.01</v>
      </c>
      <c r="BW237">
        <v>0.01</v>
      </c>
      <c r="BX237">
        <v>0</v>
      </c>
      <c r="BY237">
        <v>0</v>
      </c>
      <c r="BZ237">
        <v>0.01</v>
      </c>
      <c r="CA237">
        <v>0</v>
      </c>
    </row>
    <row r="238" spans="1:79" x14ac:dyDescent="0.3">
      <c r="A238" s="155">
        <v>998</v>
      </c>
      <c r="B238" t="s">
        <v>277</v>
      </c>
      <c r="D238">
        <v>50</v>
      </c>
      <c r="E238">
        <v>50</v>
      </c>
      <c r="F238">
        <v>50</v>
      </c>
      <c r="G238">
        <v>50</v>
      </c>
      <c r="H238">
        <v>50</v>
      </c>
      <c r="I238">
        <v>50</v>
      </c>
      <c r="J238">
        <v>50</v>
      </c>
      <c r="K238">
        <v>50</v>
      </c>
      <c r="L238">
        <v>50</v>
      </c>
      <c r="M238">
        <v>50</v>
      </c>
      <c r="N238">
        <v>50</v>
      </c>
      <c r="O238">
        <v>50</v>
      </c>
      <c r="P238">
        <v>50</v>
      </c>
      <c r="Q238">
        <v>50</v>
      </c>
      <c r="R238">
        <v>50</v>
      </c>
      <c r="S238">
        <v>50</v>
      </c>
      <c r="T238">
        <v>50</v>
      </c>
      <c r="U238">
        <v>50</v>
      </c>
      <c r="V238">
        <v>50</v>
      </c>
      <c r="W238">
        <v>50</v>
      </c>
      <c r="X238">
        <v>50</v>
      </c>
      <c r="Y238">
        <v>50</v>
      </c>
      <c r="Z238">
        <v>50</v>
      </c>
      <c r="AA238">
        <v>50</v>
      </c>
      <c r="AB238">
        <v>50</v>
      </c>
      <c r="AC238">
        <v>50</v>
      </c>
      <c r="AD238">
        <v>50</v>
      </c>
      <c r="AE238">
        <v>50</v>
      </c>
      <c r="AF238">
        <v>50</v>
      </c>
      <c r="AG238">
        <v>50</v>
      </c>
      <c r="AH238">
        <v>50</v>
      </c>
      <c r="AI238">
        <v>50</v>
      </c>
      <c r="AJ238">
        <v>50</v>
      </c>
      <c r="AK238">
        <v>50</v>
      </c>
      <c r="AL238">
        <v>50</v>
      </c>
      <c r="AM238">
        <v>50</v>
      </c>
      <c r="AN238">
        <v>50</v>
      </c>
      <c r="AO238">
        <v>50</v>
      </c>
      <c r="AP238">
        <v>50</v>
      </c>
      <c r="AQ238">
        <v>50</v>
      </c>
      <c r="AR238">
        <v>50</v>
      </c>
      <c r="AS238">
        <v>50</v>
      </c>
      <c r="AT238">
        <v>50</v>
      </c>
      <c r="AU238">
        <v>50</v>
      </c>
      <c r="AV238">
        <v>50</v>
      </c>
      <c r="AW238">
        <v>50</v>
      </c>
      <c r="AX238">
        <v>50</v>
      </c>
      <c r="AY238">
        <v>50</v>
      </c>
      <c r="AZ238">
        <v>50</v>
      </c>
      <c r="BA238">
        <v>50</v>
      </c>
      <c r="BB238">
        <v>50</v>
      </c>
      <c r="BC238">
        <v>50</v>
      </c>
      <c r="BD238">
        <v>50</v>
      </c>
      <c r="BE238">
        <v>50</v>
      </c>
      <c r="BF238">
        <v>50</v>
      </c>
      <c r="BG238">
        <v>50</v>
      </c>
      <c r="BH238">
        <v>50</v>
      </c>
      <c r="BI238">
        <v>50</v>
      </c>
      <c r="BJ238">
        <v>50</v>
      </c>
      <c r="BK238">
        <v>50</v>
      </c>
      <c r="BL238">
        <v>50</v>
      </c>
      <c r="BM238">
        <v>50</v>
      </c>
      <c r="BN238">
        <v>50</v>
      </c>
      <c r="BO238">
        <v>50</v>
      </c>
      <c r="BP238">
        <v>50</v>
      </c>
      <c r="BQ238">
        <v>50</v>
      </c>
      <c r="BR238">
        <v>50</v>
      </c>
      <c r="BS238">
        <v>50</v>
      </c>
      <c r="BT238">
        <v>50</v>
      </c>
      <c r="BU238">
        <v>50</v>
      </c>
      <c r="BV238">
        <v>50</v>
      </c>
      <c r="BW238">
        <v>50</v>
      </c>
      <c r="BX238">
        <v>50</v>
      </c>
      <c r="BY238">
        <v>50</v>
      </c>
      <c r="BZ238">
        <v>50</v>
      </c>
      <c r="CA238">
        <v>50</v>
      </c>
    </row>
    <row r="239" spans="1:79" x14ac:dyDescent="0.3">
      <c r="A239" s="155">
        <v>999</v>
      </c>
      <c r="B239" t="s">
        <v>278</v>
      </c>
      <c r="D239">
        <v>50476</v>
      </c>
      <c r="E239">
        <v>50191</v>
      </c>
      <c r="F239">
        <v>50192</v>
      </c>
      <c r="G239">
        <v>50193</v>
      </c>
      <c r="H239">
        <v>50194</v>
      </c>
      <c r="I239">
        <v>50195</v>
      </c>
      <c r="J239">
        <v>50196</v>
      </c>
      <c r="K239">
        <v>50197</v>
      </c>
      <c r="L239">
        <v>50498</v>
      </c>
      <c r="M239">
        <v>50198</v>
      </c>
      <c r="N239">
        <v>50199</v>
      </c>
      <c r="O239">
        <v>50200</v>
      </c>
      <c r="P239">
        <v>50201</v>
      </c>
      <c r="Q239">
        <v>50202</v>
      </c>
      <c r="R239">
        <v>50493</v>
      </c>
      <c r="S239">
        <v>50203</v>
      </c>
      <c r="T239">
        <v>50518</v>
      </c>
      <c r="U239">
        <v>50204</v>
      </c>
      <c r="V239">
        <v>50205</v>
      </c>
      <c r="W239">
        <v>50206</v>
      </c>
      <c r="X239">
        <v>50207</v>
      </c>
      <c r="Y239">
        <v>50208</v>
      </c>
      <c r="Z239">
        <v>50209</v>
      </c>
      <c r="AA239">
        <v>50210</v>
      </c>
      <c r="AB239">
        <v>50519</v>
      </c>
      <c r="AC239">
        <v>50528</v>
      </c>
      <c r="AD239">
        <v>50211</v>
      </c>
      <c r="AE239">
        <v>50212</v>
      </c>
      <c r="AF239">
        <v>50213</v>
      </c>
      <c r="AG239">
        <v>50214</v>
      </c>
      <c r="AH239">
        <v>50215</v>
      </c>
      <c r="AI239">
        <v>50216</v>
      </c>
      <c r="AJ239">
        <v>50217</v>
      </c>
      <c r="AK239">
        <v>50218</v>
      </c>
      <c r="AL239">
        <v>50477</v>
      </c>
      <c r="AM239">
        <v>50520</v>
      </c>
      <c r="AN239">
        <v>50219</v>
      </c>
      <c r="AO239">
        <v>50220</v>
      </c>
      <c r="AP239">
        <v>50536</v>
      </c>
      <c r="AQ239">
        <v>50221</v>
      </c>
      <c r="AR239">
        <v>50222</v>
      </c>
      <c r="AS239">
        <v>50223</v>
      </c>
      <c r="AT239">
        <v>50224</v>
      </c>
      <c r="AU239">
        <v>50225</v>
      </c>
      <c r="AV239">
        <v>50226</v>
      </c>
      <c r="AW239">
        <v>50227</v>
      </c>
      <c r="AX239">
        <v>50455</v>
      </c>
      <c r="AY239">
        <v>50229</v>
      </c>
      <c r="AZ239">
        <v>50230</v>
      </c>
      <c r="BA239">
        <v>50231</v>
      </c>
      <c r="BB239">
        <v>50232</v>
      </c>
      <c r="BC239">
        <v>50233</v>
      </c>
      <c r="BD239">
        <v>50234</v>
      </c>
      <c r="BE239">
        <v>50235</v>
      </c>
      <c r="BF239">
        <v>50236</v>
      </c>
      <c r="BG239">
        <v>50237</v>
      </c>
      <c r="BH239">
        <v>50238</v>
      </c>
      <c r="BI239">
        <v>50444</v>
      </c>
      <c r="BJ239">
        <v>50239</v>
      </c>
      <c r="BK239">
        <v>50240</v>
      </c>
      <c r="BL239">
        <v>50241</v>
      </c>
      <c r="BM239">
        <v>50521</v>
      </c>
      <c r="BN239">
        <v>50242</v>
      </c>
      <c r="BO239">
        <v>50244</v>
      </c>
      <c r="BP239">
        <v>50243</v>
      </c>
      <c r="BQ239">
        <v>50245</v>
      </c>
      <c r="BR239">
        <v>50522</v>
      </c>
      <c r="BS239">
        <v>50246</v>
      </c>
      <c r="BT239">
        <v>50247</v>
      </c>
      <c r="BU239">
        <v>50248</v>
      </c>
      <c r="BV239">
        <v>50249</v>
      </c>
      <c r="BW239">
        <v>50250</v>
      </c>
      <c r="BX239">
        <v>50251</v>
      </c>
      <c r="BY239">
        <v>50252</v>
      </c>
      <c r="BZ239">
        <v>50253</v>
      </c>
      <c r="CA239">
        <v>50454</v>
      </c>
    </row>
    <row r="240" spans="1:79" x14ac:dyDescent="0.3">
      <c r="A240" s="155">
        <v>1050</v>
      </c>
      <c r="B240" t="s">
        <v>1431</v>
      </c>
      <c r="D240">
        <v>0</v>
      </c>
      <c r="E240">
        <v>1407142</v>
      </c>
      <c r="F240">
        <v>5180</v>
      </c>
      <c r="G240">
        <v>632807</v>
      </c>
      <c r="H240">
        <v>0</v>
      </c>
      <c r="I240">
        <v>15893</v>
      </c>
      <c r="J240">
        <v>74498</v>
      </c>
      <c r="K240">
        <v>39473</v>
      </c>
      <c r="L240">
        <v>1463648</v>
      </c>
      <c r="M240">
        <v>0</v>
      </c>
      <c r="N240">
        <v>176720</v>
      </c>
      <c r="P240">
        <v>748773</v>
      </c>
      <c r="Q240">
        <v>235026</v>
      </c>
      <c r="R240">
        <v>200610</v>
      </c>
      <c r="S240">
        <v>300961</v>
      </c>
      <c r="T240">
        <v>5924</v>
      </c>
      <c r="U240">
        <v>632068</v>
      </c>
      <c r="V240">
        <v>14873</v>
      </c>
      <c r="W240">
        <v>127997</v>
      </c>
      <c r="X240">
        <v>375698</v>
      </c>
      <c r="Y240">
        <v>0</v>
      </c>
      <c r="Z240">
        <v>91529</v>
      </c>
      <c r="AA240">
        <v>112500</v>
      </c>
      <c r="AB240">
        <v>0</v>
      </c>
      <c r="AC240">
        <v>10350</v>
      </c>
      <c r="AD240">
        <v>0</v>
      </c>
      <c r="AE240">
        <v>403</v>
      </c>
      <c r="AF240">
        <v>5259</v>
      </c>
      <c r="AG240">
        <v>0</v>
      </c>
      <c r="AH240">
        <v>15581</v>
      </c>
      <c r="AI240">
        <v>105897</v>
      </c>
      <c r="AJ240">
        <v>376768</v>
      </c>
      <c r="AK240">
        <v>3517</v>
      </c>
      <c r="AL240">
        <v>0</v>
      </c>
      <c r="AM240">
        <v>2672029</v>
      </c>
      <c r="AN240">
        <v>616203</v>
      </c>
      <c r="AP240">
        <v>389704</v>
      </c>
      <c r="AQ240">
        <v>952928</v>
      </c>
      <c r="AR240">
        <v>0</v>
      </c>
      <c r="AS240">
        <v>19117</v>
      </c>
      <c r="AT240">
        <v>76363</v>
      </c>
      <c r="AU240">
        <v>271986</v>
      </c>
      <c r="AV240">
        <v>2255</v>
      </c>
      <c r="AX240">
        <v>207446</v>
      </c>
      <c r="AY240">
        <v>90977</v>
      </c>
      <c r="AZ240">
        <v>63844</v>
      </c>
      <c r="BA240">
        <v>0</v>
      </c>
      <c r="BB240">
        <v>0</v>
      </c>
      <c r="BC240">
        <v>62905</v>
      </c>
      <c r="BD240">
        <v>4079</v>
      </c>
      <c r="BE240">
        <v>0</v>
      </c>
      <c r="BH240">
        <v>125479</v>
      </c>
      <c r="BI240">
        <v>53181</v>
      </c>
      <c r="BJ240">
        <v>71973</v>
      </c>
      <c r="BK240">
        <v>20278</v>
      </c>
      <c r="BL240">
        <v>0</v>
      </c>
      <c r="BM240">
        <v>0</v>
      </c>
      <c r="BN240">
        <v>62314</v>
      </c>
      <c r="BO240">
        <v>52662</v>
      </c>
      <c r="BP240">
        <v>7498</v>
      </c>
      <c r="BQ240">
        <v>0</v>
      </c>
      <c r="BR240">
        <v>92450</v>
      </c>
      <c r="BS240">
        <v>788486</v>
      </c>
      <c r="BT240">
        <v>42405</v>
      </c>
      <c r="BU240">
        <v>0</v>
      </c>
      <c r="BV240">
        <v>75192</v>
      </c>
      <c r="BW240">
        <v>0</v>
      </c>
      <c r="BX240">
        <v>0</v>
      </c>
      <c r="BY240">
        <v>300</v>
      </c>
      <c r="BZ240">
        <v>0</v>
      </c>
      <c r="CA240">
        <v>2400</v>
      </c>
    </row>
    <row r="241" spans="1:79" x14ac:dyDescent="0.3">
      <c r="A241" s="155">
        <v>1051</v>
      </c>
      <c r="B241" t="s">
        <v>1631</v>
      </c>
      <c r="D241">
        <v>0</v>
      </c>
      <c r="E241">
        <v>0</v>
      </c>
      <c r="F241">
        <v>0</v>
      </c>
      <c r="G241">
        <v>0</v>
      </c>
      <c r="H241">
        <v>0</v>
      </c>
      <c r="I241">
        <v>0</v>
      </c>
      <c r="J241">
        <v>0</v>
      </c>
      <c r="K241">
        <v>0</v>
      </c>
      <c r="L241">
        <v>0</v>
      </c>
      <c r="M241">
        <v>0</v>
      </c>
      <c r="N241">
        <v>0</v>
      </c>
      <c r="P241">
        <v>0</v>
      </c>
      <c r="Q241">
        <v>0</v>
      </c>
      <c r="R241">
        <v>0</v>
      </c>
      <c r="S241">
        <v>0</v>
      </c>
      <c r="T241">
        <v>0</v>
      </c>
      <c r="U241">
        <v>3194573</v>
      </c>
      <c r="V241">
        <v>0</v>
      </c>
      <c r="W241">
        <v>0</v>
      </c>
      <c r="X241">
        <v>0</v>
      </c>
      <c r="Y241">
        <v>0</v>
      </c>
      <c r="Z241">
        <v>0</v>
      </c>
      <c r="AA241">
        <v>0</v>
      </c>
      <c r="AB241">
        <v>0</v>
      </c>
      <c r="AC241">
        <v>0</v>
      </c>
      <c r="AD241">
        <v>0</v>
      </c>
      <c r="AE241">
        <v>650</v>
      </c>
      <c r="AF241">
        <v>0</v>
      </c>
      <c r="AG241">
        <v>0</v>
      </c>
      <c r="AH241">
        <v>0</v>
      </c>
      <c r="AI241">
        <v>0</v>
      </c>
      <c r="AJ241">
        <v>0</v>
      </c>
      <c r="AK241">
        <v>0</v>
      </c>
      <c r="AL241">
        <v>0</v>
      </c>
      <c r="AM241">
        <v>0</v>
      </c>
      <c r="AN241">
        <v>0</v>
      </c>
      <c r="AP241">
        <v>0</v>
      </c>
      <c r="AQ241">
        <v>0</v>
      </c>
      <c r="AR241">
        <v>0</v>
      </c>
      <c r="AS241">
        <v>0</v>
      </c>
      <c r="AT241">
        <v>0</v>
      </c>
      <c r="AU241">
        <v>0</v>
      </c>
      <c r="AV241">
        <v>0</v>
      </c>
      <c r="AX241">
        <v>0</v>
      </c>
      <c r="AY241">
        <v>0</v>
      </c>
      <c r="AZ241">
        <v>0</v>
      </c>
      <c r="BA241">
        <v>0</v>
      </c>
      <c r="BB241">
        <v>0</v>
      </c>
      <c r="BC241">
        <v>0</v>
      </c>
      <c r="BD241">
        <v>0</v>
      </c>
      <c r="BE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row>
    <row r="242" spans="1:79" x14ac:dyDescent="0.3">
      <c r="A242" s="155">
        <v>1052</v>
      </c>
      <c r="B242" t="s">
        <v>1632</v>
      </c>
      <c r="D242">
        <v>0</v>
      </c>
      <c r="E242">
        <v>0</v>
      </c>
      <c r="F242">
        <v>0</v>
      </c>
      <c r="G242">
        <v>-183879</v>
      </c>
      <c r="H242">
        <v>0</v>
      </c>
      <c r="I242">
        <v>0</v>
      </c>
      <c r="J242">
        <v>0</v>
      </c>
      <c r="K242">
        <v>0</v>
      </c>
      <c r="L242">
        <v>0</v>
      </c>
      <c r="M242">
        <v>0</v>
      </c>
      <c r="N242">
        <v>0</v>
      </c>
      <c r="P242">
        <v>0</v>
      </c>
      <c r="Q242">
        <v>-878506</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P242">
        <v>0</v>
      </c>
      <c r="AQ242">
        <v>0</v>
      </c>
      <c r="AR242">
        <v>0</v>
      </c>
      <c r="AS242">
        <v>0</v>
      </c>
      <c r="AT242">
        <v>0</v>
      </c>
      <c r="AU242">
        <v>0</v>
      </c>
      <c r="AV242">
        <v>0</v>
      </c>
      <c r="AX242">
        <v>0</v>
      </c>
      <c r="AY242">
        <v>0</v>
      </c>
      <c r="AZ242">
        <v>0</v>
      </c>
      <c r="BA242">
        <v>0</v>
      </c>
      <c r="BB242">
        <v>0</v>
      </c>
      <c r="BC242">
        <v>0</v>
      </c>
      <c r="BD242">
        <v>0</v>
      </c>
      <c r="BE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row>
    <row r="243" spans="1:79" x14ac:dyDescent="0.3">
      <c r="A243" s="155">
        <v>1053</v>
      </c>
      <c r="B243" t="s">
        <v>1633</v>
      </c>
      <c r="D243">
        <v>0</v>
      </c>
      <c r="E243">
        <v>0</v>
      </c>
      <c r="F243">
        <v>0</v>
      </c>
      <c r="G243">
        <v>-9393</v>
      </c>
      <c r="H243">
        <v>0</v>
      </c>
      <c r="I243">
        <v>0</v>
      </c>
      <c r="J243">
        <v>0</v>
      </c>
      <c r="K243">
        <v>0</v>
      </c>
      <c r="L243">
        <v>0</v>
      </c>
      <c r="M243">
        <v>0</v>
      </c>
      <c r="N243">
        <v>0</v>
      </c>
      <c r="P243">
        <v>0</v>
      </c>
      <c r="Q243">
        <v>-325073</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P243">
        <v>0</v>
      </c>
      <c r="AQ243">
        <v>0</v>
      </c>
      <c r="AR243">
        <v>0</v>
      </c>
      <c r="AS243">
        <v>0</v>
      </c>
      <c r="AT243">
        <v>0</v>
      </c>
      <c r="AU243">
        <v>0</v>
      </c>
      <c r="AV243">
        <v>0</v>
      </c>
      <c r="AX243">
        <v>0</v>
      </c>
      <c r="AY243">
        <v>0</v>
      </c>
      <c r="AZ243">
        <v>0</v>
      </c>
      <c r="BA243">
        <v>0</v>
      </c>
      <c r="BB243">
        <v>0</v>
      </c>
      <c r="BC243">
        <v>0</v>
      </c>
      <c r="BD243">
        <v>0</v>
      </c>
      <c r="BE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row>
    <row r="244" spans="1:79" x14ac:dyDescent="0.3">
      <c r="A244" s="155">
        <v>1054</v>
      </c>
      <c r="B244" t="s">
        <v>1634</v>
      </c>
      <c r="D244">
        <v>0</v>
      </c>
      <c r="E244">
        <v>0</v>
      </c>
      <c r="F244">
        <v>0</v>
      </c>
      <c r="G244">
        <v>0</v>
      </c>
      <c r="H244">
        <v>0</v>
      </c>
      <c r="I244">
        <v>0</v>
      </c>
      <c r="J244">
        <v>0</v>
      </c>
      <c r="K244">
        <v>0</v>
      </c>
      <c r="L244">
        <v>0</v>
      </c>
      <c r="M244">
        <v>0</v>
      </c>
      <c r="N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P244">
        <v>0</v>
      </c>
      <c r="AQ244">
        <v>0</v>
      </c>
      <c r="AR244">
        <v>0</v>
      </c>
      <c r="AS244">
        <v>0</v>
      </c>
      <c r="AT244">
        <v>0</v>
      </c>
      <c r="AU244">
        <v>0</v>
      </c>
      <c r="AV244">
        <v>0</v>
      </c>
      <c r="AX244">
        <v>0</v>
      </c>
      <c r="AY244">
        <v>0</v>
      </c>
      <c r="AZ244">
        <v>0</v>
      </c>
      <c r="BA244">
        <v>0</v>
      </c>
      <c r="BB244">
        <v>0</v>
      </c>
      <c r="BC244">
        <v>0</v>
      </c>
      <c r="BD244">
        <v>0</v>
      </c>
      <c r="BE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row>
    <row r="245" spans="1:79" x14ac:dyDescent="0.3">
      <c r="A245" s="155">
        <v>1055</v>
      </c>
      <c r="B245" t="s">
        <v>1635</v>
      </c>
      <c r="D245">
        <v>2</v>
      </c>
      <c r="E245">
        <v>2</v>
      </c>
      <c r="F245">
        <v>2</v>
      </c>
      <c r="G245">
        <v>2</v>
      </c>
      <c r="H245">
        <v>2</v>
      </c>
      <c r="I245">
        <v>2</v>
      </c>
      <c r="J245">
        <v>2</v>
      </c>
      <c r="K245">
        <v>2</v>
      </c>
      <c r="L245">
        <v>2</v>
      </c>
      <c r="M245">
        <v>2</v>
      </c>
      <c r="N245">
        <v>2</v>
      </c>
      <c r="P245">
        <v>2</v>
      </c>
      <c r="Q245">
        <v>2</v>
      </c>
      <c r="R245">
        <v>2</v>
      </c>
      <c r="S245">
        <v>2</v>
      </c>
      <c r="T245">
        <v>2</v>
      </c>
      <c r="U245">
        <v>2</v>
      </c>
      <c r="V245">
        <v>2</v>
      </c>
      <c r="W245">
        <v>2</v>
      </c>
      <c r="X245">
        <v>2</v>
      </c>
      <c r="Y245">
        <v>2</v>
      </c>
      <c r="Z245">
        <v>2</v>
      </c>
      <c r="AA245">
        <v>1</v>
      </c>
      <c r="AB245">
        <v>2</v>
      </c>
      <c r="AC245">
        <v>2</v>
      </c>
      <c r="AD245">
        <v>1</v>
      </c>
      <c r="AE245">
        <v>2</v>
      </c>
      <c r="AF245">
        <v>2</v>
      </c>
      <c r="AG245">
        <v>2</v>
      </c>
      <c r="AH245">
        <v>2</v>
      </c>
      <c r="AI245">
        <v>2</v>
      </c>
      <c r="AJ245">
        <v>2</v>
      </c>
      <c r="AK245">
        <v>2</v>
      </c>
      <c r="AL245">
        <v>2</v>
      </c>
      <c r="AM245">
        <v>2</v>
      </c>
      <c r="AN245">
        <v>2</v>
      </c>
      <c r="AP245">
        <v>2</v>
      </c>
      <c r="AQ245">
        <v>2</v>
      </c>
      <c r="AR245">
        <v>2</v>
      </c>
      <c r="AS245">
        <v>1</v>
      </c>
      <c r="AT245">
        <v>2</v>
      </c>
      <c r="AU245">
        <v>2</v>
      </c>
      <c r="AV245">
        <v>1</v>
      </c>
      <c r="AX245">
        <v>2</v>
      </c>
      <c r="AY245">
        <v>2</v>
      </c>
      <c r="AZ245">
        <v>2</v>
      </c>
      <c r="BA245">
        <v>2</v>
      </c>
      <c r="BB245">
        <v>2</v>
      </c>
      <c r="BC245">
        <v>1</v>
      </c>
      <c r="BD245">
        <v>2</v>
      </c>
      <c r="BE245">
        <v>2</v>
      </c>
      <c r="BH245">
        <v>2</v>
      </c>
      <c r="BI245">
        <v>2</v>
      </c>
      <c r="BJ245">
        <v>2</v>
      </c>
      <c r="BK245">
        <v>2</v>
      </c>
      <c r="BL245">
        <v>2</v>
      </c>
      <c r="BM245">
        <v>2</v>
      </c>
      <c r="BN245">
        <v>2</v>
      </c>
      <c r="BO245">
        <v>2</v>
      </c>
      <c r="BP245">
        <v>2</v>
      </c>
      <c r="BQ245">
        <v>2</v>
      </c>
      <c r="BR245">
        <v>2</v>
      </c>
      <c r="BS245">
        <v>2</v>
      </c>
      <c r="BT245">
        <v>2</v>
      </c>
      <c r="BU245">
        <v>2</v>
      </c>
      <c r="BV245">
        <v>2</v>
      </c>
      <c r="BW245">
        <v>2</v>
      </c>
      <c r="BX245">
        <v>2</v>
      </c>
      <c r="BY245">
        <v>2</v>
      </c>
      <c r="BZ245">
        <v>2</v>
      </c>
      <c r="CA245">
        <v>2</v>
      </c>
    </row>
    <row r="246" spans="1:79" x14ac:dyDescent="0.3">
      <c r="A246" s="155">
        <v>1056</v>
      </c>
      <c r="B246" t="s">
        <v>1636</v>
      </c>
      <c r="D246">
        <v>2</v>
      </c>
      <c r="E246">
        <v>2</v>
      </c>
      <c r="F246">
        <v>1</v>
      </c>
      <c r="G246">
        <v>2</v>
      </c>
      <c r="H246">
        <v>2</v>
      </c>
      <c r="I246">
        <v>2</v>
      </c>
      <c r="J246">
        <v>2</v>
      </c>
      <c r="K246">
        <v>2</v>
      </c>
      <c r="L246">
        <v>1</v>
      </c>
      <c r="M246">
        <v>1</v>
      </c>
      <c r="N246">
        <v>2</v>
      </c>
      <c r="P246">
        <v>2</v>
      </c>
      <c r="Q246">
        <v>2</v>
      </c>
      <c r="R246">
        <v>2</v>
      </c>
      <c r="S246">
        <v>2</v>
      </c>
      <c r="T246">
        <v>2</v>
      </c>
      <c r="U246">
        <v>2</v>
      </c>
      <c r="V246">
        <v>2</v>
      </c>
      <c r="W246">
        <v>2</v>
      </c>
      <c r="X246">
        <v>2</v>
      </c>
      <c r="Y246">
        <v>2</v>
      </c>
      <c r="Z246">
        <v>2</v>
      </c>
      <c r="AA246">
        <v>1</v>
      </c>
      <c r="AB246">
        <v>2</v>
      </c>
      <c r="AC246">
        <v>2</v>
      </c>
      <c r="AD246">
        <v>2</v>
      </c>
      <c r="AE246">
        <v>2</v>
      </c>
      <c r="AF246">
        <v>2</v>
      </c>
      <c r="AG246">
        <v>2</v>
      </c>
      <c r="AH246">
        <v>2</v>
      </c>
      <c r="AI246">
        <v>2</v>
      </c>
      <c r="AJ246">
        <v>2</v>
      </c>
      <c r="AK246">
        <v>2</v>
      </c>
      <c r="AL246">
        <v>2</v>
      </c>
      <c r="AM246">
        <v>2</v>
      </c>
      <c r="AN246">
        <v>2</v>
      </c>
      <c r="AP246">
        <v>2</v>
      </c>
      <c r="AQ246">
        <v>2</v>
      </c>
      <c r="AR246">
        <v>2</v>
      </c>
      <c r="AS246">
        <v>2</v>
      </c>
      <c r="AT246">
        <v>2</v>
      </c>
      <c r="AU246">
        <v>2</v>
      </c>
      <c r="AV246">
        <v>1</v>
      </c>
      <c r="AX246">
        <v>2</v>
      </c>
      <c r="AY246">
        <v>2</v>
      </c>
      <c r="AZ246">
        <v>1</v>
      </c>
      <c r="BA246">
        <v>2</v>
      </c>
      <c r="BB246">
        <v>2</v>
      </c>
      <c r="BC246">
        <v>2</v>
      </c>
      <c r="BD246">
        <v>2</v>
      </c>
      <c r="BE246">
        <v>2</v>
      </c>
      <c r="BH246">
        <v>2</v>
      </c>
      <c r="BI246">
        <v>2</v>
      </c>
      <c r="BJ246">
        <v>2</v>
      </c>
      <c r="BK246">
        <v>2</v>
      </c>
      <c r="BL246">
        <v>2</v>
      </c>
      <c r="BM246">
        <v>2</v>
      </c>
      <c r="BN246">
        <v>2</v>
      </c>
      <c r="BO246">
        <v>2</v>
      </c>
      <c r="BP246">
        <v>2</v>
      </c>
      <c r="BQ246">
        <v>2</v>
      </c>
      <c r="BR246">
        <v>2</v>
      </c>
      <c r="BS246">
        <v>2</v>
      </c>
      <c r="BT246">
        <v>2</v>
      </c>
      <c r="BU246">
        <v>2</v>
      </c>
      <c r="BV246">
        <v>2</v>
      </c>
      <c r="BW246">
        <v>2</v>
      </c>
      <c r="BX246">
        <v>2</v>
      </c>
      <c r="BY246">
        <v>2</v>
      </c>
      <c r="BZ246">
        <v>2</v>
      </c>
      <c r="CA246">
        <v>2</v>
      </c>
    </row>
    <row r="247" spans="1:79" x14ac:dyDescent="0.3">
      <c r="A247" s="155">
        <v>1057</v>
      </c>
      <c r="B247" t="s">
        <v>1438</v>
      </c>
      <c r="D247">
        <v>2</v>
      </c>
      <c r="E247">
        <v>1</v>
      </c>
      <c r="F247">
        <v>2</v>
      </c>
      <c r="G247">
        <v>2</v>
      </c>
      <c r="H247">
        <v>2</v>
      </c>
      <c r="I247">
        <v>2</v>
      </c>
      <c r="J247">
        <v>2</v>
      </c>
      <c r="K247">
        <v>2</v>
      </c>
      <c r="L247">
        <v>2</v>
      </c>
      <c r="M247">
        <v>2</v>
      </c>
      <c r="N247">
        <v>2</v>
      </c>
      <c r="P247">
        <v>2</v>
      </c>
      <c r="Q247">
        <v>2</v>
      </c>
      <c r="R247">
        <v>2</v>
      </c>
      <c r="S247">
        <v>2</v>
      </c>
      <c r="T247">
        <v>2</v>
      </c>
      <c r="U247">
        <v>2</v>
      </c>
      <c r="V247">
        <v>2</v>
      </c>
      <c r="W247">
        <v>2</v>
      </c>
      <c r="X247">
        <v>2</v>
      </c>
      <c r="Y247">
        <v>2</v>
      </c>
      <c r="Z247">
        <v>2</v>
      </c>
      <c r="AA247">
        <v>2</v>
      </c>
      <c r="AB247">
        <v>2</v>
      </c>
      <c r="AC247">
        <v>2</v>
      </c>
      <c r="AD247">
        <v>1</v>
      </c>
      <c r="AE247">
        <v>2</v>
      </c>
      <c r="AF247">
        <v>1</v>
      </c>
      <c r="AG247">
        <v>2</v>
      </c>
      <c r="AH247">
        <v>1</v>
      </c>
      <c r="AI247">
        <v>2</v>
      </c>
      <c r="AJ247">
        <v>1</v>
      </c>
      <c r="AK247">
        <v>1</v>
      </c>
      <c r="AL247">
        <v>2</v>
      </c>
      <c r="AM247">
        <v>1</v>
      </c>
      <c r="AN247">
        <v>2</v>
      </c>
      <c r="AP247">
        <v>2</v>
      </c>
      <c r="AQ247">
        <v>2</v>
      </c>
      <c r="AR247">
        <v>2</v>
      </c>
      <c r="AS247">
        <v>1</v>
      </c>
      <c r="AT247">
        <v>2</v>
      </c>
      <c r="AU247">
        <v>1</v>
      </c>
      <c r="AV247">
        <v>1</v>
      </c>
      <c r="AX247">
        <v>2</v>
      </c>
      <c r="AY247">
        <v>2</v>
      </c>
      <c r="AZ247">
        <v>2</v>
      </c>
      <c r="BA247">
        <v>2</v>
      </c>
      <c r="BB247">
        <v>2</v>
      </c>
      <c r="BC247">
        <v>1</v>
      </c>
      <c r="BD247">
        <v>2</v>
      </c>
      <c r="BE247">
        <v>2</v>
      </c>
      <c r="BH247">
        <v>1</v>
      </c>
      <c r="BI247">
        <v>2</v>
      </c>
      <c r="BJ247">
        <v>2</v>
      </c>
      <c r="BK247">
        <v>1</v>
      </c>
      <c r="BL247">
        <v>2</v>
      </c>
      <c r="BM247">
        <v>2</v>
      </c>
      <c r="BN247">
        <v>2</v>
      </c>
      <c r="BO247">
        <v>2</v>
      </c>
      <c r="BP247">
        <v>2</v>
      </c>
      <c r="BQ247">
        <v>2</v>
      </c>
      <c r="BR247">
        <v>2</v>
      </c>
      <c r="BS247">
        <v>2</v>
      </c>
      <c r="BT247">
        <v>2</v>
      </c>
      <c r="BU247">
        <v>2</v>
      </c>
      <c r="BV247">
        <v>2</v>
      </c>
      <c r="BW247">
        <v>2</v>
      </c>
      <c r="BX247">
        <v>2</v>
      </c>
      <c r="BY247">
        <v>2</v>
      </c>
      <c r="BZ247">
        <v>2</v>
      </c>
      <c r="CA247">
        <v>2</v>
      </c>
    </row>
    <row r="248" spans="1:79" x14ac:dyDescent="0.3">
      <c r="A248" s="155">
        <v>1058</v>
      </c>
      <c r="B248" t="s">
        <v>1439</v>
      </c>
      <c r="D248">
        <v>2</v>
      </c>
      <c r="E248">
        <v>2</v>
      </c>
      <c r="F248">
        <v>1</v>
      </c>
      <c r="G248">
        <v>2</v>
      </c>
      <c r="H248">
        <v>2</v>
      </c>
      <c r="I248">
        <v>2</v>
      </c>
      <c r="J248">
        <v>2</v>
      </c>
      <c r="K248">
        <v>2</v>
      </c>
      <c r="L248">
        <v>1</v>
      </c>
      <c r="M248">
        <v>1</v>
      </c>
      <c r="N248">
        <v>2</v>
      </c>
      <c r="P248">
        <v>2</v>
      </c>
      <c r="Q248">
        <v>2</v>
      </c>
      <c r="R248">
        <v>2</v>
      </c>
      <c r="S248">
        <v>2</v>
      </c>
      <c r="T248">
        <v>2</v>
      </c>
      <c r="U248">
        <v>2</v>
      </c>
      <c r="V248">
        <v>2</v>
      </c>
      <c r="W248">
        <v>2</v>
      </c>
      <c r="X248">
        <v>2</v>
      </c>
      <c r="Y248">
        <v>2</v>
      </c>
      <c r="Z248">
        <v>2</v>
      </c>
      <c r="AA248">
        <v>1</v>
      </c>
      <c r="AB248">
        <v>2</v>
      </c>
      <c r="AC248">
        <v>2</v>
      </c>
      <c r="AD248">
        <v>2</v>
      </c>
      <c r="AE248">
        <v>2</v>
      </c>
      <c r="AF248">
        <v>2</v>
      </c>
      <c r="AG248">
        <v>2</v>
      </c>
      <c r="AH248">
        <v>2</v>
      </c>
      <c r="AI248">
        <v>2</v>
      </c>
      <c r="AJ248">
        <v>2</v>
      </c>
      <c r="AK248">
        <v>1</v>
      </c>
      <c r="AL248">
        <v>2</v>
      </c>
      <c r="AM248">
        <v>2</v>
      </c>
      <c r="AN248">
        <v>2</v>
      </c>
      <c r="AP248">
        <v>2</v>
      </c>
      <c r="AQ248">
        <v>2</v>
      </c>
      <c r="AR248">
        <v>2</v>
      </c>
      <c r="AS248">
        <v>1</v>
      </c>
      <c r="AT248">
        <v>1</v>
      </c>
      <c r="AU248">
        <v>2</v>
      </c>
      <c r="AV248">
        <v>1</v>
      </c>
      <c r="AX248">
        <v>2</v>
      </c>
      <c r="AY248">
        <v>2</v>
      </c>
      <c r="AZ248">
        <v>2</v>
      </c>
      <c r="BA248">
        <v>2</v>
      </c>
      <c r="BB248">
        <v>2</v>
      </c>
      <c r="BC248">
        <v>1</v>
      </c>
      <c r="BD248">
        <v>2</v>
      </c>
      <c r="BE248">
        <v>2</v>
      </c>
      <c r="BH248">
        <v>2</v>
      </c>
      <c r="BI248">
        <v>2</v>
      </c>
      <c r="BJ248">
        <v>2</v>
      </c>
      <c r="BK248">
        <v>2</v>
      </c>
      <c r="BL248">
        <v>2</v>
      </c>
      <c r="BM248">
        <v>2</v>
      </c>
      <c r="BN248">
        <v>2</v>
      </c>
      <c r="BO248">
        <v>2</v>
      </c>
      <c r="BP248">
        <v>2</v>
      </c>
      <c r="BQ248">
        <v>2</v>
      </c>
      <c r="BR248">
        <v>2</v>
      </c>
      <c r="BS248">
        <v>1</v>
      </c>
      <c r="BT248">
        <v>1</v>
      </c>
      <c r="BU248">
        <v>2</v>
      </c>
      <c r="BV248">
        <v>2</v>
      </c>
      <c r="BW248">
        <v>2</v>
      </c>
      <c r="BX248">
        <v>2</v>
      </c>
      <c r="BY248">
        <v>1</v>
      </c>
      <c r="BZ248">
        <v>2</v>
      </c>
      <c r="CA248">
        <v>2</v>
      </c>
    </row>
    <row r="249" spans="1:79" x14ac:dyDescent="0.3">
      <c r="A249" s="155">
        <v>1059</v>
      </c>
      <c r="B249" t="s">
        <v>1637</v>
      </c>
      <c r="D249">
        <v>1</v>
      </c>
      <c r="E249">
        <v>1</v>
      </c>
      <c r="F249">
        <v>1</v>
      </c>
      <c r="G249">
        <v>1</v>
      </c>
      <c r="H249">
        <v>1</v>
      </c>
      <c r="I249">
        <v>1</v>
      </c>
      <c r="J249">
        <v>1</v>
      </c>
      <c r="K249">
        <v>2</v>
      </c>
      <c r="L249">
        <v>1</v>
      </c>
      <c r="M249">
        <v>1</v>
      </c>
      <c r="N249">
        <v>1</v>
      </c>
      <c r="P249">
        <v>1</v>
      </c>
      <c r="Q249">
        <v>1</v>
      </c>
      <c r="R249">
        <v>1</v>
      </c>
      <c r="S249">
        <v>1</v>
      </c>
      <c r="T249">
        <v>1</v>
      </c>
      <c r="U249">
        <v>1</v>
      </c>
      <c r="V249">
        <v>1</v>
      </c>
      <c r="W249">
        <v>1</v>
      </c>
      <c r="X249">
        <v>1</v>
      </c>
      <c r="Y249">
        <v>1</v>
      </c>
      <c r="Z249">
        <v>1</v>
      </c>
      <c r="AA249">
        <v>1</v>
      </c>
      <c r="AB249">
        <v>1</v>
      </c>
      <c r="AC249">
        <v>1</v>
      </c>
      <c r="AD249">
        <v>1</v>
      </c>
      <c r="AE249">
        <v>1</v>
      </c>
      <c r="AF249">
        <v>1</v>
      </c>
      <c r="AG249">
        <v>1</v>
      </c>
      <c r="AH249">
        <v>1</v>
      </c>
      <c r="AI249">
        <v>1</v>
      </c>
      <c r="AJ249">
        <v>1</v>
      </c>
      <c r="AK249">
        <v>1</v>
      </c>
      <c r="AL249">
        <v>1</v>
      </c>
      <c r="AM249">
        <v>1</v>
      </c>
      <c r="AN249">
        <v>1</v>
      </c>
      <c r="AP249">
        <v>1</v>
      </c>
      <c r="AQ249">
        <v>1</v>
      </c>
      <c r="AR249">
        <v>1</v>
      </c>
      <c r="AS249">
        <v>1</v>
      </c>
      <c r="AT249">
        <v>1</v>
      </c>
      <c r="AU249">
        <v>1</v>
      </c>
      <c r="AV249">
        <v>1</v>
      </c>
      <c r="AX249">
        <v>1</v>
      </c>
      <c r="AY249">
        <v>1</v>
      </c>
      <c r="AZ249">
        <v>2</v>
      </c>
      <c r="BA249">
        <v>1</v>
      </c>
      <c r="BB249">
        <v>1</v>
      </c>
      <c r="BC249">
        <v>1</v>
      </c>
      <c r="BD249">
        <v>1</v>
      </c>
      <c r="BE249">
        <v>1</v>
      </c>
      <c r="BH249">
        <v>1</v>
      </c>
      <c r="BI249">
        <v>1</v>
      </c>
      <c r="BJ249">
        <v>1</v>
      </c>
      <c r="BK249">
        <v>1</v>
      </c>
      <c r="BL249">
        <v>1</v>
      </c>
      <c r="BM249">
        <v>1</v>
      </c>
      <c r="BN249">
        <v>1</v>
      </c>
      <c r="BO249">
        <v>1</v>
      </c>
      <c r="BP249">
        <v>1</v>
      </c>
      <c r="BQ249">
        <v>1</v>
      </c>
      <c r="BR249">
        <v>1</v>
      </c>
      <c r="BS249">
        <v>1</v>
      </c>
      <c r="BT249">
        <v>1</v>
      </c>
      <c r="BU249">
        <v>1</v>
      </c>
      <c r="BV249">
        <v>1</v>
      </c>
      <c r="BW249">
        <v>1</v>
      </c>
      <c r="BX249">
        <v>1</v>
      </c>
      <c r="BY249">
        <v>1</v>
      </c>
      <c r="BZ249">
        <v>1</v>
      </c>
      <c r="CA249">
        <v>1</v>
      </c>
    </row>
    <row r="250" spans="1:79" x14ac:dyDescent="0.3">
      <c r="A250" s="155">
        <v>1060</v>
      </c>
      <c r="B250" t="s">
        <v>1638</v>
      </c>
      <c r="D250">
        <v>0</v>
      </c>
      <c r="E250">
        <v>0</v>
      </c>
      <c r="F250">
        <v>70454</v>
      </c>
      <c r="G250">
        <v>0</v>
      </c>
      <c r="H250">
        <v>0</v>
      </c>
      <c r="I250">
        <v>71408</v>
      </c>
      <c r="J250">
        <v>0</v>
      </c>
      <c r="K250">
        <v>0</v>
      </c>
      <c r="L250">
        <v>9352894</v>
      </c>
      <c r="M250">
        <v>0</v>
      </c>
      <c r="N250">
        <v>0</v>
      </c>
      <c r="P250">
        <v>3929955</v>
      </c>
      <c r="Q250">
        <v>0</v>
      </c>
      <c r="R250">
        <v>305931</v>
      </c>
      <c r="S250">
        <v>1749968</v>
      </c>
      <c r="T250">
        <v>0</v>
      </c>
      <c r="U250">
        <v>827744</v>
      </c>
      <c r="V250">
        <v>0</v>
      </c>
      <c r="W250">
        <v>0</v>
      </c>
      <c r="X250">
        <v>445364</v>
      </c>
      <c r="Y250">
        <v>0</v>
      </c>
      <c r="Z250">
        <v>639580</v>
      </c>
      <c r="AA250">
        <v>183888</v>
      </c>
      <c r="AB250">
        <v>0</v>
      </c>
      <c r="AC250">
        <v>0</v>
      </c>
      <c r="AD250">
        <v>223088</v>
      </c>
      <c r="AE250">
        <v>54941</v>
      </c>
      <c r="AF250">
        <v>24380</v>
      </c>
      <c r="AG250">
        <v>16891</v>
      </c>
      <c r="AH250">
        <v>26550</v>
      </c>
      <c r="AI250">
        <v>0</v>
      </c>
      <c r="AJ250">
        <v>425000</v>
      </c>
      <c r="AK250">
        <v>61494</v>
      </c>
      <c r="AL250">
        <v>0</v>
      </c>
      <c r="AM250">
        <v>0</v>
      </c>
      <c r="AN250">
        <v>647423</v>
      </c>
      <c r="AP250">
        <v>1208168</v>
      </c>
      <c r="AQ250">
        <v>0</v>
      </c>
      <c r="AR250">
        <v>11763</v>
      </c>
      <c r="AS250">
        <v>56000</v>
      </c>
      <c r="AT250">
        <v>582730</v>
      </c>
      <c r="AU250">
        <v>784709</v>
      </c>
      <c r="AV250">
        <v>0</v>
      </c>
      <c r="AX250">
        <v>92016</v>
      </c>
      <c r="AY250">
        <v>0</v>
      </c>
      <c r="AZ250">
        <v>0</v>
      </c>
      <c r="BA250">
        <v>0</v>
      </c>
      <c r="BB250">
        <v>145000</v>
      </c>
      <c r="BC250">
        <v>0</v>
      </c>
      <c r="BD250">
        <v>0</v>
      </c>
      <c r="BE250">
        <v>3264099</v>
      </c>
      <c r="BH250">
        <v>337182</v>
      </c>
      <c r="BI250">
        <v>0</v>
      </c>
      <c r="BJ250">
        <v>84083</v>
      </c>
      <c r="BK250">
        <v>548638</v>
      </c>
      <c r="BL250">
        <v>0</v>
      </c>
      <c r="BM250">
        <v>0</v>
      </c>
      <c r="BN250">
        <v>1257421</v>
      </c>
      <c r="BO250">
        <v>0</v>
      </c>
      <c r="BP250">
        <v>144689</v>
      </c>
      <c r="BQ250">
        <v>0</v>
      </c>
      <c r="BR250">
        <v>435117</v>
      </c>
      <c r="BS250">
        <v>5280498</v>
      </c>
      <c r="BT250">
        <v>0</v>
      </c>
      <c r="BU250">
        <v>76734</v>
      </c>
      <c r="BV250">
        <v>0</v>
      </c>
      <c r="BW250">
        <v>0</v>
      </c>
      <c r="BX250">
        <v>0</v>
      </c>
      <c r="BY250">
        <v>9472</v>
      </c>
      <c r="BZ250">
        <v>2045130</v>
      </c>
      <c r="CA250">
        <v>0</v>
      </c>
    </row>
    <row r="251" spans="1:79" x14ac:dyDescent="0.3">
      <c r="A251" s="155">
        <v>1061</v>
      </c>
      <c r="B251" t="s">
        <v>1639</v>
      </c>
      <c r="D251">
        <v>18963</v>
      </c>
      <c r="E251">
        <v>5782494</v>
      </c>
      <c r="F251">
        <v>0</v>
      </c>
      <c r="G251">
        <v>0</v>
      </c>
      <c r="H251">
        <v>714998</v>
      </c>
      <c r="I251">
        <v>18018</v>
      </c>
      <c r="J251">
        <v>244282</v>
      </c>
      <c r="K251">
        <v>0</v>
      </c>
      <c r="L251">
        <v>0</v>
      </c>
      <c r="M251">
        <v>0</v>
      </c>
      <c r="N251">
        <v>0</v>
      </c>
      <c r="P251">
        <v>0</v>
      </c>
      <c r="Q251">
        <v>2337008</v>
      </c>
      <c r="R251">
        <v>0</v>
      </c>
      <c r="S251">
        <v>0</v>
      </c>
      <c r="T251">
        <v>0</v>
      </c>
      <c r="U251">
        <v>645714</v>
      </c>
      <c r="V251">
        <v>0</v>
      </c>
      <c r="W251">
        <v>1138069</v>
      </c>
      <c r="X251">
        <v>0</v>
      </c>
      <c r="Y251">
        <v>0</v>
      </c>
      <c r="Z251">
        <v>195088</v>
      </c>
      <c r="AA251">
        <v>0</v>
      </c>
      <c r="AB251">
        <v>0</v>
      </c>
      <c r="AC251">
        <v>0</v>
      </c>
      <c r="AD251">
        <v>0</v>
      </c>
      <c r="AE251">
        <v>445109</v>
      </c>
      <c r="AF251">
        <v>0</v>
      </c>
      <c r="AG251">
        <v>0</v>
      </c>
      <c r="AH251">
        <v>0</v>
      </c>
      <c r="AI251">
        <v>0</v>
      </c>
      <c r="AJ251">
        <v>0</v>
      </c>
      <c r="AK251">
        <v>32840</v>
      </c>
      <c r="AL251">
        <v>0</v>
      </c>
      <c r="AM251">
        <v>3751706</v>
      </c>
      <c r="AN251">
        <v>0</v>
      </c>
      <c r="AP251">
        <v>804068</v>
      </c>
      <c r="AQ251">
        <v>0</v>
      </c>
      <c r="AR251">
        <v>411786</v>
      </c>
      <c r="AS251">
        <v>0</v>
      </c>
      <c r="AT251">
        <v>0</v>
      </c>
      <c r="AU251">
        <v>0</v>
      </c>
      <c r="AV251">
        <v>21193</v>
      </c>
      <c r="AX251">
        <v>0</v>
      </c>
      <c r="AY251">
        <v>0</v>
      </c>
      <c r="AZ251">
        <v>0</v>
      </c>
      <c r="BA251">
        <v>0</v>
      </c>
      <c r="BB251">
        <v>0</v>
      </c>
      <c r="BC251">
        <v>0</v>
      </c>
      <c r="BD251">
        <v>0</v>
      </c>
      <c r="BE251">
        <v>3264099</v>
      </c>
      <c r="BH251">
        <v>0</v>
      </c>
      <c r="BI251">
        <v>0</v>
      </c>
      <c r="BJ251">
        <v>67617</v>
      </c>
      <c r="BK251">
        <v>0</v>
      </c>
      <c r="BL251">
        <v>299</v>
      </c>
      <c r="BM251">
        <v>0</v>
      </c>
      <c r="BN251">
        <v>0</v>
      </c>
      <c r="BO251">
        <v>308977</v>
      </c>
      <c r="BP251">
        <v>0</v>
      </c>
      <c r="BQ251">
        <v>0</v>
      </c>
      <c r="BR251">
        <v>0</v>
      </c>
      <c r="BS251">
        <v>5280498</v>
      </c>
      <c r="BT251">
        <v>373801</v>
      </c>
      <c r="BU251">
        <v>0</v>
      </c>
      <c r="BV251">
        <v>0</v>
      </c>
      <c r="BW251">
        <v>0</v>
      </c>
      <c r="BX251">
        <v>0</v>
      </c>
      <c r="BY251">
        <v>0</v>
      </c>
      <c r="BZ251">
        <v>2591329</v>
      </c>
      <c r="CA251">
        <v>0</v>
      </c>
    </row>
    <row r="252" spans="1:79" x14ac:dyDescent="0.3">
      <c r="A252" s="155">
        <v>1062</v>
      </c>
      <c r="B252" t="s">
        <v>1640</v>
      </c>
      <c r="D252">
        <v>1</v>
      </c>
      <c r="E252">
        <v>1</v>
      </c>
      <c r="F252">
        <v>1</v>
      </c>
      <c r="G252">
        <v>1</v>
      </c>
      <c r="H252">
        <v>1</v>
      </c>
      <c r="I252">
        <v>1</v>
      </c>
      <c r="J252">
        <v>1</v>
      </c>
      <c r="K252">
        <v>1</v>
      </c>
      <c r="L252">
        <v>1</v>
      </c>
      <c r="M252">
        <v>0</v>
      </c>
      <c r="N252">
        <v>1</v>
      </c>
      <c r="P252">
        <v>1</v>
      </c>
      <c r="Q252">
        <v>1</v>
      </c>
      <c r="R252">
        <v>1</v>
      </c>
      <c r="S252">
        <v>1</v>
      </c>
      <c r="T252">
        <v>1</v>
      </c>
      <c r="U252">
        <v>1</v>
      </c>
      <c r="V252">
        <v>0</v>
      </c>
      <c r="W252">
        <v>0</v>
      </c>
      <c r="X252">
        <v>1</v>
      </c>
      <c r="Y252">
        <v>1</v>
      </c>
      <c r="Z252">
        <v>1</v>
      </c>
      <c r="AA252">
        <v>1</v>
      </c>
      <c r="AB252">
        <v>1</v>
      </c>
      <c r="AC252">
        <v>0</v>
      </c>
      <c r="AD252">
        <v>1</v>
      </c>
      <c r="AE252">
        <v>1</v>
      </c>
      <c r="AF252">
        <v>1</v>
      </c>
      <c r="AG252">
        <v>0</v>
      </c>
      <c r="AH252">
        <v>1</v>
      </c>
      <c r="AI252">
        <v>1</v>
      </c>
      <c r="AJ252">
        <v>1</v>
      </c>
      <c r="AK252">
        <v>1</v>
      </c>
      <c r="AL252">
        <v>1</v>
      </c>
      <c r="AM252">
        <v>1</v>
      </c>
      <c r="AN252">
        <v>1</v>
      </c>
      <c r="AP252">
        <v>1</v>
      </c>
      <c r="AQ252">
        <v>1</v>
      </c>
      <c r="AR252">
        <v>1</v>
      </c>
      <c r="AS252">
        <v>1</v>
      </c>
      <c r="AT252">
        <v>1</v>
      </c>
      <c r="AU252">
        <v>1</v>
      </c>
      <c r="AV252">
        <v>1</v>
      </c>
      <c r="AX252">
        <v>1</v>
      </c>
      <c r="AY252">
        <v>1</v>
      </c>
      <c r="AZ252">
        <v>1</v>
      </c>
      <c r="BA252">
        <v>1</v>
      </c>
      <c r="BB252">
        <v>1</v>
      </c>
      <c r="BC252">
        <v>1</v>
      </c>
      <c r="BD252">
        <v>1</v>
      </c>
      <c r="BE252">
        <v>1</v>
      </c>
      <c r="BH252">
        <v>1</v>
      </c>
      <c r="BI252">
        <v>1</v>
      </c>
      <c r="BJ252">
        <v>2</v>
      </c>
      <c r="BK252">
        <v>1</v>
      </c>
      <c r="BL252">
        <v>0</v>
      </c>
      <c r="BM252">
        <v>0</v>
      </c>
      <c r="BN252">
        <v>1</v>
      </c>
      <c r="BO252">
        <v>1</v>
      </c>
      <c r="BP252">
        <v>1</v>
      </c>
      <c r="BQ252">
        <v>1</v>
      </c>
      <c r="BR252">
        <v>1</v>
      </c>
      <c r="BS252">
        <v>1</v>
      </c>
      <c r="BT252">
        <v>1</v>
      </c>
      <c r="BU252">
        <v>1</v>
      </c>
      <c r="BV252">
        <v>1</v>
      </c>
      <c r="BW252">
        <v>0</v>
      </c>
      <c r="BX252">
        <v>1</v>
      </c>
      <c r="BY252">
        <v>1</v>
      </c>
      <c r="BZ252">
        <v>1</v>
      </c>
      <c r="CA252">
        <v>1</v>
      </c>
    </row>
    <row r="253" spans="1:79" x14ac:dyDescent="0.3">
      <c r="A253" s="155">
        <v>1063</v>
      </c>
      <c r="B253" t="s">
        <v>1641</v>
      </c>
      <c r="D253">
        <v>1</v>
      </c>
      <c r="E253">
        <v>1</v>
      </c>
      <c r="F253">
        <v>1</v>
      </c>
      <c r="G253">
        <v>1</v>
      </c>
      <c r="H253">
        <v>1</v>
      </c>
      <c r="I253">
        <v>1</v>
      </c>
      <c r="J253">
        <v>1</v>
      </c>
      <c r="K253">
        <v>1</v>
      </c>
      <c r="L253">
        <v>1</v>
      </c>
      <c r="M253">
        <v>0</v>
      </c>
      <c r="N253">
        <v>1</v>
      </c>
      <c r="P253">
        <v>1</v>
      </c>
      <c r="Q253">
        <v>1</v>
      </c>
      <c r="R253">
        <v>1</v>
      </c>
      <c r="S253">
        <v>1</v>
      </c>
      <c r="T253">
        <v>1</v>
      </c>
      <c r="U253">
        <v>1</v>
      </c>
      <c r="V253">
        <v>0</v>
      </c>
      <c r="W253">
        <v>1</v>
      </c>
      <c r="X253">
        <v>1</v>
      </c>
      <c r="Y253">
        <v>1</v>
      </c>
      <c r="Z253">
        <v>1</v>
      </c>
      <c r="AA253">
        <v>1</v>
      </c>
      <c r="AB253">
        <v>1</v>
      </c>
      <c r="AC253">
        <v>0</v>
      </c>
      <c r="AD253">
        <v>1</v>
      </c>
      <c r="AE253">
        <v>1</v>
      </c>
      <c r="AF253">
        <v>1</v>
      </c>
      <c r="AG253">
        <v>0</v>
      </c>
      <c r="AH253">
        <v>1</v>
      </c>
      <c r="AI253">
        <v>1</v>
      </c>
      <c r="AJ253">
        <v>1</v>
      </c>
      <c r="AK253">
        <v>1</v>
      </c>
      <c r="AL253">
        <v>1</v>
      </c>
      <c r="AM253">
        <v>1</v>
      </c>
      <c r="AN253">
        <v>1</v>
      </c>
      <c r="AP253">
        <v>1</v>
      </c>
      <c r="AQ253">
        <v>1</v>
      </c>
      <c r="AR253">
        <v>1</v>
      </c>
      <c r="AS253">
        <v>1</v>
      </c>
      <c r="AT253">
        <v>1</v>
      </c>
      <c r="AU253">
        <v>1</v>
      </c>
      <c r="AV253">
        <v>1</v>
      </c>
      <c r="AX253">
        <v>1</v>
      </c>
      <c r="AY253">
        <v>1</v>
      </c>
      <c r="AZ253">
        <v>1</v>
      </c>
      <c r="BA253">
        <v>1</v>
      </c>
      <c r="BB253">
        <v>1</v>
      </c>
      <c r="BC253">
        <v>1</v>
      </c>
      <c r="BD253">
        <v>1</v>
      </c>
      <c r="BE253">
        <v>1</v>
      </c>
      <c r="BH253">
        <v>1</v>
      </c>
      <c r="BI253">
        <v>1</v>
      </c>
      <c r="BJ253">
        <v>2</v>
      </c>
      <c r="BK253">
        <v>1</v>
      </c>
      <c r="BL253">
        <v>0</v>
      </c>
      <c r="BM253">
        <v>0</v>
      </c>
      <c r="BN253">
        <v>1</v>
      </c>
      <c r="BO253">
        <v>1</v>
      </c>
      <c r="BP253">
        <v>1</v>
      </c>
      <c r="BQ253">
        <v>1</v>
      </c>
      <c r="BR253">
        <v>1</v>
      </c>
      <c r="BS253">
        <v>1</v>
      </c>
      <c r="BT253">
        <v>1</v>
      </c>
      <c r="BU253">
        <v>1</v>
      </c>
      <c r="BV253">
        <v>1</v>
      </c>
      <c r="BW253">
        <v>0</v>
      </c>
      <c r="BX253">
        <v>1</v>
      </c>
      <c r="BY253">
        <v>1</v>
      </c>
      <c r="BZ253">
        <v>1</v>
      </c>
      <c r="CA253">
        <v>1</v>
      </c>
    </row>
    <row r="254" spans="1:79" x14ac:dyDescent="0.3">
      <c r="A254" s="155">
        <v>1064</v>
      </c>
      <c r="B254" t="s">
        <v>1642</v>
      </c>
      <c r="E254">
        <v>0</v>
      </c>
      <c r="G254">
        <v>190869</v>
      </c>
      <c r="K254">
        <v>0</v>
      </c>
      <c r="L254">
        <v>9352894</v>
      </c>
      <c r="P254">
        <v>3929539</v>
      </c>
      <c r="Q254">
        <v>0</v>
      </c>
      <c r="S254">
        <v>0</v>
      </c>
      <c r="U254">
        <v>2550556</v>
      </c>
      <c r="X254">
        <v>0</v>
      </c>
      <c r="Y254">
        <v>0</v>
      </c>
      <c r="AA254">
        <v>695888</v>
      </c>
      <c r="AJ254">
        <v>419783</v>
      </c>
      <c r="AM254">
        <v>0</v>
      </c>
      <c r="AN254">
        <v>647423</v>
      </c>
      <c r="AQ254">
        <v>0</v>
      </c>
      <c r="AR254">
        <v>110763</v>
      </c>
      <c r="AT254">
        <v>582730</v>
      </c>
      <c r="AU254">
        <v>784706</v>
      </c>
      <c r="AZ254">
        <v>0</v>
      </c>
      <c r="BC254">
        <v>0</v>
      </c>
      <c r="BE254">
        <v>1948640</v>
      </c>
      <c r="BH254">
        <v>337182</v>
      </c>
      <c r="BJ254">
        <v>84083</v>
      </c>
      <c r="BN254">
        <v>1257421</v>
      </c>
      <c r="BS254">
        <v>5280498</v>
      </c>
      <c r="BZ254">
        <v>2045130</v>
      </c>
    </row>
    <row r="255" spans="1:79" x14ac:dyDescent="0.3">
      <c r="A255" s="155">
        <v>1065</v>
      </c>
      <c r="B255" t="s">
        <v>1643</v>
      </c>
      <c r="E255">
        <v>0</v>
      </c>
      <c r="G255">
        <v>0</v>
      </c>
      <c r="K255">
        <v>0</v>
      </c>
      <c r="L255">
        <v>0</v>
      </c>
      <c r="P255">
        <v>0</v>
      </c>
      <c r="Q255">
        <v>0</v>
      </c>
      <c r="S255">
        <v>1906215</v>
      </c>
      <c r="U255">
        <v>0</v>
      </c>
      <c r="X255">
        <v>0</v>
      </c>
      <c r="Y255">
        <v>0</v>
      </c>
      <c r="AA255">
        <v>0</v>
      </c>
      <c r="AJ255">
        <v>0</v>
      </c>
      <c r="AM255">
        <v>0</v>
      </c>
      <c r="AN255">
        <v>0</v>
      </c>
      <c r="AQ255">
        <v>0</v>
      </c>
      <c r="AR255">
        <v>0</v>
      </c>
      <c r="AT255">
        <v>0</v>
      </c>
      <c r="AU255">
        <v>0</v>
      </c>
      <c r="AZ255">
        <v>0</v>
      </c>
      <c r="BC255">
        <v>0</v>
      </c>
      <c r="BE255">
        <v>0</v>
      </c>
      <c r="BH255">
        <v>0</v>
      </c>
      <c r="BJ255">
        <v>0</v>
      </c>
      <c r="BN255">
        <v>0</v>
      </c>
      <c r="BS255">
        <v>0</v>
      </c>
      <c r="BZ255">
        <v>0</v>
      </c>
    </row>
    <row r="256" spans="1:79" x14ac:dyDescent="0.3">
      <c r="A256" s="155">
        <v>1066</v>
      </c>
      <c r="B256" t="s">
        <v>1644</v>
      </c>
      <c r="D256" t="s">
        <v>2453</v>
      </c>
      <c r="E256" t="s">
        <v>2454</v>
      </c>
      <c r="F256" t="s">
        <v>2455</v>
      </c>
      <c r="G256" t="s">
        <v>1645</v>
      </c>
      <c r="H256" t="s">
        <v>2456</v>
      </c>
      <c r="I256" t="s">
        <v>2457</v>
      </c>
      <c r="J256" t="s">
        <v>2458</v>
      </c>
      <c r="K256" t="s">
        <v>2459</v>
      </c>
      <c r="L256" t="s">
        <v>2460</v>
      </c>
      <c r="M256" t="s">
        <v>2461</v>
      </c>
      <c r="N256" t="s">
        <v>2462</v>
      </c>
      <c r="P256" t="s">
        <v>1656</v>
      </c>
      <c r="Q256" t="s">
        <v>1654</v>
      </c>
      <c r="R256" t="s">
        <v>1653</v>
      </c>
      <c r="S256" t="s">
        <v>1650</v>
      </c>
      <c r="T256" t="s">
        <v>1653</v>
      </c>
      <c r="U256" t="s">
        <v>2463</v>
      </c>
      <c r="V256" t="s">
        <v>2464</v>
      </c>
      <c r="W256" t="s">
        <v>2454</v>
      </c>
      <c r="X256" t="s">
        <v>1652</v>
      </c>
      <c r="Y256" t="s">
        <v>1652</v>
      </c>
      <c r="Z256" t="s">
        <v>1649</v>
      </c>
      <c r="AA256" t="s">
        <v>1647</v>
      </c>
      <c r="AB256" t="s">
        <v>1649</v>
      </c>
      <c r="AC256" t="s">
        <v>1651</v>
      </c>
      <c r="AD256" t="s">
        <v>2465</v>
      </c>
      <c r="AE256" t="s">
        <v>2466</v>
      </c>
      <c r="AF256" t="s">
        <v>1653</v>
      </c>
      <c r="AG256" t="s">
        <v>2467</v>
      </c>
      <c r="AH256" t="s">
        <v>1651</v>
      </c>
      <c r="AI256" t="s">
        <v>2468</v>
      </c>
      <c r="AJ256" t="s">
        <v>2469</v>
      </c>
      <c r="AK256" t="s">
        <v>1653</v>
      </c>
      <c r="AL256" t="s">
        <v>2470</v>
      </c>
      <c r="AM256" t="s">
        <v>1653</v>
      </c>
      <c r="AN256" t="s">
        <v>1646</v>
      </c>
      <c r="AP256" t="s">
        <v>1651</v>
      </c>
      <c r="AQ256" t="s">
        <v>1645</v>
      </c>
      <c r="AR256" t="s">
        <v>2471</v>
      </c>
      <c r="AS256" t="s">
        <v>2472</v>
      </c>
      <c r="AT256" t="s">
        <v>2473</v>
      </c>
      <c r="AU256" t="s">
        <v>1656</v>
      </c>
      <c r="AV256" t="s">
        <v>2474</v>
      </c>
      <c r="AX256" t="s">
        <v>1653</v>
      </c>
      <c r="AY256" t="s">
        <v>1654</v>
      </c>
      <c r="AZ256" t="s">
        <v>2017</v>
      </c>
      <c r="BA256" t="s">
        <v>1649</v>
      </c>
      <c r="BB256" t="s">
        <v>1654</v>
      </c>
      <c r="BC256" t="s">
        <v>2475</v>
      </c>
      <c r="BD256" t="s">
        <v>2476</v>
      </c>
      <c r="BE256" t="s">
        <v>1649</v>
      </c>
      <c r="BH256" t="s">
        <v>2477</v>
      </c>
      <c r="BI256" t="s">
        <v>2466</v>
      </c>
      <c r="BJ256" t="s">
        <v>1651</v>
      </c>
      <c r="BK256" t="s">
        <v>1648</v>
      </c>
      <c r="BL256" t="s">
        <v>2478</v>
      </c>
      <c r="BM256" t="s">
        <v>1655</v>
      </c>
      <c r="BN256" t="s">
        <v>1649</v>
      </c>
      <c r="BO256" t="s">
        <v>1653</v>
      </c>
      <c r="BP256" t="s">
        <v>1648</v>
      </c>
      <c r="BQ256" t="s">
        <v>2479</v>
      </c>
      <c r="BR256" t="s">
        <v>2480</v>
      </c>
      <c r="BS256" t="s">
        <v>2460</v>
      </c>
      <c r="BT256" t="s">
        <v>1649</v>
      </c>
      <c r="BU256" t="s">
        <v>1649</v>
      </c>
      <c r="BV256" t="s">
        <v>2463</v>
      </c>
      <c r="BW256" t="s">
        <v>1651</v>
      </c>
      <c r="BX256" t="s">
        <v>2020</v>
      </c>
      <c r="BY256" t="s">
        <v>1649</v>
      </c>
      <c r="BZ256" t="s">
        <v>1648</v>
      </c>
      <c r="CA256" t="s">
        <v>1645</v>
      </c>
    </row>
    <row r="257" spans="1:79" x14ac:dyDescent="0.3">
      <c r="A257" s="155">
        <v>9000</v>
      </c>
      <c r="B257" t="s">
        <v>950</v>
      </c>
      <c r="C257" t="s">
        <v>349</v>
      </c>
      <c r="D257">
        <v>42763898.395000003</v>
      </c>
      <c r="E257">
        <v>711815402.91499996</v>
      </c>
      <c r="F257">
        <v>19724760.885000002</v>
      </c>
      <c r="G257">
        <v>2582490673.9520001</v>
      </c>
      <c r="H257">
        <v>282081941.97500002</v>
      </c>
      <c r="I257">
        <v>15338496.699999999</v>
      </c>
      <c r="J257">
        <v>114703334.34999999</v>
      </c>
      <c r="K257">
        <v>92001057.469999999</v>
      </c>
      <c r="L257">
        <v>3189180968.8099999</v>
      </c>
      <c r="M257">
        <v>3610653.0189999999</v>
      </c>
      <c r="N257">
        <v>49698511.520000003</v>
      </c>
      <c r="O257">
        <v>50250.01</v>
      </c>
      <c r="P257">
        <v>1119253967.349</v>
      </c>
      <c r="Q257">
        <v>775885713.70000005</v>
      </c>
      <c r="R257">
        <v>355725564.43000001</v>
      </c>
      <c r="S257">
        <v>912149039.90999997</v>
      </c>
      <c r="T257">
        <v>18377389.59</v>
      </c>
      <c r="U257">
        <v>1778946885.3199999</v>
      </c>
      <c r="V257">
        <v>2180192.4900000002</v>
      </c>
      <c r="W257">
        <v>296039636.13</v>
      </c>
      <c r="X257">
        <v>724988789.67999995</v>
      </c>
      <c r="Y257">
        <v>236116674.6058</v>
      </c>
      <c r="Z257">
        <v>198985055.542</v>
      </c>
      <c r="AA257">
        <v>323546744.31999999</v>
      </c>
      <c r="AB257">
        <v>25035339</v>
      </c>
      <c r="AC257">
        <v>11613385.463</v>
      </c>
      <c r="AD257">
        <v>97977874.939999998</v>
      </c>
      <c r="AE257">
        <v>237964627.78</v>
      </c>
      <c r="AF257">
        <v>11253973.84</v>
      </c>
      <c r="AG257">
        <v>1482767.74</v>
      </c>
      <c r="AH257">
        <v>7388251.5300000003</v>
      </c>
      <c r="AI257">
        <v>58759005.125</v>
      </c>
      <c r="AJ257">
        <v>588113677.21000004</v>
      </c>
      <c r="AK257">
        <v>19944172.370000001</v>
      </c>
      <c r="AL257">
        <v>1279276.4099999999</v>
      </c>
      <c r="AM257">
        <v>822923447.35000002</v>
      </c>
      <c r="AN257">
        <v>920951387.65849996</v>
      </c>
      <c r="AO257">
        <v>50270.01</v>
      </c>
      <c r="AP257">
        <v>161635059.507</v>
      </c>
      <c r="AQ257">
        <v>1719794935.0699999</v>
      </c>
      <c r="AR257">
        <v>125149208.76000001</v>
      </c>
      <c r="AS257">
        <v>41808904.210000001</v>
      </c>
      <c r="AT257">
        <v>149635989.81</v>
      </c>
      <c r="AU257">
        <v>690420009.82000005</v>
      </c>
      <c r="AV257">
        <v>22610095.690000001</v>
      </c>
      <c r="AW257">
        <v>50277.01</v>
      </c>
      <c r="AX257">
        <v>206775832.61000001</v>
      </c>
      <c r="AY257">
        <v>148718361.33000001</v>
      </c>
      <c r="AZ257">
        <v>284686429.41000003</v>
      </c>
      <c r="BA257">
        <v>2337575.5699999998</v>
      </c>
      <c r="BB257">
        <v>104534255.26000001</v>
      </c>
      <c r="BC257">
        <v>114864758.06999999</v>
      </c>
      <c r="BD257">
        <v>3787644.5</v>
      </c>
      <c r="BE257">
        <v>1352946753.75</v>
      </c>
      <c r="BF257">
        <v>50286.1</v>
      </c>
      <c r="BG257">
        <v>50287</v>
      </c>
      <c r="BH257">
        <v>140054922.09</v>
      </c>
      <c r="BI257">
        <v>136726865.27000001</v>
      </c>
      <c r="BJ257">
        <v>51055164.609999999</v>
      </c>
      <c r="BK257">
        <v>360921930.22000003</v>
      </c>
      <c r="BL257">
        <v>201460767.34999999</v>
      </c>
      <c r="BM257">
        <v>2101098</v>
      </c>
      <c r="BN257">
        <v>310124684.56999999</v>
      </c>
      <c r="BO257">
        <v>156929623.00999999</v>
      </c>
      <c r="BP257">
        <v>79315325.569999993</v>
      </c>
      <c r="BQ257">
        <v>103416016.26000001</v>
      </c>
      <c r="BR257">
        <v>71997631.939999998</v>
      </c>
      <c r="BS257">
        <v>1193991271.3199999</v>
      </c>
      <c r="BT257">
        <v>87334158.629999995</v>
      </c>
      <c r="BU257">
        <v>183848716.18000001</v>
      </c>
      <c r="BV257">
        <v>51995901.049999997</v>
      </c>
      <c r="BW257">
        <v>53651198.719999999</v>
      </c>
      <c r="BX257">
        <v>1975013.3104999999</v>
      </c>
      <c r="BY257">
        <v>2124495.38</v>
      </c>
      <c r="BZ257">
        <v>1112052261.1500001</v>
      </c>
      <c r="CA257">
        <v>2304809.85</v>
      </c>
    </row>
    <row r="258" spans="1:79" x14ac:dyDescent="0.3">
      <c r="A258" s="155">
        <v>9001</v>
      </c>
      <c r="B258" t="s">
        <v>951</v>
      </c>
      <c r="C258" t="s">
        <v>952</v>
      </c>
      <c r="D258">
        <v>6907418</v>
      </c>
      <c r="E258">
        <v>115256806</v>
      </c>
      <c r="F258">
        <v>1087971</v>
      </c>
      <c r="G258">
        <v>180317889</v>
      </c>
      <c r="H258">
        <v>18940554</v>
      </c>
      <c r="I258">
        <v>818393</v>
      </c>
      <c r="J258">
        <v>4349504</v>
      </c>
      <c r="K258">
        <v>5931555</v>
      </c>
      <c r="L258">
        <v>371259393</v>
      </c>
      <c r="M258">
        <v>428622</v>
      </c>
      <c r="N258">
        <v>2505832</v>
      </c>
      <c r="O258">
        <v>0</v>
      </c>
      <c r="P258">
        <v>198800343</v>
      </c>
      <c r="Q258">
        <v>74123689</v>
      </c>
      <c r="R258">
        <v>18010406</v>
      </c>
      <c r="S258">
        <v>40480548</v>
      </c>
      <c r="T258">
        <v>878366</v>
      </c>
      <c r="U258">
        <v>60962430</v>
      </c>
      <c r="V258">
        <v>278063</v>
      </c>
      <c r="W258">
        <v>37621797</v>
      </c>
      <c r="X258">
        <v>141351324</v>
      </c>
      <c r="Y258">
        <v>22742424</v>
      </c>
      <c r="Z258">
        <v>5967610</v>
      </c>
      <c r="AA258">
        <v>36458646</v>
      </c>
      <c r="AB258">
        <v>2507307</v>
      </c>
      <c r="AC258">
        <v>706965</v>
      </c>
      <c r="AD258">
        <v>4201260</v>
      </c>
      <c r="AE258">
        <v>11672864</v>
      </c>
      <c r="AF258">
        <v>1714491</v>
      </c>
      <c r="AG258">
        <v>185295</v>
      </c>
      <c r="AH258">
        <v>1270346</v>
      </c>
      <c r="AI258">
        <v>7175023</v>
      </c>
      <c r="AJ258">
        <v>24151368</v>
      </c>
      <c r="AK258">
        <v>1361424</v>
      </c>
      <c r="AL258">
        <v>159398</v>
      </c>
      <c r="AM258">
        <v>150929802</v>
      </c>
      <c r="AN258">
        <v>50907108</v>
      </c>
      <c r="AO258">
        <v>0</v>
      </c>
      <c r="AP258">
        <v>25433246</v>
      </c>
      <c r="AQ258">
        <v>79490346</v>
      </c>
      <c r="AR258">
        <v>6595482</v>
      </c>
      <c r="AS258">
        <v>2906427</v>
      </c>
      <c r="AT258">
        <v>12859259</v>
      </c>
      <c r="AU258">
        <v>36707965</v>
      </c>
      <c r="AV258">
        <v>1139957</v>
      </c>
      <c r="AW258">
        <v>0</v>
      </c>
      <c r="AX258">
        <v>17185221</v>
      </c>
      <c r="AY258">
        <v>8535374</v>
      </c>
      <c r="AZ258">
        <v>12747258</v>
      </c>
      <c r="BA258">
        <v>257423</v>
      </c>
      <c r="BB258">
        <v>7806767</v>
      </c>
      <c r="BC258">
        <v>2620015</v>
      </c>
      <c r="BD258">
        <v>448225</v>
      </c>
      <c r="BE258">
        <v>66778396</v>
      </c>
      <c r="BF258">
        <v>0</v>
      </c>
      <c r="BG258">
        <v>0</v>
      </c>
      <c r="BH258">
        <v>13203243</v>
      </c>
      <c r="BI258">
        <v>13452584</v>
      </c>
      <c r="BJ258">
        <v>1264606</v>
      </c>
      <c r="BK258">
        <v>18097402</v>
      </c>
      <c r="BL258">
        <v>16925786</v>
      </c>
      <c r="BM258">
        <v>237783</v>
      </c>
      <c r="BN258">
        <v>20054096</v>
      </c>
      <c r="BO258">
        <v>9837493</v>
      </c>
      <c r="BP258">
        <v>2548726</v>
      </c>
      <c r="BQ258">
        <v>5802420</v>
      </c>
      <c r="BR258">
        <v>15686236</v>
      </c>
      <c r="BS258">
        <v>289168054</v>
      </c>
      <c r="BT258">
        <v>6001654</v>
      </c>
      <c r="BU258">
        <v>8268115</v>
      </c>
      <c r="BV258">
        <v>2629744</v>
      </c>
      <c r="BW258">
        <v>5087501</v>
      </c>
      <c r="BX258">
        <v>238276</v>
      </c>
      <c r="BY258">
        <v>262073</v>
      </c>
      <c r="BZ258">
        <v>97289750</v>
      </c>
      <c r="CA258">
        <v>379794</v>
      </c>
    </row>
    <row r="259" spans="1:79" x14ac:dyDescent="0.3">
      <c r="A259" s="155">
        <v>9002</v>
      </c>
      <c r="B259" t="s">
        <v>953</v>
      </c>
      <c r="C259" t="s">
        <v>954</v>
      </c>
      <c r="D259">
        <v>125753</v>
      </c>
      <c r="E259">
        <v>9636713</v>
      </c>
      <c r="F259">
        <v>187585</v>
      </c>
      <c r="G259">
        <v>8106811</v>
      </c>
      <c r="H259">
        <v>617572</v>
      </c>
      <c r="I259">
        <v>16822</v>
      </c>
      <c r="J259">
        <v>49695</v>
      </c>
      <c r="K259">
        <v>495399</v>
      </c>
      <c r="L259">
        <v>17536164</v>
      </c>
      <c r="M259">
        <v>22661</v>
      </c>
      <c r="N259">
        <v>185264</v>
      </c>
      <c r="O259">
        <v>0</v>
      </c>
      <c r="P259">
        <v>8676254</v>
      </c>
      <c r="Q259">
        <v>10019177</v>
      </c>
      <c r="R259">
        <v>1516557</v>
      </c>
      <c r="S259">
        <v>2808783</v>
      </c>
      <c r="T259">
        <v>116694</v>
      </c>
      <c r="U259">
        <v>3584679</v>
      </c>
      <c r="V259">
        <v>2859</v>
      </c>
      <c r="W259">
        <v>2557460</v>
      </c>
      <c r="X259">
        <v>3538860</v>
      </c>
      <c r="Y259">
        <v>1198770</v>
      </c>
      <c r="Z259">
        <v>153385</v>
      </c>
      <c r="AA259">
        <v>17263989</v>
      </c>
      <c r="AB259">
        <v>540012</v>
      </c>
      <c r="AC259">
        <v>4905</v>
      </c>
      <c r="AD259">
        <v>46051</v>
      </c>
      <c r="AE259">
        <v>750033</v>
      </c>
      <c r="AF259">
        <v>253779</v>
      </c>
      <c r="AG259">
        <v>1204</v>
      </c>
      <c r="AH259">
        <v>11358</v>
      </c>
      <c r="AI259">
        <v>451332</v>
      </c>
      <c r="AJ259">
        <v>3901246</v>
      </c>
      <c r="AK259">
        <v>81028</v>
      </c>
      <c r="AL259">
        <v>13107</v>
      </c>
      <c r="AM259">
        <v>10671786</v>
      </c>
      <c r="AN259">
        <v>4629352</v>
      </c>
      <c r="AO259">
        <v>0</v>
      </c>
      <c r="AP259">
        <v>1609692</v>
      </c>
      <c r="AQ259">
        <v>6871878</v>
      </c>
      <c r="AR259">
        <v>820957</v>
      </c>
      <c r="AS259">
        <v>169740</v>
      </c>
      <c r="AT259">
        <v>766694</v>
      </c>
      <c r="AU259">
        <v>2609064</v>
      </c>
      <c r="AV259">
        <v>4993</v>
      </c>
      <c r="AW259">
        <v>0</v>
      </c>
      <c r="AX259">
        <v>567409</v>
      </c>
      <c r="AY259">
        <v>1071497</v>
      </c>
      <c r="AZ259">
        <v>913182</v>
      </c>
      <c r="BA259">
        <v>0</v>
      </c>
      <c r="BB259">
        <v>878514</v>
      </c>
      <c r="BC259">
        <v>264184</v>
      </c>
      <c r="BD259">
        <v>1038</v>
      </c>
      <c r="BE259">
        <v>4203560</v>
      </c>
      <c r="BF259">
        <v>0</v>
      </c>
      <c r="BG259">
        <v>0</v>
      </c>
      <c r="BH259">
        <v>56836</v>
      </c>
      <c r="BI259">
        <v>452069</v>
      </c>
      <c r="BJ259">
        <v>48085</v>
      </c>
      <c r="BK259">
        <v>253703</v>
      </c>
      <c r="BL259">
        <v>440329</v>
      </c>
      <c r="BM259">
        <v>0</v>
      </c>
      <c r="BN259">
        <v>1147176</v>
      </c>
      <c r="BO259">
        <v>419698</v>
      </c>
      <c r="BP259">
        <v>34342</v>
      </c>
      <c r="BQ259">
        <v>102774</v>
      </c>
      <c r="BR259">
        <v>183128</v>
      </c>
      <c r="BS259">
        <v>3251311</v>
      </c>
      <c r="BT259">
        <v>117767</v>
      </c>
      <c r="BU259">
        <v>6173152</v>
      </c>
      <c r="BV259">
        <v>123767</v>
      </c>
      <c r="BW259">
        <v>111777</v>
      </c>
      <c r="BX259">
        <v>0</v>
      </c>
      <c r="BY259">
        <v>7738</v>
      </c>
      <c r="BZ259">
        <v>4707904</v>
      </c>
      <c r="CA259">
        <v>35549</v>
      </c>
    </row>
    <row r="260" spans="1:79" x14ac:dyDescent="0.3">
      <c r="A260" s="155">
        <v>9003</v>
      </c>
      <c r="B260" t="s">
        <v>955</v>
      </c>
      <c r="C260" t="s">
        <v>956</v>
      </c>
      <c r="D260">
        <v>2280032</v>
      </c>
      <c r="E260">
        <v>28283431</v>
      </c>
      <c r="F260">
        <v>247476</v>
      </c>
      <c r="G260">
        <v>43325465</v>
      </c>
      <c r="H260">
        <v>3047660</v>
      </c>
      <c r="I260">
        <v>493391</v>
      </c>
      <c r="J260">
        <v>579301</v>
      </c>
      <c r="K260">
        <v>2897573</v>
      </c>
      <c r="L260">
        <v>239772225</v>
      </c>
      <c r="M260">
        <v>22661</v>
      </c>
      <c r="N260">
        <v>1198822</v>
      </c>
      <c r="O260">
        <v>0</v>
      </c>
      <c r="P260">
        <v>51640196</v>
      </c>
      <c r="Q260">
        <v>30158114</v>
      </c>
      <c r="R260">
        <v>6211314</v>
      </c>
      <c r="S260">
        <v>21538319</v>
      </c>
      <c r="T260">
        <v>116694</v>
      </c>
      <c r="U260">
        <v>28342942</v>
      </c>
      <c r="V260">
        <v>17433</v>
      </c>
      <c r="W260">
        <v>13463099</v>
      </c>
      <c r="X260">
        <v>31320062</v>
      </c>
      <c r="Y260">
        <v>10207832</v>
      </c>
      <c r="Z260">
        <v>413955</v>
      </c>
      <c r="AA260">
        <v>24411646</v>
      </c>
      <c r="AB260">
        <v>540102</v>
      </c>
      <c r="AC260">
        <v>4905</v>
      </c>
      <c r="AD260">
        <v>404363</v>
      </c>
      <c r="AE260">
        <v>2405930</v>
      </c>
      <c r="AF260">
        <v>253779</v>
      </c>
      <c r="AG260">
        <v>1204</v>
      </c>
      <c r="AH260">
        <v>11358</v>
      </c>
      <c r="AI260">
        <v>1378198</v>
      </c>
      <c r="AJ260">
        <v>14866020</v>
      </c>
      <c r="AK260">
        <v>81028</v>
      </c>
      <c r="AL260">
        <v>13107</v>
      </c>
      <c r="AM260">
        <v>30660290</v>
      </c>
      <c r="AN260">
        <v>17537366</v>
      </c>
      <c r="AO260">
        <v>0</v>
      </c>
      <c r="AP260">
        <v>3454924</v>
      </c>
      <c r="AQ260">
        <v>40649356</v>
      </c>
      <c r="AR260">
        <v>2735255</v>
      </c>
      <c r="AS260">
        <v>1203045</v>
      </c>
      <c r="AT260">
        <v>6448879</v>
      </c>
      <c r="AU260">
        <v>19597035</v>
      </c>
      <c r="AV260">
        <v>28915</v>
      </c>
      <c r="AW260">
        <v>0</v>
      </c>
      <c r="AX260">
        <v>1924282</v>
      </c>
      <c r="AY260">
        <v>3965853</v>
      </c>
      <c r="AZ260">
        <v>4373452</v>
      </c>
      <c r="BA260">
        <v>17847</v>
      </c>
      <c r="BB260">
        <v>2504560</v>
      </c>
      <c r="BC260">
        <v>334301</v>
      </c>
      <c r="BD260">
        <v>15060</v>
      </c>
      <c r="BE260">
        <v>69878214</v>
      </c>
      <c r="BF260">
        <v>0</v>
      </c>
      <c r="BG260">
        <v>0</v>
      </c>
      <c r="BH260">
        <v>10124261</v>
      </c>
      <c r="BI260">
        <v>1761880</v>
      </c>
      <c r="BJ260">
        <v>221445</v>
      </c>
      <c r="BK260">
        <v>3381122</v>
      </c>
      <c r="BL260">
        <v>4263548</v>
      </c>
      <c r="BM260">
        <v>15750</v>
      </c>
      <c r="BN260">
        <v>5907043</v>
      </c>
      <c r="BO260">
        <v>1073763</v>
      </c>
      <c r="BP260">
        <v>294980</v>
      </c>
      <c r="BQ260">
        <v>2575934</v>
      </c>
      <c r="BR260">
        <v>1498317</v>
      </c>
      <c r="BS260">
        <v>17249500</v>
      </c>
      <c r="BT260">
        <v>1871975</v>
      </c>
      <c r="BU260">
        <v>7577548</v>
      </c>
      <c r="BV260">
        <v>671473</v>
      </c>
      <c r="BW260">
        <v>163119</v>
      </c>
      <c r="BX260">
        <v>12098</v>
      </c>
      <c r="BY260">
        <v>7738</v>
      </c>
      <c r="BZ260">
        <v>28622198</v>
      </c>
      <c r="CA260">
        <v>61592</v>
      </c>
    </row>
    <row r="261" spans="1:79" x14ac:dyDescent="0.3">
      <c r="A261" s="155">
        <v>9004</v>
      </c>
      <c r="B261" t="s">
        <v>957</v>
      </c>
      <c r="C261" t="s">
        <v>958</v>
      </c>
      <c r="D261" t="s">
        <v>349</v>
      </c>
      <c r="E261" t="s">
        <v>349</v>
      </c>
      <c r="F261" t="s">
        <v>959</v>
      </c>
      <c r="G261" t="s">
        <v>959</v>
      </c>
      <c r="H261" t="s">
        <v>959</v>
      </c>
      <c r="I261" t="s">
        <v>959</v>
      </c>
      <c r="J261" t="s">
        <v>959</v>
      </c>
      <c r="K261" t="s">
        <v>959</v>
      </c>
      <c r="L261" t="s">
        <v>959</v>
      </c>
      <c r="M261" t="s">
        <v>349</v>
      </c>
      <c r="N261" t="s">
        <v>959</v>
      </c>
      <c r="O261" t="s">
        <v>959</v>
      </c>
      <c r="P261" t="s">
        <v>349</v>
      </c>
      <c r="Q261" t="s">
        <v>959</v>
      </c>
      <c r="R261" t="s">
        <v>959</v>
      </c>
      <c r="S261" t="s">
        <v>959</v>
      </c>
      <c r="T261" t="s">
        <v>959</v>
      </c>
      <c r="U261" t="s">
        <v>959</v>
      </c>
      <c r="V261" t="s">
        <v>349</v>
      </c>
      <c r="W261" t="s">
        <v>349</v>
      </c>
      <c r="X261" t="s">
        <v>349</v>
      </c>
      <c r="Y261" t="s">
        <v>959</v>
      </c>
      <c r="Z261" t="s">
        <v>959</v>
      </c>
      <c r="AA261" t="s">
        <v>959</v>
      </c>
      <c r="AB261" t="s">
        <v>349</v>
      </c>
      <c r="AC261" t="s">
        <v>959</v>
      </c>
      <c r="AD261" t="s">
        <v>959</v>
      </c>
      <c r="AE261" t="s">
        <v>959</v>
      </c>
      <c r="AF261" t="s">
        <v>959</v>
      </c>
      <c r="AG261" t="s">
        <v>349</v>
      </c>
      <c r="AH261" t="s">
        <v>349</v>
      </c>
      <c r="AI261" t="s">
        <v>349</v>
      </c>
      <c r="AJ261" t="s">
        <v>959</v>
      </c>
      <c r="AK261" t="s">
        <v>959</v>
      </c>
      <c r="AL261" t="s">
        <v>349</v>
      </c>
      <c r="AM261" t="s">
        <v>349</v>
      </c>
      <c r="AN261" t="s">
        <v>959</v>
      </c>
      <c r="AO261" t="s">
        <v>959</v>
      </c>
      <c r="AP261" t="s">
        <v>349</v>
      </c>
      <c r="AQ261" t="s">
        <v>959</v>
      </c>
      <c r="AR261" t="s">
        <v>959</v>
      </c>
      <c r="AS261" t="s">
        <v>959</v>
      </c>
      <c r="AT261" t="s">
        <v>959</v>
      </c>
      <c r="AU261" t="s">
        <v>959</v>
      </c>
      <c r="AV261" t="s">
        <v>959</v>
      </c>
      <c r="AW261" t="s">
        <v>959</v>
      </c>
      <c r="AX261" t="s">
        <v>959</v>
      </c>
      <c r="AY261" t="s">
        <v>959</v>
      </c>
      <c r="AZ261" t="s">
        <v>959</v>
      </c>
      <c r="BA261" t="s">
        <v>959</v>
      </c>
      <c r="BB261" t="s">
        <v>959</v>
      </c>
      <c r="BC261" t="s">
        <v>959</v>
      </c>
      <c r="BD261" t="s">
        <v>349</v>
      </c>
      <c r="BE261" t="s">
        <v>959</v>
      </c>
      <c r="BF261" t="s">
        <v>959</v>
      </c>
      <c r="BG261" t="s">
        <v>349</v>
      </c>
      <c r="BH261" t="s">
        <v>959</v>
      </c>
      <c r="BI261" t="s">
        <v>959</v>
      </c>
      <c r="BJ261" t="s">
        <v>959</v>
      </c>
      <c r="BK261" t="s">
        <v>959</v>
      </c>
      <c r="BL261" t="s">
        <v>959</v>
      </c>
      <c r="BM261" t="s">
        <v>349</v>
      </c>
      <c r="BN261" t="s">
        <v>959</v>
      </c>
      <c r="BO261" t="s">
        <v>959</v>
      </c>
      <c r="BP261" t="s">
        <v>959</v>
      </c>
      <c r="BQ261" t="s">
        <v>959</v>
      </c>
      <c r="BR261" t="s">
        <v>349</v>
      </c>
      <c r="BS261" t="s">
        <v>349</v>
      </c>
      <c r="BT261" t="s">
        <v>959</v>
      </c>
      <c r="BU261" t="s">
        <v>959</v>
      </c>
      <c r="BV261" t="s">
        <v>959</v>
      </c>
      <c r="BW261" t="s">
        <v>959</v>
      </c>
      <c r="BX261" t="s">
        <v>349</v>
      </c>
      <c r="BY261" t="s">
        <v>349</v>
      </c>
      <c r="BZ261" t="s">
        <v>959</v>
      </c>
      <c r="CA261" t="s">
        <v>349</v>
      </c>
    </row>
    <row r="262" spans="1:79" x14ac:dyDescent="0.3">
      <c r="A262" s="155">
        <v>9005</v>
      </c>
      <c r="B262" t="s">
        <v>960</v>
      </c>
      <c r="C262" t="s">
        <v>961</v>
      </c>
      <c r="D262">
        <v>405992</v>
      </c>
      <c r="E262">
        <v>24233714</v>
      </c>
      <c r="F262">
        <v>562252</v>
      </c>
      <c r="G262">
        <v>28354123</v>
      </c>
      <c r="H262">
        <v>3018436</v>
      </c>
      <c r="I262">
        <v>442740</v>
      </c>
      <c r="J262">
        <v>2532951</v>
      </c>
      <c r="K262">
        <v>1133336</v>
      </c>
      <c r="L262">
        <v>45766412</v>
      </c>
      <c r="M262">
        <v>263961</v>
      </c>
      <c r="N262">
        <v>758381</v>
      </c>
      <c r="O262">
        <v>0</v>
      </c>
      <c r="P262">
        <v>18978439</v>
      </c>
      <c r="Q262">
        <v>21460538</v>
      </c>
      <c r="R262">
        <v>3159866</v>
      </c>
      <c r="S262">
        <v>9956237</v>
      </c>
      <c r="T262">
        <v>209247</v>
      </c>
      <c r="U262">
        <v>9742169</v>
      </c>
      <c r="V262">
        <v>163852</v>
      </c>
      <c r="W262">
        <v>12436176</v>
      </c>
      <c r="X262">
        <v>8523173</v>
      </c>
      <c r="Y262">
        <v>6363844</v>
      </c>
      <c r="Z262">
        <v>2211311</v>
      </c>
      <c r="AA262">
        <v>3948100</v>
      </c>
      <c r="AB262">
        <v>1342053</v>
      </c>
      <c r="AC262">
        <v>320903</v>
      </c>
      <c r="AD262">
        <v>1601574</v>
      </c>
      <c r="AE262">
        <v>1798887</v>
      </c>
      <c r="AF262">
        <v>116656</v>
      </c>
      <c r="AG262">
        <v>75700</v>
      </c>
      <c r="AH262">
        <v>167417</v>
      </c>
      <c r="AI262">
        <v>2432956</v>
      </c>
      <c r="AJ262">
        <v>2555756</v>
      </c>
      <c r="AK262">
        <v>340881</v>
      </c>
      <c r="AL262">
        <v>123374</v>
      </c>
      <c r="AM262">
        <v>11037166</v>
      </c>
      <c r="AN262">
        <v>15040128</v>
      </c>
      <c r="AO262">
        <v>0</v>
      </c>
      <c r="AP262">
        <v>7457553</v>
      </c>
      <c r="AQ262">
        <v>7595139</v>
      </c>
      <c r="AR262">
        <v>2164552</v>
      </c>
      <c r="AS262">
        <v>550233</v>
      </c>
      <c r="AT262">
        <v>1688165</v>
      </c>
      <c r="AU262">
        <v>5413848</v>
      </c>
      <c r="AV262">
        <v>229332</v>
      </c>
      <c r="AW262">
        <v>0</v>
      </c>
      <c r="AX262">
        <v>3590224</v>
      </c>
      <c r="AY262">
        <v>3009193</v>
      </c>
      <c r="AZ262">
        <v>1144221</v>
      </c>
      <c r="BA262">
        <v>160381</v>
      </c>
      <c r="BB262">
        <v>2107230</v>
      </c>
      <c r="BC262">
        <v>968285</v>
      </c>
      <c r="BD262">
        <v>398159</v>
      </c>
      <c r="BE262">
        <v>5137178</v>
      </c>
      <c r="BF262">
        <v>0</v>
      </c>
      <c r="BG262">
        <v>0</v>
      </c>
      <c r="BH262">
        <v>3188425</v>
      </c>
      <c r="BI262">
        <v>4391827</v>
      </c>
      <c r="BJ262">
        <v>368979</v>
      </c>
      <c r="BK262">
        <v>4394873</v>
      </c>
      <c r="BL262">
        <v>6948333</v>
      </c>
      <c r="BM262">
        <v>176865</v>
      </c>
      <c r="BN262">
        <v>3879375</v>
      </c>
      <c r="BO262">
        <v>4883877</v>
      </c>
      <c r="BP262">
        <v>1562064</v>
      </c>
      <c r="BQ262">
        <v>2077848</v>
      </c>
      <c r="BR262">
        <v>2547531</v>
      </c>
      <c r="BS262">
        <v>16762851</v>
      </c>
      <c r="BT262">
        <v>2248179</v>
      </c>
      <c r="BU262">
        <v>2142058</v>
      </c>
      <c r="BV262">
        <v>869519</v>
      </c>
      <c r="BW262">
        <v>1102030</v>
      </c>
      <c r="BX262">
        <v>210446</v>
      </c>
      <c r="BY262">
        <v>188656</v>
      </c>
      <c r="BZ262">
        <v>16604540</v>
      </c>
      <c r="CA262">
        <v>86892</v>
      </c>
    </row>
    <row r="263" spans="1:79" x14ac:dyDescent="0.3">
      <c r="A263" s="155">
        <v>9006</v>
      </c>
      <c r="B263" t="s">
        <v>962</v>
      </c>
      <c r="C263" t="s">
        <v>963</v>
      </c>
      <c r="D263">
        <v>2264796</v>
      </c>
      <c r="E263">
        <v>18528094</v>
      </c>
      <c r="F263">
        <v>325125</v>
      </c>
      <c r="G263">
        <v>53938717</v>
      </c>
      <c r="H263">
        <v>5841156</v>
      </c>
      <c r="I263">
        <v>327825</v>
      </c>
      <c r="J263">
        <v>1547626</v>
      </c>
      <c r="K263">
        <v>2151209</v>
      </c>
      <c r="L263">
        <v>55856120</v>
      </c>
      <c r="M263">
        <v>117974</v>
      </c>
      <c r="N263">
        <v>996559</v>
      </c>
      <c r="O263">
        <v>0</v>
      </c>
      <c r="P263">
        <v>32981963</v>
      </c>
      <c r="Q263">
        <v>20160549</v>
      </c>
      <c r="R263">
        <v>7524117</v>
      </c>
      <c r="S263">
        <v>17221560</v>
      </c>
      <c r="T263">
        <v>120535</v>
      </c>
      <c r="U263">
        <v>20981122</v>
      </c>
      <c r="V263">
        <v>39102</v>
      </c>
      <c r="W263">
        <v>12826279</v>
      </c>
      <c r="X263">
        <v>21702833</v>
      </c>
      <c r="Y263">
        <v>6955720</v>
      </c>
      <c r="Z263">
        <v>1775722</v>
      </c>
      <c r="AA263">
        <v>8882742</v>
      </c>
      <c r="AB263">
        <v>1305966</v>
      </c>
      <c r="AC263">
        <v>343294</v>
      </c>
      <c r="AD263">
        <v>1287678</v>
      </c>
      <c r="AE263">
        <v>4136404</v>
      </c>
      <c r="AF263">
        <v>164684</v>
      </c>
      <c r="AG263">
        <v>59360</v>
      </c>
      <c r="AH263">
        <v>111396</v>
      </c>
      <c r="AI263">
        <v>4383687</v>
      </c>
      <c r="AJ263">
        <v>8686282</v>
      </c>
      <c r="AK263">
        <v>432049</v>
      </c>
      <c r="AL263">
        <v>27311</v>
      </c>
      <c r="AM263">
        <v>29837023</v>
      </c>
      <c r="AN263">
        <v>18817607</v>
      </c>
      <c r="AO263">
        <v>0</v>
      </c>
      <c r="AP263">
        <v>4810551</v>
      </c>
      <c r="AQ263">
        <v>26991010</v>
      </c>
      <c r="AR263">
        <v>3633353</v>
      </c>
      <c r="AS263">
        <v>720623</v>
      </c>
      <c r="AT263">
        <v>4909662</v>
      </c>
      <c r="AU263">
        <v>13715882</v>
      </c>
      <c r="AV263">
        <v>119936</v>
      </c>
      <c r="AW263">
        <v>0</v>
      </c>
      <c r="AX263">
        <v>4994130</v>
      </c>
      <c r="AY263">
        <v>4271535</v>
      </c>
      <c r="AZ263">
        <v>4546337</v>
      </c>
      <c r="BA263">
        <v>51201</v>
      </c>
      <c r="BB263">
        <v>2817720</v>
      </c>
      <c r="BC263">
        <v>688597</v>
      </c>
      <c r="BD263">
        <v>74524</v>
      </c>
      <c r="BE263">
        <v>26939480</v>
      </c>
      <c r="BF263">
        <v>0</v>
      </c>
      <c r="BG263">
        <v>0</v>
      </c>
      <c r="BH263">
        <v>3573030</v>
      </c>
      <c r="BI263">
        <v>2634877</v>
      </c>
      <c r="BJ263">
        <v>714789</v>
      </c>
      <c r="BK263">
        <v>11272647</v>
      </c>
      <c r="BL263">
        <v>5219744</v>
      </c>
      <c r="BM263">
        <v>32081</v>
      </c>
      <c r="BN263">
        <v>8764021</v>
      </c>
      <c r="BO263">
        <v>2068894</v>
      </c>
      <c r="BP263">
        <v>1054719</v>
      </c>
      <c r="BQ263">
        <v>1496936</v>
      </c>
      <c r="BR263">
        <v>1563854</v>
      </c>
      <c r="BS263">
        <v>25801549</v>
      </c>
      <c r="BT263">
        <v>2264581</v>
      </c>
      <c r="BU263">
        <v>3052327</v>
      </c>
      <c r="BV263">
        <v>915482</v>
      </c>
      <c r="BW263">
        <v>843313</v>
      </c>
      <c r="BX263">
        <v>22280</v>
      </c>
      <c r="BY263">
        <v>44298</v>
      </c>
      <c r="BZ263">
        <v>20162064</v>
      </c>
      <c r="CA263">
        <v>67913</v>
      </c>
    </row>
    <row r="264" spans="1:79" x14ac:dyDescent="0.3">
      <c r="A264" s="155">
        <v>9007</v>
      </c>
      <c r="B264" t="s">
        <v>1527</v>
      </c>
      <c r="C264" t="s">
        <v>964</v>
      </c>
      <c r="D264">
        <v>0.17929999999999999</v>
      </c>
      <c r="E264">
        <v>1.3079000000000001</v>
      </c>
      <c r="F264">
        <v>1.7293000000000001</v>
      </c>
      <c r="G264">
        <v>0.52569999999999995</v>
      </c>
      <c r="H264">
        <v>0.51680000000000004</v>
      </c>
      <c r="I264">
        <v>1.3505</v>
      </c>
      <c r="J264">
        <v>1.6367</v>
      </c>
      <c r="K264">
        <v>0.52680000000000005</v>
      </c>
      <c r="L264">
        <v>0.81940000000000002</v>
      </c>
      <c r="M264">
        <v>2.2374999999999998</v>
      </c>
      <c r="N264">
        <v>0.76100000000000001</v>
      </c>
      <c r="O264">
        <v>0</v>
      </c>
      <c r="P264">
        <v>0.57540000000000002</v>
      </c>
      <c r="Q264">
        <v>1.0645</v>
      </c>
      <c r="R264">
        <v>0.42</v>
      </c>
      <c r="S264">
        <v>0.57809999999999995</v>
      </c>
      <c r="T264">
        <v>1.736</v>
      </c>
      <c r="U264">
        <v>0.46429999999999999</v>
      </c>
      <c r="V264">
        <v>4.1904000000000003</v>
      </c>
      <c r="W264">
        <v>0.96960000000000002</v>
      </c>
      <c r="X264">
        <v>0.39269999999999999</v>
      </c>
      <c r="Y264">
        <v>0.91490000000000005</v>
      </c>
      <c r="Z264">
        <v>1.2453000000000001</v>
      </c>
      <c r="AA264">
        <v>0.44450000000000001</v>
      </c>
      <c r="AB264">
        <v>1.0276000000000001</v>
      </c>
      <c r="AC264">
        <v>0.93479999999999996</v>
      </c>
      <c r="AD264">
        <v>1.2438</v>
      </c>
      <c r="AE264">
        <v>0.43490000000000001</v>
      </c>
      <c r="AF264">
        <v>0.70840000000000003</v>
      </c>
      <c r="AG264">
        <v>1.2753000000000001</v>
      </c>
      <c r="AH264">
        <v>1.5028999999999999</v>
      </c>
      <c r="AI264">
        <v>0.55500000000000005</v>
      </c>
      <c r="AJ264">
        <v>0.29420000000000002</v>
      </c>
      <c r="AK264">
        <v>0.78900000000000003</v>
      </c>
      <c r="AL264">
        <v>4.5174000000000003</v>
      </c>
      <c r="AM264">
        <v>0.36990000000000001</v>
      </c>
      <c r="AN264">
        <v>0.79930000000000001</v>
      </c>
      <c r="AO264">
        <v>0</v>
      </c>
      <c r="AP264">
        <v>1.5502</v>
      </c>
      <c r="AQ264">
        <v>0.28139999999999998</v>
      </c>
      <c r="AR264">
        <v>0.59570000000000001</v>
      </c>
      <c r="AS264">
        <v>0.76359999999999995</v>
      </c>
      <c r="AT264">
        <v>0.34379999999999999</v>
      </c>
      <c r="AU264">
        <v>0.3947</v>
      </c>
      <c r="AV264">
        <v>1.9120999999999999</v>
      </c>
      <c r="AW264">
        <v>0</v>
      </c>
      <c r="AX264">
        <v>0.71889999999999998</v>
      </c>
      <c r="AY264">
        <v>0.70450000000000002</v>
      </c>
      <c r="AZ264">
        <v>0.25169999999999998</v>
      </c>
      <c r="BA264">
        <v>3.1324000000000001</v>
      </c>
      <c r="BB264">
        <v>0.74780000000000002</v>
      </c>
      <c r="BC264">
        <v>1.4061999999999999</v>
      </c>
      <c r="BD264">
        <v>5.3426999999999998</v>
      </c>
      <c r="BE264">
        <v>0.19070000000000001</v>
      </c>
      <c r="BF264">
        <v>0</v>
      </c>
      <c r="BG264">
        <v>0</v>
      </c>
      <c r="BH264">
        <v>0.89239999999999997</v>
      </c>
      <c r="BI264">
        <v>1.6668000000000001</v>
      </c>
      <c r="BJ264">
        <v>0.51619999999999999</v>
      </c>
      <c r="BK264">
        <v>0.38990000000000002</v>
      </c>
      <c r="BL264">
        <v>1.3311999999999999</v>
      </c>
      <c r="BM264">
        <v>5.5130999999999997</v>
      </c>
      <c r="BN264">
        <v>0.44259999999999999</v>
      </c>
      <c r="BO264">
        <v>2.3605999999999998</v>
      </c>
      <c r="BP264">
        <v>1.4810000000000001</v>
      </c>
      <c r="BQ264">
        <v>1.3880999999999999</v>
      </c>
      <c r="BR264">
        <v>1.629</v>
      </c>
      <c r="BS264">
        <v>0.64970000000000006</v>
      </c>
      <c r="BT264">
        <v>0.99280000000000002</v>
      </c>
      <c r="BU264">
        <v>0.70179999999999998</v>
      </c>
      <c r="BV264">
        <v>0.94979999999999998</v>
      </c>
      <c r="BW264">
        <v>1.3068</v>
      </c>
      <c r="BX264">
        <v>9.4454999999999991</v>
      </c>
      <c r="BY264">
        <v>4.2587999999999999</v>
      </c>
      <c r="BZ264">
        <v>0.8236</v>
      </c>
      <c r="CA264">
        <v>1.2795000000000001</v>
      </c>
    </row>
    <row r="265" spans="1:79" x14ac:dyDescent="0.3">
      <c r="A265" s="155">
        <v>9008</v>
      </c>
      <c r="B265" t="s">
        <v>965</v>
      </c>
      <c r="C265" t="s">
        <v>349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row>
    <row r="266" spans="1:79" x14ac:dyDescent="0.3">
      <c r="A266" s="155">
        <v>9010</v>
      </c>
      <c r="B266" t="s">
        <v>966</v>
      </c>
      <c r="C266" t="s">
        <v>967</v>
      </c>
      <c r="D266">
        <v>0</v>
      </c>
      <c r="E266">
        <v>0</v>
      </c>
      <c r="F266">
        <v>30.24</v>
      </c>
      <c r="G266">
        <v>3.78</v>
      </c>
      <c r="H266">
        <v>31.74</v>
      </c>
      <c r="I266">
        <v>7</v>
      </c>
      <c r="J266">
        <v>670.7</v>
      </c>
      <c r="K266">
        <v>3.3</v>
      </c>
      <c r="L266">
        <v>3.18</v>
      </c>
      <c r="M266">
        <v>0</v>
      </c>
      <c r="N266">
        <v>87.92</v>
      </c>
      <c r="O266">
        <v>0</v>
      </c>
      <c r="P266">
        <v>0</v>
      </c>
      <c r="Q266">
        <v>8.68</v>
      </c>
      <c r="R266">
        <v>9.25</v>
      </c>
      <c r="S266">
        <v>3.98</v>
      </c>
      <c r="T266">
        <v>0.55000000000000004</v>
      </c>
      <c r="U266">
        <v>6.05</v>
      </c>
      <c r="V266">
        <v>0</v>
      </c>
      <c r="W266">
        <v>0</v>
      </c>
      <c r="X266">
        <v>0</v>
      </c>
      <c r="Y266">
        <v>5.1100000000000003</v>
      </c>
      <c r="Z266">
        <v>26.41</v>
      </c>
      <c r="AA266">
        <v>2.3199999999999998</v>
      </c>
      <c r="AB266">
        <v>0</v>
      </c>
      <c r="AC266">
        <v>3.54</v>
      </c>
      <c r="AD266">
        <v>12.61</v>
      </c>
      <c r="AE266">
        <v>8.8699999999999992</v>
      </c>
      <c r="AF266">
        <v>6.83</v>
      </c>
      <c r="AG266">
        <v>0</v>
      </c>
      <c r="AH266">
        <v>0</v>
      </c>
      <c r="AI266">
        <v>0</v>
      </c>
      <c r="AJ266">
        <v>2.67</v>
      </c>
      <c r="AK266">
        <v>2.98</v>
      </c>
      <c r="AL266">
        <v>0</v>
      </c>
      <c r="AM266">
        <v>0</v>
      </c>
      <c r="AN266">
        <v>6.4</v>
      </c>
      <c r="AO266">
        <v>0</v>
      </c>
      <c r="AP266">
        <v>0</v>
      </c>
      <c r="AQ266">
        <v>7.16</v>
      </c>
      <c r="AR266">
        <v>7.63</v>
      </c>
      <c r="AS266">
        <v>12.56</v>
      </c>
      <c r="AT266">
        <v>16.73</v>
      </c>
      <c r="AU266">
        <v>6.67</v>
      </c>
      <c r="AV266">
        <v>39.18</v>
      </c>
      <c r="AW266">
        <v>0</v>
      </c>
      <c r="AX266">
        <v>42.44</v>
      </c>
      <c r="AY266">
        <v>15.86</v>
      </c>
      <c r="AZ266">
        <v>5.12</v>
      </c>
      <c r="BA266">
        <v>0.14000000000000001</v>
      </c>
      <c r="BB266">
        <v>4.82</v>
      </c>
      <c r="BC266">
        <v>1.24</v>
      </c>
      <c r="BD266">
        <v>0</v>
      </c>
      <c r="BE266">
        <v>2.38</v>
      </c>
      <c r="BF266">
        <v>0</v>
      </c>
      <c r="BG266">
        <v>0</v>
      </c>
      <c r="BH266">
        <v>2.5</v>
      </c>
      <c r="BI266">
        <v>13.84</v>
      </c>
      <c r="BJ266">
        <v>1.57</v>
      </c>
      <c r="BK266">
        <v>35.450000000000003</v>
      </c>
      <c r="BL266">
        <v>17.100000000000001</v>
      </c>
      <c r="BM266">
        <v>0</v>
      </c>
      <c r="BN266">
        <v>8.36</v>
      </c>
      <c r="BO266">
        <v>81.790000000000006</v>
      </c>
      <c r="BP266">
        <v>40.56</v>
      </c>
      <c r="BQ266">
        <v>13.97</v>
      </c>
      <c r="BR266">
        <v>0</v>
      </c>
      <c r="BS266">
        <v>0</v>
      </c>
      <c r="BT266">
        <v>9.01</v>
      </c>
      <c r="BU266">
        <v>7.52</v>
      </c>
      <c r="BV266">
        <v>8.15</v>
      </c>
      <c r="BW266">
        <v>13.95</v>
      </c>
      <c r="BX266">
        <v>0</v>
      </c>
      <c r="BY266">
        <v>0</v>
      </c>
      <c r="BZ266">
        <v>2.98</v>
      </c>
      <c r="CA266">
        <v>0</v>
      </c>
    </row>
    <row r="267" spans="1:79" x14ac:dyDescent="0.3">
      <c r="A267" s="155">
        <v>9011</v>
      </c>
      <c r="B267" t="s">
        <v>1657</v>
      </c>
      <c r="C267" t="s">
        <v>968</v>
      </c>
      <c r="D267">
        <v>0</v>
      </c>
      <c r="E267">
        <v>0</v>
      </c>
      <c r="F267">
        <v>38074</v>
      </c>
      <c r="G267">
        <v>5910529</v>
      </c>
      <c r="H267">
        <v>1293140</v>
      </c>
      <c r="I267">
        <v>151006</v>
      </c>
      <c r="J267">
        <v>123043</v>
      </c>
      <c r="K267">
        <v>123059</v>
      </c>
      <c r="L267">
        <v>3562892</v>
      </c>
      <c r="M267">
        <v>0</v>
      </c>
      <c r="N267">
        <v>-36140</v>
      </c>
      <c r="O267">
        <v>0</v>
      </c>
      <c r="P267">
        <v>0</v>
      </c>
      <c r="Q267">
        <v>2615060</v>
      </c>
      <c r="R267">
        <v>720984</v>
      </c>
      <c r="S267">
        <v>407660</v>
      </c>
      <c r="T267">
        <v>5489</v>
      </c>
      <c r="U267">
        <v>4826212</v>
      </c>
      <c r="V267">
        <v>0</v>
      </c>
      <c r="W267">
        <v>0</v>
      </c>
      <c r="X267">
        <v>-144421</v>
      </c>
      <c r="Y267">
        <v>399283</v>
      </c>
      <c r="Z267">
        <v>325035</v>
      </c>
      <c r="AA267">
        <v>206378</v>
      </c>
      <c r="AB267">
        <v>0</v>
      </c>
      <c r="AC267">
        <v>24036</v>
      </c>
      <c r="AD267">
        <v>470682</v>
      </c>
      <c r="AE267">
        <v>536175</v>
      </c>
      <c r="AF267">
        <v>-4736</v>
      </c>
      <c r="AG267">
        <v>0</v>
      </c>
      <c r="AH267">
        <v>0</v>
      </c>
      <c r="AI267">
        <v>-1497</v>
      </c>
      <c r="AJ267">
        <v>264238</v>
      </c>
      <c r="AK267">
        <v>-89213</v>
      </c>
      <c r="AL267">
        <v>0</v>
      </c>
      <c r="AM267">
        <v>0</v>
      </c>
      <c r="AN267">
        <v>1471646</v>
      </c>
      <c r="AO267">
        <v>0</v>
      </c>
      <c r="AP267">
        <v>0</v>
      </c>
      <c r="AQ267">
        <v>1265290</v>
      </c>
      <c r="AR267">
        <v>-156147</v>
      </c>
      <c r="AS267">
        <v>-32888</v>
      </c>
      <c r="AT267">
        <v>287385</v>
      </c>
      <c r="AU267">
        <v>3165302</v>
      </c>
      <c r="AV267">
        <v>124332</v>
      </c>
      <c r="AW267">
        <v>0</v>
      </c>
      <c r="AX267">
        <v>1567022</v>
      </c>
      <c r="AY267">
        <v>179568</v>
      </c>
      <c r="AZ267">
        <v>384829</v>
      </c>
      <c r="BA267">
        <v>-6335</v>
      </c>
      <c r="BB267">
        <v>162197</v>
      </c>
      <c r="BC267">
        <v>-35075</v>
      </c>
      <c r="BD267">
        <v>0</v>
      </c>
      <c r="BE267">
        <v>2090715</v>
      </c>
      <c r="BF267">
        <v>0</v>
      </c>
      <c r="BG267">
        <v>0</v>
      </c>
      <c r="BH267">
        <v>-245725</v>
      </c>
      <c r="BI267">
        <v>316590</v>
      </c>
      <c r="BJ267">
        <v>8876</v>
      </c>
      <c r="BK267">
        <v>-19139</v>
      </c>
      <c r="BL267">
        <v>292636</v>
      </c>
      <c r="BM267">
        <v>0</v>
      </c>
      <c r="BN267">
        <v>239842</v>
      </c>
      <c r="BO267">
        <v>330853</v>
      </c>
      <c r="BP267">
        <v>253331</v>
      </c>
      <c r="BQ267">
        <v>265911</v>
      </c>
      <c r="BR267">
        <v>0</v>
      </c>
      <c r="BS267">
        <v>0</v>
      </c>
      <c r="BT267">
        <v>-54972</v>
      </c>
      <c r="BU267">
        <v>1214313</v>
      </c>
      <c r="BV267">
        <v>27997</v>
      </c>
      <c r="BW267">
        <v>249518</v>
      </c>
      <c r="BX267">
        <v>0</v>
      </c>
      <c r="BY267">
        <v>0</v>
      </c>
      <c r="BZ267">
        <v>270376</v>
      </c>
      <c r="CA267">
        <v>0</v>
      </c>
    </row>
    <row r="268" spans="1:79" x14ac:dyDescent="0.3">
      <c r="A268" s="155">
        <v>9012</v>
      </c>
      <c r="B268" t="s">
        <v>1658</v>
      </c>
      <c r="C268" t="s">
        <v>968</v>
      </c>
      <c r="D268">
        <v>0</v>
      </c>
      <c r="E268">
        <v>0</v>
      </c>
      <c r="F268">
        <v>1.0182</v>
      </c>
      <c r="G268">
        <v>2.8285</v>
      </c>
      <c r="H268">
        <v>3.5255999999999998</v>
      </c>
      <c r="I268">
        <v>1.2030000000000001</v>
      </c>
      <c r="J268">
        <v>8.7835999999999999</v>
      </c>
      <c r="K268">
        <v>0.88990000000000002</v>
      </c>
      <c r="L268">
        <v>0.7198</v>
      </c>
      <c r="M268">
        <v>0</v>
      </c>
      <c r="N268">
        <v>2.7012</v>
      </c>
      <c r="O268">
        <v>0</v>
      </c>
      <c r="P268">
        <v>0</v>
      </c>
      <c r="Q268">
        <v>2.3620000000000001</v>
      </c>
      <c r="R268">
        <v>1.2111000000000001</v>
      </c>
      <c r="S268">
        <v>1.1019000000000001</v>
      </c>
      <c r="T268">
        <v>0.1221</v>
      </c>
      <c r="U268">
        <v>0.90180000000000005</v>
      </c>
      <c r="V268">
        <v>0</v>
      </c>
      <c r="W268">
        <v>0</v>
      </c>
      <c r="X268">
        <v>0</v>
      </c>
      <c r="Y268">
        <v>1.6279999999999999</v>
      </c>
      <c r="Z268">
        <v>0.95009999999999994</v>
      </c>
      <c r="AA268">
        <v>0.74609999999999999</v>
      </c>
      <c r="AB268">
        <v>0</v>
      </c>
      <c r="AC268">
        <v>0.7712</v>
      </c>
      <c r="AD268">
        <v>3.4020999999999999</v>
      </c>
      <c r="AE268">
        <v>1.2495000000000001</v>
      </c>
      <c r="AF268">
        <v>0.74429999999999996</v>
      </c>
      <c r="AG268">
        <v>0</v>
      </c>
      <c r="AH268">
        <v>0</v>
      </c>
      <c r="AI268">
        <v>0</v>
      </c>
      <c r="AJ268">
        <v>0.42659999999999998</v>
      </c>
      <c r="AK268">
        <v>0.37409999999999999</v>
      </c>
      <c r="AL268">
        <v>0</v>
      </c>
      <c r="AM268">
        <v>0</v>
      </c>
      <c r="AN268">
        <v>1.3297000000000001</v>
      </c>
      <c r="AO268">
        <v>0</v>
      </c>
      <c r="AP268">
        <v>0</v>
      </c>
      <c r="AQ268">
        <v>0.51400000000000001</v>
      </c>
      <c r="AR268">
        <v>0.77390000000000003</v>
      </c>
      <c r="AS268">
        <v>0.72330000000000005</v>
      </c>
      <c r="AT268">
        <v>0.51019999999999999</v>
      </c>
      <c r="AU268">
        <v>1.5247999999999999</v>
      </c>
      <c r="AV268">
        <v>4.2145999999999999</v>
      </c>
      <c r="AW268">
        <v>0</v>
      </c>
      <c r="AX268">
        <v>0.87180000000000002</v>
      </c>
      <c r="AY268">
        <v>0.65359999999999996</v>
      </c>
      <c r="AZ268">
        <v>0.56340000000000001</v>
      </c>
      <c r="BA268">
        <v>0.37769999999999998</v>
      </c>
      <c r="BB268">
        <v>0.28079999999999999</v>
      </c>
      <c r="BC268">
        <v>9.7299999999999998E-2</v>
      </c>
      <c r="BD268">
        <v>0</v>
      </c>
      <c r="BE268">
        <v>0.39879999999999999</v>
      </c>
      <c r="BF268">
        <v>0</v>
      </c>
      <c r="BG268">
        <v>0</v>
      </c>
      <c r="BH268">
        <v>0.3574</v>
      </c>
      <c r="BI268">
        <v>2.9363999999999999</v>
      </c>
      <c r="BJ268">
        <v>0</v>
      </c>
      <c r="BK268">
        <v>2.3778000000000001</v>
      </c>
      <c r="BL268">
        <v>2.2313000000000001</v>
      </c>
      <c r="BM268">
        <v>0</v>
      </c>
      <c r="BN268">
        <v>0.65310000000000001</v>
      </c>
      <c r="BO268">
        <v>4.5429000000000004</v>
      </c>
      <c r="BP268">
        <v>2.8515000000000001</v>
      </c>
      <c r="BQ268">
        <v>2.0036999999999998</v>
      </c>
      <c r="BR268">
        <v>0</v>
      </c>
      <c r="BS268">
        <v>0</v>
      </c>
      <c r="BT268">
        <v>1.31</v>
      </c>
      <c r="BU268">
        <v>1.0142</v>
      </c>
      <c r="BV268">
        <v>1.4779</v>
      </c>
      <c r="BW268">
        <v>2.5505</v>
      </c>
      <c r="BX268">
        <v>0</v>
      </c>
      <c r="BY268">
        <v>0</v>
      </c>
      <c r="BZ268">
        <v>1.0660000000000001</v>
      </c>
      <c r="CA268">
        <v>0</v>
      </c>
    </row>
    <row r="269" spans="1:79" x14ac:dyDescent="0.3">
      <c r="A269" s="155">
        <v>9013</v>
      </c>
      <c r="B269" t="s">
        <v>969</v>
      </c>
      <c r="C269" t="s">
        <v>970</v>
      </c>
      <c r="D269">
        <v>0</v>
      </c>
      <c r="E269">
        <v>0</v>
      </c>
      <c r="F269">
        <v>30.24</v>
      </c>
      <c r="G269">
        <v>3.78</v>
      </c>
      <c r="H269">
        <v>31.74</v>
      </c>
      <c r="I269">
        <v>7</v>
      </c>
      <c r="J269">
        <v>670.7</v>
      </c>
      <c r="K269">
        <v>3.3</v>
      </c>
      <c r="L269">
        <v>3.18</v>
      </c>
      <c r="M269">
        <v>0</v>
      </c>
      <c r="N269">
        <v>87.92</v>
      </c>
      <c r="O269">
        <v>0</v>
      </c>
      <c r="P269">
        <v>0</v>
      </c>
      <c r="Q269">
        <v>8.68</v>
      </c>
      <c r="R269">
        <v>9.25</v>
      </c>
      <c r="S269">
        <v>3.98</v>
      </c>
      <c r="T269">
        <v>0.55000000000000004</v>
      </c>
      <c r="U269">
        <v>6.05</v>
      </c>
      <c r="V269">
        <v>0</v>
      </c>
      <c r="W269">
        <v>0</v>
      </c>
      <c r="X269">
        <v>0</v>
      </c>
      <c r="Y269">
        <v>5.1100000000000003</v>
      </c>
      <c r="Z269">
        <v>26.41</v>
      </c>
      <c r="AA269">
        <v>2.3199999999999998</v>
      </c>
      <c r="AB269">
        <v>0</v>
      </c>
      <c r="AC269">
        <v>3.54</v>
      </c>
      <c r="AD269">
        <v>12.61</v>
      </c>
      <c r="AE269">
        <v>8.8699999999999992</v>
      </c>
      <c r="AF269">
        <v>6.83</v>
      </c>
      <c r="AG269">
        <v>0</v>
      </c>
      <c r="AH269">
        <v>0</v>
      </c>
      <c r="AI269">
        <v>0</v>
      </c>
      <c r="AJ269">
        <v>2.67</v>
      </c>
      <c r="AK269">
        <v>2.98</v>
      </c>
      <c r="AL269">
        <v>0</v>
      </c>
      <c r="AM269">
        <v>0</v>
      </c>
      <c r="AN269">
        <v>6.4</v>
      </c>
      <c r="AO269">
        <v>0</v>
      </c>
      <c r="AP269">
        <v>0</v>
      </c>
      <c r="AQ269">
        <v>7.16</v>
      </c>
      <c r="AR269">
        <v>7.63</v>
      </c>
      <c r="AS269">
        <v>12.56</v>
      </c>
      <c r="AT269">
        <v>16.73</v>
      </c>
      <c r="AU269">
        <v>6.67</v>
      </c>
      <c r="AV269">
        <v>39.18</v>
      </c>
      <c r="AW269">
        <v>0</v>
      </c>
      <c r="AX269">
        <v>42.44</v>
      </c>
      <c r="AY269">
        <v>15.86</v>
      </c>
      <c r="AZ269">
        <v>5.12</v>
      </c>
      <c r="BA269">
        <v>0.14000000000000001</v>
      </c>
      <c r="BB269">
        <v>4.82</v>
      </c>
      <c r="BC269">
        <v>1.24</v>
      </c>
      <c r="BD269">
        <v>0</v>
      </c>
      <c r="BE269">
        <v>2.38</v>
      </c>
      <c r="BF269">
        <v>0</v>
      </c>
      <c r="BG269">
        <v>0</v>
      </c>
      <c r="BH269">
        <v>2.5</v>
      </c>
      <c r="BI269">
        <v>13.84</v>
      </c>
      <c r="BJ269">
        <v>1.57</v>
      </c>
      <c r="BK269">
        <v>35.450000000000003</v>
      </c>
      <c r="BL269">
        <v>17.100000000000001</v>
      </c>
      <c r="BM269">
        <v>0</v>
      </c>
      <c r="BN269">
        <v>8.36</v>
      </c>
      <c r="BO269">
        <v>81.790000000000006</v>
      </c>
      <c r="BP269">
        <v>40.56</v>
      </c>
      <c r="BQ269">
        <v>13.97</v>
      </c>
      <c r="BR269">
        <v>0</v>
      </c>
      <c r="BS269">
        <v>0</v>
      </c>
      <c r="BT269">
        <v>9.01</v>
      </c>
      <c r="BU269">
        <v>7.52</v>
      </c>
      <c r="BV269">
        <v>8.15</v>
      </c>
      <c r="BW269">
        <v>13.95</v>
      </c>
      <c r="BX269">
        <v>0</v>
      </c>
      <c r="BY269">
        <v>0</v>
      </c>
      <c r="BZ269">
        <v>2.98</v>
      </c>
      <c r="CA269">
        <v>0</v>
      </c>
    </row>
    <row r="270" spans="1:79" x14ac:dyDescent="0.3">
      <c r="A270" s="155">
        <v>9014</v>
      </c>
      <c r="B270" t="s">
        <v>971</v>
      </c>
      <c r="C270" t="s">
        <v>972</v>
      </c>
      <c r="D270">
        <v>0</v>
      </c>
      <c r="E270">
        <v>0</v>
      </c>
      <c r="F270">
        <v>0</v>
      </c>
      <c r="G270">
        <v>0</v>
      </c>
      <c r="H270">
        <v>0</v>
      </c>
      <c r="I270">
        <v>0</v>
      </c>
      <c r="J270">
        <v>0</v>
      </c>
      <c r="K270">
        <v>0</v>
      </c>
      <c r="L270">
        <v>0</v>
      </c>
      <c r="M270">
        <v>0</v>
      </c>
      <c r="N270">
        <v>0</v>
      </c>
      <c r="O270">
        <v>0</v>
      </c>
      <c r="P270">
        <v>0</v>
      </c>
      <c r="Q270">
        <v>0</v>
      </c>
      <c r="R270">
        <v>0</v>
      </c>
      <c r="S270">
        <v>2.74</v>
      </c>
      <c r="T270">
        <v>0</v>
      </c>
      <c r="U270">
        <v>22.21</v>
      </c>
      <c r="V270">
        <v>0</v>
      </c>
      <c r="W270">
        <v>0</v>
      </c>
      <c r="X270">
        <v>0</v>
      </c>
      <c r="Y270">
        <v>0</v>
      </c>
      <c r="Z270">
        <v>1.41</v>
      </c>
      <c r="AA270">
        <v>0</v>
      </c>
      <c r="AB270">
        <v>0</v>
      </c>
      <c r="AC270">
        <v>0</v>
      </c>
      <c r="AD270">
        <v>0</v>
      </c>
      <c r="AE270">
        <v>6.15</v>
      </c>
      <c r="AF270">
        <v>0</v>
      </c>
      <c r="AG270">
        <v>0</v>
      </c>
      <c r="AH270">
        <v>0</v>
      </c>
      <c r="AI270">
        <v>0</v>
      </c>
      <c r="AJ270">
        <v>1.96</v>
      </c>
      <c r="AK270">
        <v>0</v>
      </c>
      <c r="AL270">
        <v>0</v>
      </c>
      <c r="AM270">
        <v>0</v>
      </c>
      <c r="AN270">
        <v>0</v>
      </c>
      <c r="AO270">
        <v>0</v>
      </c>
      <c r="AP270">
        <v>0</v>
      </c>
      <c r="AQ270">
        <v>4.5599999999999996</v>
      </c>
      <c r="AR270">
        <v>0</v>
      </c>
      <c r="AS270">
        <v>0</v>
      </c>
      <c r="AT270">
        <v>0</v>
      </c>
      <c r="AU270">
        <v>5.1100000000000003</v>
      </c>
      <c r="AV270">
        <v>0</v>
      </c>
      <c r="AW270">
        <v>0</v>
      </c>
      <c r="AX270">
        <v>0</v>
      </c>
      <c r="AY270">
        <v>0</v>
      </c>
      <c r="AZ270">
        <v>2.5299999999999998</v>
      </c>
      <c r="BA270">
        <v>0</v>
      </c>
      <c r="BB270">
        <v>0</v>
      </c>
      <c r="BC270">
        <v>38.89</v>
      </c>
      <c r="BD270">
        <v>0</v>
      </c>
      <c r="BE270">
        <v>5.43</v>
      </c>
      <c r="BF270">
        <v>0</v>
      </c>
      <c r="BG270">
        <v>0</v>
      </c>
      <c r="BH270">
        <v>0</v>
      </c>
      <c r="BI270">
        <v>0</v>
      </c>
      <c r="BJ270">
        <v>0</v>
      </c>
      <c r="BK270">
        <v>166.87</v>
      </c>
      <c r="BL270">
        <v>0</v>
      </c>
      <c r="BM270">
        <v>0</v>
      </c>
      <c r="BN270">
        <v>0</v>
      </c>
      <c r="BO270">
        <v>0</v>
      </c>
      <c r="BP270">
        <v>0</v>
      </c>
      <c r="BQ270">
        <v>0</v>
      </c>
      <c r="BR270">
        <v>0</v>
      </c>
      <c r="BS270">
        <v>0</v>
      </c>
      <c r="BT270">
        <v>0</v>
      </c>
      <c r="BU270">
        <v>0</v>
      </c>
      <c r="BV270">
        <v>0</v>
      </c>
      <c r="BW270">
        <v>0</v>
      </c>
      <c r="BX270">
        <v>0</v>
      </c>
      <c r="BY270">
        <v>0</v>
      </c>
      <c r="BZ270">
        <v>0</v>
      </c>
      <c r="CA270">
        <v>0</v>
      </c>
    </row>
    <row r="271" spans="1:79" x14ac:dyDescent="0.3">
      <c r="A271" s="155">
        <v>9015</v>
      </c>
      <c r="B271" t="s">
        <v>1659</v>
      </c>
      <c r="C271" t="s">
        <v>349</v>
      </c>
      <c r="D271">
        <v>0</v>
      </c>
      <c r="E271">
        <v>0</v>
      </c>
      <c r="F271">
        <v>0</v>
      </c>
      <c r="G271">
        <v>0</v>
      </c>
      <c r="H271">
        <v>0</v>
      </c>
      <c r="I271">
        <v>0</v>
      </c>
      <c r="J271">
        <v>0</v>
      </c>
      <c r="K271">
        <v>0</v>
      </c>
      <c r="L271">
        <v>0</v>
      </c>
      <c r="M271">
        <v>0</v>
      </c>
      <c r="N271">
        <v>0</v>
      </c>
      <c r="O271">
        <v>0</v>
      </c>
      <c r="P271">
        <v>0</v>
      </c>
      <c r="Q271">
        <v>0</v>
      </c>
      <c r="R271">
        <v>0</v>
      </c>
      <c r="S271">
        <v>331392</v>
      </c>
      <c r="T271">
        <v>0</v>
      </c>
      <c r="U271">
        <v>10024780</v>
      </c>
      <c r="V271">
        <v>0</v>
      </c>
      <c r="W271">
        <v>0</v>
      </c>
      <c r="X271">
        <v>0</v>
      </c>
      <c r="Y271">
        <v>0</v>
      </c>
      <c r="Z271">
        <v>48449</v>
      </c>
      <c r="AA271">
        <v>-86286</v>
      </c>
      <c r="AB271">
        <v>0</v>
      </c>
      <c r="AC271">
        <v>0</v>
      </c>
      <c r="AD271">
        <v>0</v>
      </c>
      <c r="AE271">
        <v>543419</v>
      </c>
      <c r="AF271">
        <v>0</v>
      </c>
      <c r="AG271">
        <v>0</v>
      </c>
      <c r="AH271">
        <v>0</v>
      </c>
      <c r="AI271">
        <v>0</v>
      </c>
      <c r="AJ271">
        <v>1227867</v>
      </c>
      <c r="AK271">
        <v>0</v>
      </c>
      <c r="AL271">
        <v>0</v>
      </c>
      <c r="AM271">
        <v>0</v>
      </c>
      <c r="AN271">
        <v>0</v>
      </c>
      <c r="AO271">
        <v>0</v>
      </c>
      <c r="AP271">
        <v>0</v>
      </c>
      <c r="AQ271">
        <v>2450477</v>
      </c>
      <c r="AR271">
        <v>0</v>
      </c>
      <c r="AS271">
        <v>0</v>
      </c>
      <c r="AT271">
        <v>0</v>
      </c>
      <c r="AU271">
        <v>243565</v>
      </c>
      <c r="AV271">
        <v>0</v>
      </c>
      <c r="AW271">
        <v>0</v>
      </c>
      <c r="AX271">
        <v>0</v>
      </c>
      <c r="AY271">
        <v>0</v>
      </c>
      <c r="AZ271">
        <v>167158</v>
      </c>
      <c r="BA271">
        <v>0</v>
      </c>
      <c r="BB271">
        <v>0</v>
      </c>
      <c r="BC271">
        <v>-232313</v>
      </c>
      <c r="BD271">
        <v>0</v>
      </c>
      <c r="BE271">
        <v>3575508</v>
      </c>
      <c r="BF271">
        <v>0</v>
      </c>
      <c r="BG271">
        <v>0</v>
      </c>
      <c r="BH271">
        <v>0</v>
      </c>
      <c r="BI271">
        <v>0</v>
      </c>
      <c r="BJ271">
        <v>0</v>
      </c>
      <c r="BK271">
        <v>-490314</v>
      </c>
      <c r="BL271">
        <v>0</v>
      </c>
      <c r="BM271">
        <v>0</v>
      </c>
      <c r="BN271">
        <v>0</v>
      </c>
      <c r="BO271">
        <v>0</v>
      </c>
      <c r="BP271">
        <v>0</v>
      </c>
      <c r="BQ271">
        <v>0</v>
      </c>
      <c r="BR271">
        <v>0</v>
      </c>
      <c r="BS271">
        <v>0</v>
      </c>
      <c r="BT271">
        <v>0</v>
      </c>
      <c r="BU271">
        <v>0</v>
      </c>
      <c r="BV271">
        <v>0</v>
      </c>
      <c r="BW271">
        <v>0</v>
      </c>
      <c r="BX271">
        <v>0</v>
      </c>
      <c r="BY271">
        <v>0</v>
      </c>
      <c r="BZ271">
        <v>0</v>
      </c>
      <c r="CA271">
        <v>0</v>
      </c>
    </row>
    <row r="272" spans="1:79" x14ac:dyDescent="0.3">
      <c r="A272" s="155">
        <v>9016</v>
      </c>
      <c r="B272" t="s">
        <v>1660</v>
      </c>
      <c r="C272" t="s">
        <v>349</v>
      </c>
      <c r="D272">
        <v>0</v>
      </c>
      <c r="E272">
        <v>0</v>
      </c>
      <c r="F272">
        <v>0</v>
      </c>
      <c r="G272">
        <v>0</v>
      </c>
      <c r="H272">
        <v>0</v>
      </c>
      <c r="I272">
        <v>0</v>
      </c>
      <c r="J272">
        <v>0</v>
      </c>
      <c r="K272">
        <v>0</v>
      </c>
      <c r="L272">
        <v>0</v>
      </c>
      <c r="M272">
        <v>0</v>
      </c>
      <c r="N272">
        <v>0</v>
      </c>
      <c r="O272">
        <v>0</v>
      </c>
      <c r="P272">
        <v>0</v>
      </c>
      <c r="Q272">
        <v>0</v>
      </c>
      <c r="R272">
        <v>0</v>
      </c>
      <c r="S272">
        <v>0.20660000000000001</v>
      </c>
      <c r="T272">
        <v>0</v>
      </c>
      <c r="U272">
        <v>0.93259999999999998</v>
      </c>
      <c r="V272">
        <v>0</v>
      </c>
      <c r="W272">
        <v>0</v>
      </c>
      <c r="X272">
        <v>0</v>
      </c>
      <c r="Y272">
        <v>0</v>
      </c>
      <c r="Z272">
        <v>0.2089</v>
      </c>
      <c r="AA272">
        <v>0</v>
      </c>
      <c r="AB272">
        <v>0</v>
      </c>
      <c r="AC272">
        <v>0</v>
      </c>
      <c r="AD272">
        <v>0</v>
      </c>
      <c r="AE272">
        <v>0.34289999999999998</v>
      </c>
      <c r="AF272">
        <v>0</v>
      </c>
      <c r="AG272">
        <v>0</v>
      </c>
      <c r="AH272">
        <v>0</v>
      </c>
      <c r="AI272">
        <v>0</v>
      </c>
      <c r="AJ272">
        <v>0.13070000000000001</v>
      </c>
      <c r="AK272">
        <v>0</v>
      </c>
      <c r="AL272">
        <v>0</v>
      </c>
      <c r="AM272">
        <v>0</v>
      </c>
      <c r="AN272">
        <v>0</v>
      </c>
      <c r="AO272">
        <v>0</v>
      </c>
      <c r="AP272">
        <v>0</v>
      </c>
      <c r="AQ272">
        <v>0.34799999999999998</v>
      </c>
      <c r="AR272">
        <v>0</v>
      </c>
      <c r="AS272">
        <v>0</v>
      </c>
      <c r="AT272">
        <v>0</v>
      </c>
      <c r="AU272">
        <v>0.66590000000000005</v>
      </c>
      <c r="AV272">
        <v>0</v>
      </c>
      <c r="AW272">
        <v>0</v>
      </c>
      <c r="AX272">
        <v>0</v>
      </c>
      <c r="AY272">
        <v>0</v>
      </c>
      <c r="AZ272">
        <v>0.1522</v>
      </c>
      <c r="BA272">
        <v>0</v>
      </c>
      <c r="BB272">
        <v>0</v>
      </c>
      <c r="BC272">
        <v>3.2040999999999999</v>
      </c>
      <c r="BD272">
        <v>0</v>
      </c>
      <c r="BE272">
        <v>9.2399999999999996E-2</v>
      </c>
      <c r="BF272">
        <v>0</v>
      </c>
      <c r="BG272">
        <v>0</v>
      </c>
      <c r="BH272">
        <v>0</v>
      </c>
      <c r="BI272">
        <v>0</v>
      </c>
      <c r="BJ272">
        <v>0</v>
      </c>
      <c r="BK272">
        <v>0.39629999999999999</v>
      </c>
      <c r="BL272">
        <v>0</v>
      </c>
      <c r="BM272">
        <v>0</v>
      </c>
      <c r="BN272">
        <v>0</v>
      </c>
      <c r="BO272">
        <v>0</v>
      </c>
      <c r="BP272">
        <v>0</v>
      </c>
      <c r="BQ272">
        <v>0</v>
      </c>
      <c r="BR272">
        <v>0</v>
      </c>
      <c r="BS272">
        <v>0</v>
      </c>
      <c r="BT272">
        <v>0</v>
      </c>
      <c r="BU272">
        <v>0</v>
      </c>
      <c r="BV272">
        <v>0</v>
      </c>
      <c r="BW272">
        <v>0</v>
      </c>
      <c r="BX272">
        <v>0</v>
      </c>
      <c r="BY272">
        <v>0</v>
      </c>
      <c r="BZ272">
        <v>0</v>
      </c>
      <c r="CA272">
        <v>0</v>
      </c>
    </row>
    <row r="273" spans="1:79" x14ac:dyDescent="0.3">
      <c r="A273" s="155">
        <v>9017</v>
      </c>
      <c r="B273" t="s">
        <v>973</v>
      </c>
      <c r="C273" t="s">
        <v>974</v>
      </c>
      <c r="D273">
        <v>0</v>
      </c>
      <c r="E273">
        <v>0</v>
      </c>
      <c r="F273">
        <v>0</v>
      </c>
      <c r="G273">
        <v>0</v>
      </c>
      <c r="H273">
        <v>0</v>
      </c>
      <c r="I273">
        <v>0</v>
      </c>
      <c r="J273">
        <v>0</v>
      </c>
      <c r="K273">
        <v>0</v>
      </c>
      <c r="L273">
        <v>0</v>
      </c>
      <c r="M273">
        <v>0</v>
      </c>
      <c r="N273">
        <v>0</v>
      </c>
      <c r="O273">
        <v>0</v>
      </c>
      <c r="P273">
        <v>0</v>
      </c>
      <c r="Q273">
        <v>0</v>
      </c>
      <c r="R273">
        <v>0</v>
      </c>
      <c r="S273">
        <v>2.74</v>
      </c>
      <c r="T273">
        <v>0</v>
      </c>
      <c r="U273">
        <v>22.21</v>
      </c>
      <c r="V273">
        <v>0</v>
      </c>
      <c r="W273">
        <v>0</v>
      </c>
      <c r="X273">
        <v>0</v>
      </c>
      <c r="Y273">
        <v>0</v>
      </c>
      <c r="Z273">
        <v>1.41</v>
      </c>
      <c r="AA273">
        <v>0</v>
      </c>
      <c r="AB273">
        <v>0</v>
      </c>
      <c r="AC273">
        <v>0</v>
      </c>
      <c r="AD273">
        <v>0</v>
      </c>
      <c r="AE273">
        <v>6.15</v>
      </c>
      <c r="AF273">
        <v>0</v>
      </c>
      <c r="AG273">
        <v>0</v>
      </c>
      <c r="AH273">
        <v>0</v>
      </c>
      <c r="AI273">
        <v>0</v>
      </c>
      <c r="AJ273">
        <v>1.96</v>
      </c>
      <c r="AK273">
        <v>0</v>
      </c>
      <c r="AL273">
        <v>0</v>
      </c>
      <c r="AM273">
        <v>0</v>
      </c>
      <c r="AN273">
        <v>0</v>
      </c>
      <c r="AO273">
        <v>0</v>
      </c>
      <c r="AP273">
        <v>0</v>
      </c>
      <c r="AQ273">
        <v>4.5599999999999996</v>
      </c>
      <c r="AR273">
        <v>0</v>
      </c>
      <c r="AS273">
        <v>0</v>
      </c>
      <c r="AT273">
        <v>0</v>
      </c>
      <c r="AU273">
        <v>5.1100000000000003</v>
      </c>
      <c r="AV273">
        <v>0</v>
      </c>
      <c r="AW273">
        <v>0</v>
      </c>
      <c r="AX273">
        <v>0</v>
      </c>
      <c r="AY273">
        <v>0</v>
      </c>
      <c r="AZ273">
        <v>2.5299999999999998</v>
      </c>
      <c r="BA273">
        <v>0</v>
      </c>
      <c r="BB273">
        <v>0</v>
      </c>
      <c r="BC273">
        <v>38.89</v>
      </c>
      <c r="BD273">
        <v>0</v>
      </c>
      <c r="BE273">
        <v>5.43</v>
      </c>
      <c r="BF273">
        <v>0</v>
      </c>
      <c r="BG273">
        <v>0</v>
      </c>
      <c r="BH273">
        <v>0</v>
      </c>
      <c r="BI273">
        <v>0</v>
      </c>
      <c r="BJ273">
        <v>0</v>
      </c>
      <c r="BK273">
        <v>166.87</v>
      </c>
      <c r="BL273">
        <v>0</v>
      </c>
      <c r="BM273">
        <v>0</v>
      </c>
      <c r="BN273">
        <v>0</v>
      </c>
      <c r="BO273">
        <v>0</v>
      </c>
      <c r="BP273">
        <v>0</v>
      </c>
      <c r="BQ273">
        <v>0</v>
      </c>
      <c r="BR273">
        <v>0</v>
      </c>
      <c r="BS273">
        <v>0</v>
      </c>
      <c r="BT273">
        <v>0</v>
      </c>
      <c r="BU273">
        <v>0</v>
      </c>
      <c r="BV273">
        <v>0</v>
      </c>
      <c r="BW273">
        <v>0</v>
      </c>
      <c r="BX273">
        <v>0</v>
      </c>
      <c r="BY273">
        <v>0</v>
      </c>
      <c r="BZ273">
        <v>0</v>
      </c>
      <c r="CA273">
        <v>0</v>
      </c>
    </row>
    <row r="274" spans="1:79" x14ac:dyDescent="0.3">
      <c r="A274" s="155">
        <v>9018</v>
      </c>
      <c r="B274" t="s">
        <v>975</v>
      </c>
      <c r="C274" t="s">
        <v>976</v>
      </c>
      <c r="D274">
        <v>113665</v>
      </c>
      <c r="E274">
        <v>2921807</v>
      </c>
      <c r="F274" s="574">
        <v>105858</v>
      </c>
      <c r="G274">
        <v>7257802</v>
      </c>
      <c r="H274">
        <v>581047</v>
      </c>
      <c r="I274">
        <v>15890</v>
      </c>
      <c r="J274">
        <v>15585</v>
      </c>
      <c r="K274">
        <v>485347</v>
      </c>
      <c r="L274">
        <v>16335164</v>
      </c>
      <c r="M274">
        <v>22661</v>
      </c>
      <c r="N274">
        <v>51252</v>
      </c>
      <c r="O274">
        <v>0</v>
      </c>
      <c r="P274">
        <v>5900525</v>
      </c>
      <c r="Q274">
        <v>5781008</v>
      </c>
      <c r="R274">
        <v>1237733</v>
      </c>
      <c r="S274">
        <v>2574535</v>
      </c>
      <c r="T274">
        <v>8350</v>
      </c>
      <c r="U274">
        <v>3362554</v>
      </c>
      <c r="V274">
        <v>2859</v>
      </c>
      <c r="W274">
        <v>1609502</v>
      </c>
      <c r="X274">
        <v>3090626</v>
      </c>
      <c r="Y274">
        <v>1062770</v>
      </c>
      <c r="Z274">
        <v>482570</v>
      </c>
      <c r="AA274">
        <v>17216551</v>
      </c>
      <c r="AB274">
        <v>540012</v>
      </c>
      <c r="AC274">
        <v>4905</v>
      </c>
      <c r="AD274">
        <v>32304</v>
      </c>
      <c r="AE274">
        <v>671462</v>
      </c>
      <c r="AF274">
        <v>3779</v>
      </c>
      <c r="AG274">
        <v>1204</v>
      </c>
      <c r="AH274">
        <v>440</v>
      </c>
      <c r="AI274">
        <v>451332</v>
      </c>
      <c r="AJ274">
        <v>3668346</v>
      </c>
      <c r="AK274">
        <v>5765</v>
      </c>
      <c r="AL274">
        <v>4343</v>
      </c>
      <c r="AM274">
        <v>10671786</v>
      </c>
      <c r="AN274">
        <v>4270409</v>
      </c>
      <c r="AO274">
        <v>0</v>
      </c>
      <c r="AP274">
        <v>1381014</v>
      </c>
      <c r="AQ274">
        <v>9838702</v>
      </c>
      <c r="AR274">
        <v>789435</v>
      </c>
      <c r="AS274">
        <v>148775</v>
      </c>
      <c r="AT274">
        <v>666694</v>
      </c>
      <c r="AU274">
        <v>4541902</v>
      </c>
      <c r="AV274">
        <v>60271</v>
      </c>
      <c r="AW274">
        <v>0</v>
      </c>
      <c r="AX274">
        <v>2344142</v>
      </c>
      <c r="AY274">
        <v>53231</v>
      </c>
      <c r="AZ274">
        <v>913182</v>
      </c>
      <c r="BA274">
        <v>0</v>
      </c>
      <c r="BB274">
        <v>878514</v>
      </c>
      <c r="BC274">
        <v>259175</v>
      </c>
      <c r="BD274">
        <v>1038</v>
      </c>
      <c r="BE274">
        <v>6750078</v>
      </c>
      <c r="BF274">
        <v>0</v>
      </c>
      <c r="BG274">
        <v>0</v>
      </c>
      <c r="BH274">
        <v>56836</v>
      </c>
      <c r="BI274">
        <v>372294</v>
      </c>
      <c r="BJ274">
        <v>42179</v>
      </c>
      <c r="BK274">
        <v>252188</v>
      </c>
      <c r="BL274">
        <v>410329</v>
      </c>
      <c r="BM274">
        <v>-15750</v>
      </c>
      <c r="BN274">
        <v>938809</v>
      </c>
      <c r="BO274">
        <v>381197</v>
      </c>
      <c r="BP274">
        <v>15166</v>
      </c>
      <c r="BQ274">
        <v>102774</v>
      </c>
      <c r="BR274">
        <v>130435</v>
      </c>
      <c r="BS274">
        <v>2840683</v>
      </c>
      <c r="BT274">
        <v>117767</v>
      </c>
      <c r="BU274">
        <v>1465121</v>
      </c>
      <c r="BV274">
        <v>118767</v>
      </c>
      <c r="BW274">
        <v>111777</v>
      </c>
      <c r="BX274">
        <v>0</v>
      </c>
      <c r="BY274">
        <v>0</v>
      </c>
      <c r="BZ274">
        <v>3161023</v>
      </c>
      <c r="CA274">
        <v>35549</v>
      </c>
    </row>
    <row r="275" spans="1:79" x14ac:dyDescent="0.3">
      <c r="A275" s="155">
        <v>9019</v>
      </c>
      <c r="B275" t="s">
        <v>977</v>
      </c>
      <c r="C275" t="s">
        <v>978</v>
      </c>
      <c r="D275">
        <v>113665</v>
      </c>
      <c r="E275">
        <v>2921807</v>
      </c>
      <c r="F275">
        <v>105858</v>
      </c>
      <c r="G275">
        <v>7257802</v>
      </c>
      <c r="H275">
        <v>581047</v>
      </c>
      <c r="I275">
        <v>15890</v>
      </c>
      <c r="J275">
        <v>15585</v>
      </c>
      <c r="K275">
        <v>485347</v>
      </c>
      <c r="L275">
        <v>16335164</v>
      </c>
      <c r="M275">
        <v>22661</v>
      </c>
      <c r="N275">
        <v>51252</v>
      </c>
      <c r="O275">
        <v>0</v>
      </c>
      <c r="P275">
        <v>5900525</v>
      </c>
      <c r="Q275">
        <v>5781008</v>
      </c>
      <c r="R275">
        <v>1237733</v>
      </c>
      <c r="S275">
        <v>2574535</v>
      </c>
      <c r="T275">
        <v>8350</v>
      </c>
      <c r="U275">
        <v>3362554</v>
      </c>
      <c r="V275">
        <v>2859</v>
      </c>
      <c r="W275">
        <v>1609502</v>
      </c>
      <c r="X275">
        <v>3090626</v>
      </c>
      <c r="Y275">
        <v>1062770</v>
      </c>
      <c r="Z275">
        <v>482570</v>
      </c>
      <c r="AA275">
        <v>17216551</v>
      </c>
      <c r="AB275">
        <v>540012</v>
      </c>
      <c r="AC275">
        <v>4905</v>
      </c>
      <c r="AD275">
        <v>32304</v>
      </c>
      <c r="AE275">
        <v>671462</v>
      </c>
      <c r="AF275">
        <v>3779</v>
      </c>
      <c r="AG275">
        <v>1204</v>
      </c>
      <c r="AH275">
        <v>440</v>
      </c>
      <c r="AI275">
        <v>451332</v>
      </c>
      <c r="AJ275">
        <v>3668346</v>
      </c>
      <c r="AK275">
        <v>5765</v>
      </c>
      <c r="AL275">
        <v>4343</v>
      </c>
      <c r="AM275">
        <v>10671786</v>
      </c>
      <c r="AN275">
        <v>4270409</v>
      </c>
      <c r="AO275">
        <v>0</v>
      </c>
      <c r="AP275">
        <v>1381014</v>
      </c>
      <c r="AQ275">
        <v>9838702</v>
      </c>
      <c r="AR275">
        <v>789435</v>
      </c>
      <c r="AS275">
        <v>148775</v>
      </c>
      <c r="AT275">
        <v>666694</v>
      </c>
      <c r="AU275">
        <v>4541902</v>
      </c>
      <c r="AV275">
        <v>60271</v>
      </c>
      <c r="AW275">
        <v>0</v>
      </c>
      <c r="AX275">
        <v>2344142</v>
      </c>
      <c r="AY275">
        <v>53231</v>
      </c>
      <c r="AZ275">
        <v>913182</v>
      </c>
      <c r="BA275">
        <v>0</v>
      </c>
      <c r="BB275">
        <v>878514</v>
      </c>
      <c r="BC275">
        <v>259175</v>
      </c>
      <c r="BD275">
        <v>1038</v>
      </c>
      <c r="BE275">
        <v>6750078</v>
      </c>
      <c r="BF275">
        <v>0</v>
      </c>
      <c r="BG275">
        <v>0</v>
      </c>
      <c r="BH275">
        <v>56836</v>
      </c>
      <c r="BI275">
        <v>372294</v>
      </c>
      <c r="BJ275">
        <v>42179</v>
      </c>
      <c r="BK275">
        <v>252188</v>
      </c>
      <c r="BL275">
        <v>410329</v>
      </c>
      <c r="BM275">
        <v>-15750</v>
      </c>
      <c r="BN275">
        <v>938809</v>
      </c>
      <c r="BO275">
        <v>381197</v>
      </c>
      <c r="BP275">
        <v>15166</v>
      </c>
      <c r="BQ275">
        <v>102774</v>
      </c>
      <c r="BR275">
        <v>130435</v>
      </c>
      <c r="BS275">
        <v>2840683</v>
      </c>
      <c r="BT275">
        <v>117767</v>
      </c>
      <c r="BU275">
        <v>1465121</v>
      </c>
      <c r="BV275">
        <v>118767</v>
      </c>
      <c r="BW275">
        <v>111777</v>
      </c>
      <c r="BX275">
        <v>0</v>
      </c>
      <c r="BY275">
        <v>0</v>
      </c>
      <c r="BZ275">
        <v>3161023</v>
      </c>
      <c r="CA275">
        <v>35549</v>
      </c>
    </row>
    <row r="276" spans="1:79" s="566" customFormat="1" ht="43.2" x14ac:dyDescent="0.3">
      <c r="A276" s="785"/>
      <c r="B276" s="784" t="s">
        <v>1865</v>
      </c>
      <c r="C276" s="924" t="s">
        <v>1663</v>
      </c>
      <c r="D276" s="784">
        <f>(D106+D135-D3-D4-D5-D8+D191)/(D132+D109+D11-D133-D108-D240)</f>
        <v>0.17926206157199148</v>
      </c>
      <c r="E276" s="784">
        <f t="shared" ref="E276:J276" si="0">(E106+E135-E3-E4-E5-E8+E191)/(E132+E109+E11-E133-E108-E240)</f>
        <v>1.4154419684139059</v>
      </c>
      <c r="F276" s="784">
        <f t="shared" si="0"/>
        <v>1.7573395427339074</v>
      </c>
      <c r="G276" s="784">
        <f t="shared" si="0"/>
        <v>0.53191330942478987</v>
      </c>
      <c r="H276" s="784">
        <f t="shared" si="0"/>
        <v>0.51675319063555225</v>
      </c>
      <c r="I276" s="784">
        <f t="shared" si="0"/>
        <v>1.4193478065732275</v>
      </c>
      <c r="J276" s="784">
        <f t="shared" si="0"/>
        <v>1.7194371432760764</v>
      </c>
      <c r="K276" s="784">
        <f>(L106+L135-L3-L4-L5-L8+L191)/(L132+L109+L11-L133-L108-L240)</f>
        <v>0.84141077463807856</v>
      </c>
      <c r="L276" s="784">
        <f t="shared" ref="L276:T276" si="1">(L106+L135-L3-L4-L5-L8+L191)/(L132+L109+L11-L133-L108-L240)</f>
        <v>0.84141077463807856</v>
      </c>
      <c r="M276" s="784">
        <f t="shared" si="1"/>
        <v>2.2374506247139201</v>
      </c>
      <c r="N276" s="784">
        <f t="shared" si="1"/>
        <v>0.92503650106911239</v>
      </c>
      <c r="O276" s="784" t="e">
        <f t="shared" si="1"/>
        <v>#DIV/0!</v>
      </c>
      <c r="P276" s="784">
        <f t="shared" si="1"/>
        <v>0.58878562748521013</v>
      </c>
      <c r="Q276" s="784">
        <f t="shared" si="1"/>
        <v>1.0770376265656867</v>
      </c>
      <c r="R276" s="784">
        <f t="shared" si="1"/>
        <v>0.43146896698535281</v>
      </c>
      <c r="S276" s="784">
        <f t="shared" si="1"/>
        <v>0.58840925194196725</v>
      </c>
      <c r="T276" s="784">
        <f t="shared" si="1"/>
        <v>1.8257148092242454</v>
      </c>
      <c r="U276" s="784"/>
      <c r="V276" s="784">
        <f t="shared" ref="V276:AU276" si="2">(V106+V135-V3-V4-V5-V8+V191)/(V132+V109+V11-V133-V108-V240)</f>
        <v>6.7626398117957818</v>
      </c>
      <c r="W276" s="784">
        <f t="shared" si="2"/>
        <v>0.9793589400518905</v>
      </c>
      <c r="X276" s="784">
        <f t="shared" si="2"/>
        <v>0.39963984848410256</v>
      </c>
      <c r="Y276" s="784">
        <f t="shared" si="2"/>
        <v>0.91490801814909173</v>
      </c>
      <c r="Z276" s="784">
        <f t="shared" si="2"/>
        <v>1.3129795694436446</v>
      </c>
      <c r="AA276" s="784">
        <f t="shared" si="2"/>
        <v>0.45017001811352525</v>
      </c>
      <c r="AB276" s="784">
        <f t="shared" si="2"/>
        <v>1.0276324192207147</v>
      </c>
      <c r="AC276" s="784">
        <f t="shared" si="2"/>
        <v>0.96383475899851023</v>
      </c>
      <c r="AD276" s="784">
        <f t="shared" si="2"/>
        <v>1.2437690167883586</v>
      </c>
      <c r="AE276" s="784">
        <f t="shared" si="2"/>
        <v>0.43493388903919511</v>
      </c>
      <c r="AF276" s="784">
        <f t="shared" si="2"/>
        <v>0.73172965344205743</v>
      </c>
      <c r="AG276" s="784">
        <f t="shared" si="2"/>
        <v>1.2752695417789757</v>
      </c>
      <c r="AH276" s="784">
        <f t="shared" si="2"/>
        <v>1.7472942649898242</v>
      </c>
      <c r="AI276" s="784">
        <f t="shared" si="2"/>
        <v>0.56874133606371513</v>
      </c>
      <c r="AJ276" s="784">
        <f t="shared" si="2"/>
        <v>0.30756985306240531</v>
      </c>
      <c r="AK276" s="784">
        <f t="shared" si="2"/>
        <v>0.79546218252079193</v>
      </c>
      <c r="AL276" s="784">
        <f t="shared" si="2"/>
        <v>4.5173739518875182</v>
      </c>
      <c r="AM276" s="784">
        <f t="shared" si="2"/>
        <v>0.40630106526068072</v>
      </c>
      <c r="AN276" s="784">
        <f t="shared" si="2"/>
        <v>0.82631691489293901</v>
      </c>
      <c r="AO276" s="784" t="e">
        <f t="shared" si="2"/>
        <v>#DIV/0!</v>
      </c>
      <c r="AP276" s="784">
        <f t="shared" si="2"/>
        <v>1.6869059254934631</v>
      </c>
      <c r="AQ276" s="784">
        <f t="shared" si="2"/>
        <v>0.29169348955886998</v>
      </c>
      <c r="AR276" s="784">
        <f t="shared" si="2"/>
        <v>0.595745032205789</v>
      </c>
      <c r="AS276" s="784">
        <f t="shared" si="2"/>
        <v>0.78435964909779821</v>
      </c>
      <c r="AT276" s="784">
        <f t="shared" si="2"/>
        <v>0.34927799831957429</v>
      </c>
      <c r="AU276" s="784">
        <f t="shared" si="2"/>
        <v>0.40269933656136586</v>
      </c>
      <c r="AV276" s="784" t="e">
        <f>(AW106+AW135-AW3-AW4-AW5-AW8+AW191)/(AW132+AW109+AW11-AW133-AW108-AW240)</f>
        <v>#DIV/0!</v>
      </c>
      <c r="AW276" s="784" t="e">
        <f t="shared" ref="AW276:BR276" si="3">(AW106+AW135-AW3-AW4-AW5-AW8+AW191)/(AW132+AW109+AW11-AW133-AW108-AW240)</f>
        <v>#DIV/0!</v>
      </c>
      <c r="AX276" s="784">
        <f t="shared" si="3"/>
        <v>0.75004408062032091</v>
      </c>
      <c r="AY276" s="784">
        <f t="shared" si="3"/>
        <v>0.71980654257158971</v>
      </c>
      <c r="AZ276" s="784">
        <f t="shared" si="3"/>
        <v>0.25526442539899113</v>
      </c>
      <c r="BA276" s="784">
        <f t="shared" si="3"/>
        <v>3.1323802269486922</v>
      </c>
      <c r="BB276" s="784">
        <f t="shared" si="3"/>
        <v>0.74784932498615897</v>
      </c>
      <c r="BC276" s="784">
        <f t="shared" si="3"/>
        <v>1.5475425608765974</v>
      </c>
      <c r="BD276" s="784">
        <f t="shared" si="3"/>
        <v>5.6520547945205477</v>
      </c>
      <c r="BE276" s="784">
        <f t="shared" si="3"/>
        <v>0.19069328732403149</v>
      </c>
      <c r="BF276" s="784" t="e">
        <f t="shared" si="3"/>
        <v>#DIV/0!</v>
      </c>
      <c r="BG276" s="784" t="e">
        <f t="shared" si="3"/>
        <v>#DIV/0!</v>
      </c>
      <c r="BH276" s="784">
        <f t="shared" si="3"/>
        <v>0.92483766012453483</v>
      </c>
      <c r="BI276" s="784">
        <f t="shared" si="3"/>
        <v>1.7011402581868662</v>
      </c>
      <c r="BJ276" s="784">
        <f t="shared" si="3"/>
        <v>0.57400406959378736</v>
      </c>
      <c r="BK276" s="784">
        <f t="shared" si="3"/>
        <v>0.39057313175563296</v>
      </c>
      <c r="BL276" s="784">
        <f t="shared" si="3"/>
        <v>1.3311635589791377</v>
      </c>
      <c r="BM276" s="784">
        <f t="shared" si="3"/>
        <v>5.5130762756771921</v>
      </c>
      <c r="BN276" s="784">
        <f t="shared" si="3"/>
        <v>0.44581769990646664</v>
      </c>
      <c r="BO276" s="784">
        <f t="shared" si="3"/>
        <v>2.4222792813525427</v>
      </c>
      <c r="BP276" s="784">
        <f t="shared" si="3"/>
        <v>1.4916278416876667</v>
      </c>
      <c r="BQ276" s="784">
        <f t="shared" si="3"/>
        <v>1.3880673589251644</v>
      </c>
      <c r="BR276" s="784">
        <f t="shared" si="3"/>
        <v>1.7313606596148985</v>
      </c>
      <c r="BS276" s="784">
        <f t="shared" ref="BS276:CA276" si="4">(BS106+BS135-BS3-BS4-BS5-BS8+BS191)/(BS132+BS109+BS11-BS133-BS108-BS240)</f>
        <v>0.67016386597674982</v>
      </c>
      <c r="BT276" s="784">
        <f t="shared" si="4"/>
        <v>1.0117015933931426</v>
      </c>
      <c r="BU276" s="784">
        <f t="shared" si="4"/>
        <v>0.70177867574476782</v>
      </c>
      <c r="BV276" s="784">
        <f t="shared" si="4"/>
        <v>1.0347844196646396</v>
      </c>
      <c r="BW276" s="784">
        <f t="shared" si="4"/>
        <v>1.3067864482108067</v>
      </c>
      <c r="BX276" s="784">
        <f t="shared" si="4"/>
        <v>9.4455116696588863</v>
      </c>
      <c r="BY276" s="784">
        <f t="shared" si="4"/>
        <v>4.2878312650575028</v>
      </c>
      <c r="BZ276" s="784">
        <f t="shared" si="4"/>
        <v>0.82355358062547568</v>
      </c>
      <c r="CA276" s="784">
        <f t="shared" si="4"/>
        <v>1.3263321783462825</v>
      </c>
    </row>
    <row r="277" spans="1:79" x14ac:dyDescent="0.3">
      <c r="A277" s="565" t="s">
        <v>1875</v>
      </c>
      <c r="B277" s="566" t="s">
        <v>1874</v>
      </c>
      <c r="C277" s="566"/>
      <c r="D277" s="970" t="e">
        <f t="shared" ref="D277:AI277" si="5">1-((D123+D124+D125+D126)/(D115+D116+D117+D118))</f>
        <v>#DIV/0!</v>
      </c>
      <c r="E277" s="970" t="e">
        <f t="shared" si="5"/>
        <v>#DIV/0!</v>
      </c>
      <c r="F277" s="970">
        <f t="shared" si="5"/>
        <v>0.18311730662613768</v>
      </c>
      <c r="G277" s="970">
        <f t="shared" si="5"/>
        <v>0.25231526367342871</v>
      </c>
      <c r="H277" s="970">
        <f t="shared" si="5"/>
        <v>0.54365183384932969</v>
      </c>
      <c r="I277" s="970">
        <f t="shared" si="5"/>
        <v>0.20953278663057717</v>
      </c>
      <c r="J277" s="970">
        <f t="shared" si="5"/>
        <v>0.42168229107893129</v>
      </c>
      <c r="K277" s="970">
        <f t="shared" si="5"/>
        <v>0.63775371968373507</v>
      </c>
      <c r="L277" s="970">
        <f t="shared" si="5"/>
        <v>0.66873333963474679</v>
      </c>
      <c r="M277" s="970" t="e">
        <f t="shared" si="5"/>
        <v>#DIV/0!</v>
      </c>
      <c r="N277" s="970">
        <f t="shared" si="5"/>
        <v>0.28751376721243582</v>
      </c>
      <c r="O277" s="970" t="e">
        <f t="shared" si="5"/>
        <v>#DIV/0!</v>
      </c>
      <c r="P277" s="970" t="e">
        <f t="shared" si="5"/>
        <v>#DIV/0!</v>
      </c>
      <c r="Q277" s="970">
        <f t="shared" si="5"/>
        <v>0.46745870394946842</v>
      </c>
      <c r="R277" s="970">
        <f t="shared" si="5"/>
        <v>0.55384955480092923</v>
      </c>
      <c r="S277" s="970">
        <f t="shared" si="5"/>
        <v>0.37801138712988414</v>
      </c>
      <c r="T277" s="970">
        <f t="shared" si="5"/>
        <v>0.61833787504226034</v>
      </c>
      <c r="U277" s="970">
        <f t="shared" si="5"/>
        <v>0.47694376492708934</v>
      </c>
      <c r="V277" s="970" t="e">
        <f t="shared" si="5"/>
        <v>#DIV/0!</v>
      </c>
      <c r="W277" s="970" t="e">
        <f t="shared" si="5"/>
        <v>#DIV/0!</v>
      </c>
      <c r="X277" s="970" t="e">
        <f t="shared" si="5"/>
        <v>#DIV/0!</v>
      </c>
      <c r="Y277" s="970">
        <f t="shared" si="5"/>
        <v>0.55909697527500524</v>
      </c>
      <c r="Z277" s="970">
        <f t="shared" si="5"/>
        <v>0.38918950204329306</v>
      </c>
      <c r="AA277" s="970">
        <f t="shared" si="5"/>
        <v>0.55833734355921782</v>
      </c>
      <c r="AB277" s="970" t="e">
        <f t="shared" si="5"/>
        <v>#DIV/0!</v>
      </c>
      <c r="AC277" s="970">
        <f t="shared" si="5"/>
        <v>0.24396116573329507</v>
      </c>
      <c r="AD277" s="970">
        <f t="shared" si="5"/>
        <v>0.49991113256871866</v>
      </c>
      <c r="AE277" s="970">
        <f t="shared" si="5"/>
        <v>0.47618951115056063</v>
      </c>
      <c r="AF277" s="970">
        <f t="shared" si="5"/>
        <v>0.43380440536745923</v>
      </c>
      <c r="AG277" s="970" t="e">
        <f t="shared" si="5"/>
        <v>#DIV/0!</v>
      </c>
      <c r="AH277" s="970" t="e">
        <f t="shared" si="5"/>
        <v>#DIV/0!</v>
      </c>
      <c r="AI277" s="970" t="e">
        <f t="shared" si="5"/>
        <v>#DIV/0!</v>
      </c>
      <c r="AJ277" s="970">
        <f t="shared" ref="AJ277:BR277" si="6">1-((AJ123+AJ124+AJ125+AJ126)/(AJ115+AJ116+AJ117+AJ118))</f>
        <v>0.53968013134267689</v>
      </c>
      <c r="AK277" s="970">
        <f t="shared" si="6"/>
        <v>0.56592736693755086</v>
      </c>
      <c r="AL277" s="970" t="e">
        <f t="shared" si="6"/>
        <v>#DIV/0!</v>
      </c>
      <c r="AM277" s="970" t="e">
        <f t="shared" si="6"/>
        <v>#DIV/0!</v>
      </c>
      <c r="AN277" s="970">
        <f t="shared" si="6"/>
        <v>0.61300408577842358</v>
      </c>
      <c r="AO277" s="970" t="e">
        <f t="shared" si="6"/>
        <v>#DIV/0!</v>
      </c>
      <c r="AP277" s="970" t="e">
        <f t="shared" si="6"/>
        <v>#DIV/0!</v>
      </c>
      <c r="AQ277" s="970">
        <f t="shared" si="6"/>
        <v>0.42866601609553656</v>
      </c>
      <c r="AR277" s="970">
        <f t="shared" si="6"/>
        <v>0.32481067696048738</v>
      </c>
      <c r="AS277" s="970">
        <f t="shared" si="6"/>
        <v>0.68706345055610518</v>
      </c>
      <c r="AT277" s="970">
        <f t="shared" si="6"/>
        <v>0.50647314308043034</v>
      </c>
      <c r="AU277" s="970">
        <f t="shared" si="6"/>
        <v>0.34110795939718019</v>
      </c>
      <c r="AV277" s="970">
        <f t="shared" si="6"/>
        <v>0.25940867684336966</v>
      </c>
      <c r="AW277" s="970" t="e">
        <f t="shared" si="6"/>
        <v>#DIV/0!</v>
      </c>
      <c r="AX277" s="970">
        <f t="shared" si="6"/>
        <v>0.64280121188622519</v>
      </c>
      <c r="AY277" s="970">
        <f t="shared" si="6"/>
        <v>0.38737680138659059</v>
      </c>
      <c r="AZ277" s="970">
        <f t="shared" si="6"/>
        <v>0.45927371941172934</v>
      </c>
      <c r="BA277" s="970">
        <f t="shared" si="6"/>
        <v>0</v>
      </c>
      <c r="BB277" s="970">
        <f t="shared" si="6"/>
        <v>0.33565372011180017</v>
      </c>
      <c r="BC277" s="970">
        <f t="shared" si="6"/>
        <v>0.2664329590631056</v>
      </c>
      <c r="BD277" s="970" t="e">
        <f t="shared" si="6"/>
        <v>#DIV/0!</v>
      </c>
      <c r="BE277" s="970">
        <f t="shared" si="6"/>
        <v>0.49453407663024196</v>
      </c>
      <c r="BF277" s="970" t="e">
        <f t="shared" si="6"/>
        <v>#DIV/0!</v>
      </c>
      <c r="BG277" s="970" t="e">
        <f t="shared" si="6"/>
        <v>#DIV/0!</v>
      </c>
      <c r="BH277" s="970">
        <f t="shared" si="6"/>
        <v>0.32081546845263798</v>
      </c>
      <c r="BI277" s="970">
        <f t="shared" si="6"/>
        <v>0.57854468811622617</v>
      </c>
      <c r="BJ277" s="970">
        <f t="shared" si="6"/>
        <v>0.54133485202006226</v>
      </c>
      <c r="BK277" s="970">
        <f t="shared" si="6"/>
        <v>0.36354550859786439</v>
      </c>
      <c r="BL277" s="970">
        <f t="shared" si="6"/>
        <v>0.37622485930855121</v>
      </c>
      <c r="BM277" s="970" t="e">
        <f t="shared" si="6"/>
        <v>#DIV/0!</v>
      </c>
      <c r="BN277" s="970">
        <f t="shared" si="6"/>
        <v>0.46336907188243037</v>
      </c>
      <c r="BO277" s="970">
        <f t="shared" si="6"/>
        <v>0.49661050073854451</v>
      </c>
      <c r="BP277" s="970">
        <f t="shared" si="6"/>
        <v>0.47061454708898742</v>
      </c>
      <c r="BQ277" s="970">
        <f t="shared" si="6"/>
        <v>0.55072741734122665</v>
      </c>
      <c r="BR277" s="970" t="e">
        <f t="shared" si="6"/>
        <v>#DIV/0!</v>
      </c>
      <c r="BS277" s="970" t="e">
        <f t="shared" ref="BS277:CA277" si="7">1-((BS123+BS124+BS125+BS126)/(BS115+BS116+BS117+BS118))</f>
        <v>#DIV/0!</v>
      </c>
      <c r="BT277" s="970">
        <f t="shared" si="7"/>
        <v>0.5410605899387565</v>
      </c>
      <c r="BU277" s="970">
        <f t="shared" si="7"/>
        <v>0.53313749040280245</v>
      </c>
      <c r="BV277" s="970">
        <f t="shared" si="7"/>
        <v>0.63315387501500586</v>
      </c>
      <c r="BW277" s="970">
        <f t="shared" si="7"/>
        <v>0.74958038102077396</v>
      </c>
      <c r="BX277" s="970" t="e">
        <f t="shared" si="7"/>
        <v>#DIV/0!</v>
      </c>
      <c r="BY277" s="970" t="e">
        <f t="shared" si="7"/>
        <v>#DIV/0!</v>
      </c>
      <c r="BZ277" s="970">
        <f t="shared" si="7"/>
        <v>0.70177330596877985</v>
      </c>
      <c r="CA277" s="970" t="e">
        <f t="shared" si="7"/>
        <v>#DIV/0!</v>
      </c>
    </row>
    <row r="280" spans="1:79" x14ac:dyDescent="0.3">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568"/>
      <c r="BT280" s="568"/>
      <c r="BU280" s="568"/>
      <c r="BW280" s="568"/>
      <c r="BX280" s="568"/>
      <c r="BY280" s="568"/>
      <c r="BZ280" s="568"/>
      <c r="CA280" s="568"/>
    </row>
    <row r="281" spans="1:79" x14ac:dyDescent="0.3">
      <c r="V281" s="574"/>
      <c r="Z281" s="574"/>
      <c r="AU281" s="574"/>
      <c r="BS281" s="568"/>
    </row>
    <row r="282" spans="1:79" s="1051" customFormat="1" x14ac:dyDescent="0.3">
      <c r="A282" s="1050"/>
      <c r="D282" s="1052">
        <v>42763898.399999999</v>
      </c>
      <c r="E282" s="1052">
        <v>711815402.91999996</v>
      </c>
      <c r="F282" s="1052">
        <v>19724760.890000001</v>
      </c>
      <c r="G282" s="1052">
        <v>2582490673.9499998</v>
      </c>
      <c r="H282" s="1052">
        <v>282081941.98000002</v>
      </c>
      <c r="I282" s="1052">
        <v>15338496.699999999</v>
      </c>
      <c r="J282" s="1052">
        <v>114703334.34999999</v>
      </c>
      <c r="K282" s="1052">
        <v>92001057.469999999</v>
      </c>
      <c r="L282" s="1052">
        <v>3189180968.8099999</v>
      </c>
      <c r="M282" s="1052">
        <v>3610653.02</v>
      </c>
      <c r="N282" s="1052">
        <v>49698511.520000003</v>
      </c>
      <c r="O282" s="1052">
        <v>0.01</v>
      </c>
      <c r="P282" s="1052">
        <v>1119253967.3499999</v>
      </c>
      <c r="Q282" s="1052">
        <v>775885713.70000005</v>
      </c>
      <c r="R282" s="1052">
        <v>355725564.43000001</v>
      </c>
      <c r="S282" s="1052">
        <v>912149039.90999997</v>
      </c>
      <c r="T282" s="1052">
        <v>18377389.59</v>
      </c>
      <c r="U282" s="1052">
        <v>1778946885.3199999</v>
      </c>
      <c r="V282" s="1052">
        <v>2180192.4900000002</v>
      </c>
      <c r="W282" s="1052">
        <v>296039636.13</v>
      </c>
      <c r="X282" s="1052">
        <v>724988789.67999995</v>
      </c>
      <c r="Y282" s="1052">
        <v>236116674.61000001</v>
      </c>
      <c r="Z282" s="1052">
        <v>198985055.53999999</v>
      </c>
      <c r="AA282" s="1052">
        <v>323546744.31999999</v>
      </c>
      <c r="AB282" s="1052">
        <v>25035339</v>
      </c>
      <c r="AC282" s="1052">
        <v>11613385.460000001</v>
      </c>
      <c r="AD282" s="1052">
        <v>97977874.939999998</v>
      </c>
      <c r="AE282" s="1052">
        <v>237964627.78</v>
      </c>
      <c r="AF282" s="1052">
        <v>11253973.84</v>
      </c>
      <c r="AG282" s="1052">
        <v>1482767.74</v>
      </c>
      <c r="AH282" s="1052">
        <v>7388251.5300000003</v>
      </c>
      <c r="AI282" s="1052">
        <v>58759005.130000003</v>
      </c>
      <c r="AJ282" s="1052">
        <v>588113677.21000004</v>
      </c>
      <c r="AK282" s="1052">
        <v>19944172.370000001</v>
      </c>
      <c r="AL282" s="1052">
        <v>1279276.4099999999</v>
      </c>
      <c r="AM282" s="1052">
        <v>822923447.35000002</v>
      </c>
      <c r="AN282" s="1052">
        <v>920951387.65999997</v>
      </c>
      <c r="AO282" s="1052">
        <v>0.01</v>
      </c>
      <c r="AP282" s="1052">
        <v>161635059.50999999</v>
      </c>
      <c r="AQ282" s="1052">
        <v>1719794935.0699999</v>
      </c>
      <c r="AR282" s="1052">
        <v>125149208.76000001</v>
      </c>
      <c r="AS282" s="1052">
        <v>41808904.210000001</v>
      </c>
      <c r="AT282" s="1052">
        <v>149635989.81</v>
      </c>
      <c r="AU282" s="1052">
        <v>690420009.82000005</v>
      </c>
      <c r="AV282" s="1052">
        <v>22610095.690000001</v>
      </c>
      <c r="AW282" s="1052">
        <v>0.01</v>
      </c>
      <c r="AX282" s="1052">
        <v>206775832.61000001</v>
      </c>
      <c r="AY282" s="1052">
        <v>148718361.33000001</v>
      </c>
      <c r="AZ282" s="1052">
        <v>284686429.41000003</v>
      </c>
      <c r="BA282" s="1052">
        <v>2337575.5699999998</v>
      </c>
      <c r="BB282" s="1052">
        <v>104534255.26000001</v>
      </c>
      <c r="BC282" s="1052">
        <v>114864758.06999999</v>
      </c>
      <c r="BD282" s="1052">
        <v>3787644.5</v>
      </c>
      <c r="BE282" s="1052">
        <v>1352946753.75</v>
      </c>
      <c r="BF282" s="1052">
        <v>0.1</v>
      </c>
      <c r="BG282" s="1052">
        <v>0</v>
      </c>
      <c r="BH282" s="1052">
        <v>140054922.09</v>
      </c>
      <c r="BI282" s="1052">
        <v>136726865.27000001</v>
      </c>
      <c r="BJ282" s="1052">
        <v>51055164.609999999</v>
      </c>
      <c r="BK282" s="1052">
        <v>360921930.22000003</v>
      </c>
      <c r="BL282" s="1052">
        <v>201460767.34999999</v>
      </c>
      <c r="BM282" s="1052">
        <v>2101098</v>
      </c>
      <c r="BN282" s="1052">
        <v>310124684.56999999</v>
      </c>
      <c r="BO282" s="1052">
        <v>156929623.00999999</v>
      </c>
      <c r="BP282" s="1052">
        <v>79315325.569999993</v>
      </c>
      <c r="BQ282" s="1052">
        <v>103416016.26000001</v>
      </c>
      <c r="BR282" s="1052">
        <v>71997631.939999998</v>
      </c>
      <c r="BS282" s="1053">
        <v>1193991271.3299999</v>
      </c>
      <c r="BT282" s="1053">
        <v>87334158.629999995</v>
      </c>
      <c r="BU282" s="1053">
        <v>183848716.18000001</v>
      </c>
      <c r="BV282" s="1053">
        <v>51995901.049999997</v>
      </c>
      <c r="BW282" s="1053">
        <v>53651198.719999999</v>
      </c>
      <c r="BX282" s="1053">
        <v>1975013.31</v>
      </c>
      <c r="BY282" s="1053">
        <v>2124495.38</v>
      </c>
      <c r="BZ282" s="1053">
        <v>1112052261.1500001</v>
      </c>
      <c r="CA282" s="1053">
        <v>2304809.85</v>
      </c>
    </row>
    <row r="284" spans="1:79" x14ac:dyDescent="0.3">
      <c r="D284" s="1044">
        <f>D257-D282</f>
        <v>-4.999995231628418E-3</v>
      </c>
      <c r="E284" s="1044">
        <f t="shared" ref="E284:BP284" si="8">E257-E282</f>
        <v>-4.999995231628418E-3</v>
      </c>
      <c r="F284" s="1044">
        <f t="shared" si="8"/>
        <v>-4.9999989569187164E-3</v>
      </c>
      <c r="G284" s="1044">
        <f t="shared" si="8"/>
        <v>2.0003318786621094E-3</v>
      </c>
      <c r="H284" s="1044">
        <f t="shared" si="8"/>
        <v>-4.999995231628418E-3</v>
      </c>
      <c r="I284" s="1044">
        <f t="shared" si="8"/>
        <v>0</v>
      </c>
      <c r="J284" s="1044">
        <f t="shared" si="8"/>
        <v>0</v>
      </c>
      <c r="K284" s="1044">
        <f t="shared" si="8"/>
        <v>0</v>
      </c>
      <c r="L284" s="1044">
        <f t="shared" si="8"/>
        <v>0</v>
      </c>
      <c r="M284" s="1044">
        <f t="shared" si="8"/>
        <v>-1.0000001639127731E-3</v>
      </c>
      <c r="N284" s="1044">
        <f t="shared" si="8"/>
        <v>0</v>
      </c>
      <c r="O284" s="1044">
        <f t="shared" si="8"/>
        <v>50250</v>
      </c>
      <c r="P284" s="1044">
        <f t="shared" si="8"/>
        <v>-9.9992752075195313E-4</v>
      </c>
      <c r="Q284" s="1044">
        <f t="shared" si="8"/>
        <v>0</v>
      </c>
      <c r="R284" s="1044">
        <f t="shared" si="8"/>
        <v>0</v>
      </c>
      <c r="S284" s="1044">
        <f t="shared" si="8"/>
        <v>0</v>
      </c>
      <c r="T284" s="1044">
        <f t="shared" si="8"/>
        <v>0</v>
      </c>
      <c r="U284" s="1044">
        <f t="shared" si="8"/>
        <v>0</v>
      </c>
      <c r="V284" s="1044">
        <f t="shared" si="8"/>
        <v>0</v>
      </c>
      <c r="W284" s="1044">
        <f t="shared" si="8"/>
        <v>0</v>
      </c>
      <c r="X284" s="1044">
        <f t="shared" si="8"/>
        <v>0</v>
      </c>
      <c r="Y284" s="1044">
        <f t="shared" si="8"/>
        <v>-4.2000114917755127E-3</v>
      </c>
      <c r="Z284" s="1044">
        <f t="shared" si="8"/>
        <v>2.0000040531158447E-3</v>
      </c>
      <c r="AA284" s="1044">
        <f t="shared" si="8"/>
        <v>0</v>
      </c>
      <c r="AB284" s="1044">
        <f t="shared" si="8"/>
        <v>0</v>
      </c>
      <c r="AC284" s="1044">
        <f t="shared" si="8"/>
        <v>2.9999986290931702E-3</v>
      </c>
      <c r="AD284" s="1044">
        <f t="shared" si="8"/>
        <v>0</v>
      </c>
      <c r="AE284" s="1044">
        <f t="shared" si="8"/>
        <v>0</v>
      </c>
      <c r="AF284" s="1044">
        <f t="shared" si="8"/>
        <v>0</v>
      </c>
      <c r="AG284" s="1044">
        <f t="shared" si="8"/>
        <v>0</v>
      </c>
      <c r="AH284" s="1044">
        <f t="shared" si="8"/>
        <v>0</v>
      </c>
      <c r="AI284" s="1054">
        <f t="shared" si="8"/>
        <v>-5.0000026822090149E-3</v>
      </c>
      <c r="AJ284" s="1044">
        <f t="shared" si="8"/>
        <v>0</v>
      </c>
      <c r="AK284" s="1044">
        <f t="shared" si="8"/>
        <v>0</v>
      </c>
      <c r="AL284" s="1044">
        <f t="shared" si="8"/>
        <v>0</v>
      </c>
      <c r="AM284" s="1044">
        <f t="shared" si="8"/>
        <v>0</v>
      </c>
      <c r="AN284" s="1044">
        <f t="shared" si="8"/>
        <v>-1.5000104904174805E-3</v>
      </c>
      <c r="AO284" s="1044">
        <f t="shared" si="8"/>
        <v>50270</v>
      </c>
      <c r="AP284" s="1044">
        <f t="shared" si="8"/>
        <v>-2.9999911785125732E-3</v>
      </c>
      <c r="AQ284" s="1044">
        <f t="shared" si="8"/>
        <v>0</v>
      </c>
      <c r="AR284" s="1044">
        <f t="shared" si="8"/>
        <v>0</v>
      </c>
      <c r="AS284" s="1044">
        <f t="shared" si="8"/>
        <v>0</v>
      </c>
      <c r="AT284" s="1044">
        <f t="shared" si="8"/>
        <v>0</v>
      </c>
      <c r="AU284" s="1044">
        <f t="shared" si="8"/>
        <v>0</v>
      </c>
      <c r="AV284" s="1044">
        <f t="shared" si="8"/>
        <v>0</v>
      </c>
      <c r="AW284" s="1044">
        <f t="shared" si="8"/>
        <v>50277</v>
      </c>
      <c r="AX284" s="1044">
        <f t="shared" si="8"/>
        <v>0</v>
      </c>
      <c r="AY284" s="1044">
        <f t="shared" si="8"/>
        <v>0</v>
      </c>
      <c r="AZ284" s="1044">
        <f t="shared" si="8"/>
        <v>0</v>
      </c>
      <c r="BA284" s="1044">
        <f t="shared" si="8"/>
        <v>0</v>
      </c>
      <c r="BB284" s="1044">
        <f t="shared" si="8"/>
        <v>0</v>
      </c>
      <c r="BC284" s="1044">
        <f t="shared" si="8"/>
        <v>0</v>
      </c>
      <c r="BD284" s="1044">
        <f t="shared" si="8"/>
        <v>0</v>
      </c>
      <c r="BE284" s="1044">
        <f t="shared" si="8"/>
        <v>0</v>
      </c>
      <c r="BF284" s="1044">
        <f t="shared" si="8"/>
        <v>50286</v>
      </c>
      <c r="BG284" s="1044">
        <f t="shared" si="8"/>
        <v>50287</v>
      </c>
      <c r="BH284" s="1044">
        <f t="shared" si="8"/>
        <v>0</v>
      </c>
      <c r="BI284" s="1044">
        <f t="shared" si="8"/>
        <v>0</v>
      </c>
      <c r="BJ284" s="1044">
        <f t="shared" si="8"/>
        <v>0</v>
      </c>
      <c r="BK284" s="1044">
        <f t="shared" si="8"/>
        <v>0</v>
      </c>
      <c r="BL284" s="1044">
        <f t="shared" si="8"/>
        <v>0</v>
      </c>
      <c r="BM284" s="1044">
        <f t="shared" si="8"/>
        <v>0</v>
      </c>
      <c r="BN284" s="1044">
        <f t="shared" si="8"/>
        <v>0</v>
      </c>
      <c r="BO284" s="1044">
        <f t="shared" si="8"/>
        <v>0</v>
      </c>
      <c r="BP284" s="1044">
        <f t="shared" si="8"/>
        <v>0</v>
      </c>
      <c r="BQ284" s="1044">
        <f t="shared" ref="BQ284:CA284" si="9">BQ257-BQ282</f>
        <v>0</v>
      </c>
      <c r="BR284" s="1044">
        <f t="shared" si="9"/>
        <v>0</v>
      </c>
      <c r="BS284" s="1054">
        <f t="shared" si="9"/>
        <v>-9.9999904632568359E-3</v>
      </c>
      <c r="BT284" s="1044">
        <f t="shared" si="9"/>
        <v>0</v>
      </c>
      <c r="BU284" s="1044">
        <f t="shared" si="9"/>
        <v>0</v>
      </c>
      <c r="BV284" s="1044">
        <f t="shared" si="9"/>
        <v>0</v>
      </c>
      <c r="BW284" s="1044">
        <f t="shared" si="9"/>
        <v>0</v>
      </c>
      <c r="BX284" s="1044">
        <f t="shared" si="9"/>
        <v>4.9999984912574291E-4</v>
      </c>
      <c r="BY284" s="1044">
        <f t="shared" si="9"/>
        <v>0</v>
      </c>
      <c r="BZ284" s="1044">
        <f t="shared" si="9"/>
        <v>0</v>
      </c>
      <c r="CA284" s="1044">
        <f t="shared" si="9"/>
        <v>0</v>
      </c>
    </row>
    <row r="286" spans="1:79" x14ac:dyDescent="0.3">
      <c r="AI286" t="s">
        <v>2481</v>
      </c>
      <c r="BS286" t="s">
        <v>2481</v>
      </c>
    </row>
  </sheetData>
  <sheetProtection algorithmName="SHA-512" hashValue="Mf6opMLHWTe8TYBsGuyl2wPscftn0Zh8ErsGUsB7a0titUDWrOCZibtk0xXWDQSx82fv7TvwzIYHLiaZlgpPZw==" saltValue="3qeK6mKJac4Yc3RlAdyblg=="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D2" sqref="D2"/>
    </sheetView>
  </sheetViews>
  <sheetFormatPr defaultColWidth="9.109375" defaultRowHeight="14.4" x14ac:dyDescent="0.3"/>
  <cols>
    <col min="1" max="1" width="28.5546875" style="382" customWidth="1"/>
    <col min="2" max="12" width="9.109375" style="382"/>
    <col min="13" max="13" width="21.6640625" style="382" customWidth="1"/>
    <col min="14" max="14" width="16.88671875" style="382" customWidth="1"/>
    <col min="15" max="16" width="9.109375" style="382"/>
    <col min="17" max="17" width="18.109375" style="382" customWidth="1"/>
    <col min="18" max="18" width="11" style="382" customWidth="1"/>
    <col min="19" max="16384" width="9.109375" style="382"/>
  </cols>
  <sheetData>
    <row r="1" spans="1:20" x14ac:dyDescent="0.3">
      <c r="A1" s="382" t="s">
        <v>798</v>
      </c>
    </row>
    <row r="2" spans="1:20" ht="15" thickBot="1" x14ac:dyDescent="0.35">
      <c r="A2" s="380" t="s">
        <v>433</v>
      </c>
      <c r="B2" s="156">
        <v>50476</v>
      </c>
      <c r="C2" s="378">
        <v>50</v>
      </c>
      <c r="D2" s="50"/>
      <c r="E2" s="50"/>
      <c r="G2" s="382">
        <v>100</v>
      </c>
      <c r="I2" s="382" t="s">
        <v>330</v>
      </c>
    </row>
    <row r="3" spans="1:20" ht="15" customHeight="1" thickBot="1" x14ac:dyDescent="0.35">
      <c r="A3" s="381" t="s">
        <v>1240</v>
      </c>
      <c r="B3" s="156">
        <v>50191</v>
      </c>
      <c r="C3" s="378">
        <v>50</v>
      </c>
      <c r="D3" s="49"/>
      <c r="E3" s="50"/>
      <c r="G3" s="382">
        <v>200</v>
      </c>
      <c r="I3" s="382" t="s">
        <v>331</v>
      </c>
      <c r="O3" s="384"/>
      <c r="P3" s="384"/>
      <c r="S3" s="384"/>
      <c r="T3" s="384"/>
    </row>
    <row r="4" spans="1:20" ht="15" customHeight="1" thickBot="1" x14ac:dyDescent="0.35">
      <c r="A4" s="381" t="s">
        <v>434</v>
      </c>
      <c r="B4" s="156">
        <v>50192</v>
      </c>
      <c r="C4" s="378">
        <v>50</v>
      </c>
      <c r="D4" s="49"/>
      <c r="E4" s="50"/>
      <c r="G4" s="382">
        <v>300</v>
      </c>
      <c r="I4" s="382" t="s">
        <v>332</v>
      </c>
      <c r="O4" s="384"/>
      <c r="P4" s="384"/>
      <c r="S4" s="384"/>
      <c r="T4" s="384"/>
    </row>
    <row r="5" spans="1:20" ht="15" thickBot="1" x14ac:dyDescent="0.35">
      <c r="A5" s="381" t="s">
        <v>1241</v>
      </c>
      <c r="B5" s="156">
        <v>50193</v>
      </c>
      <c r="C5" s="378">
        <v>50</v>
      </c>
      <c r="D5" s="49"/>
      <c r="E5" s="50"/>
      <c r="G5" s="382">
        <v>400</v>
      </c>
      <c r="O5" s="384"/>
      <c r="P5" s="384"/>
      <c r="S5" s="384"/>
      <c r="T5" s="384"/>
    </row>
    <row r="6" spans="1:20" ht="15" thickBot="1" x14ac:dyDescent="0.35">
      <c r="A6" s="381" t="s">
        <v>1242</v>
      </c>
      <c r="B6" s="156">
        <v>50194</v>
      </c>
      <c r="C6" s="378">
        <v>50</v>
      </c>
      <c r="D6" s="49"/>
      <c r="E6" s="50"/>
      <c r="G6" s="382">
        <v>500</v>
      </c>
      <c r="O6" s="384"/>
      <c r="P6" s="384"/>
      <c r="S6" s="384"/>
      <c r="T6" s="384"/>
    </row>
    <row r="7" spans="1:20" ht="15" thickBot="1" x14ac:dyDescent="0.35">
      <c r="A7" s="381" t="s">
        <v>1243</v>
      </c>
      <c r="B7" s="156">
        <v>50195</v>
      </c>
      <c r="C7" s="378">
        <v>50</v>
      </c>
      <c r="D7" s="49"/>
      <c r="E7" s="50"/>
      <c r="O7" s="384"/>
      <c r="P7" s="384"/>
      <c r="S7" s="384"/>
      <c r="T7" s="384"/>
    </row>
    <row r="8" spans="1:20" ht="15" thickBot="1" x14ac:dyDescent="0.35">
      <c r="A8" s="381" t="s">
        <v>1244</v>
      </c>
      <c r="B8" s="156">
        <v>50196</v>
      </c>
      <c r="C8" s="378">
        <v>50</v>
      </c>
      <c r="D8" s="49"/>
      <c r="E8" s="50"/>
      <c r="O8" s="384"/>
      <c r="P8" s="384"/>
      <c r="S8" s="384"/>
      <c r="T8" s="384"/>
    </row>
    <row r="9" spans="1:20" ht="15" thickBot="1" x14ac:dyDescent="0.35">
      <c r="A9" s="381" t="s">
        <v>1245</v>
      </c>
      <c r="B9" s="156">
        <v>50197</v>
      </c>
      <c r="C9" s="378">
        <v>50</v>
      </c>
      <c r="D9" s="49"/>
      <c r="E9" s="50"/>
      <c r="O9" s="384"/>
      <c r="P9" s="384"/>
      <c r="S9" s="384"/>
      <c r="T9" s="384"/>
    </row>
    <row r="10" spans="1:20" ht="15" thickBot="1" x14ac:dyDescent="0.35">
      <c r="A10" s="381" t="s">
        <v>1246</v>
      </c>
      <c r="B10" s="156">
        <v>50498</v>
      </c>
      <c r="C10" s="378">
        <v>50</v>
      </c>
      <c r="D10" s="49"/>
      <c r="E10" s="50"/>
      <c r="O10" s="384"/>
      <c r="P10" s="384"/>
      <c r="S10" s="384"/>
      <c r="T10" s="384"/>
    </row>
    <row r="11" spans="1:20" ht="15" thickBot="1" x14ac:dyDescent="0.35">
      <c r="A11" s="381" t="s">
        <v>1247</v>
      </c>
      <c r="B11" s="156">
        <v>50198</v>
      </c>
      <c r="C11" s="378">
        <v>50</v>
      </c>
      <c r="D11" s="49"/>
      <c r="E11" s="50"/>
      <c r="O11" s="384"/>
      <c r="P11" s="384"/>
      <c r="S11" s="384"/>
      <c r="T11" s="384"/>
    </row>
    <row r="12" spans="1:20" ht="15" thickBot="1" x14ac:dyDescent="0.35">
      <c r="A12" s="381" t="s">
        <v>1248</v>
      </c>
      <c r="B12" s="156">
        <v>50199</v>
      </c>
      <c r="C12" s="378">
        <v>50</v>
      </c>
      <c r="D12" s="49"/>
      <c r="E12" s="50"/>
      <c r="O12" s="384"/>
      <c r="P12" s="384"/>
      <c r="S12" s="384"/>
      <c r="T12" s="384"/>
    </row>
    <row r="13" spans="1:20" ht="15" thickBot="1" x14ac:dyDescent="0.35">
      <c r="A13" s="381" t="s">
        <v>1249</v>
      </c>
      <c r="B13" s="156">
        <v>50200</v>
      </c>
      <c r="C13" s="378">
        <v>50</v>
      </c>
      <c r="D13" s="49"/>
      <c r="E13" s="50"/>
      <c r="O13" s="384"/>
      <c r="P13" s="384"/>
      <c r="S13" s="384"/>
      <c r="T13" s="384"/>
    </row>
    <row r="14" spans="1:20" ht="15" thickBot="1" x14ac:dyDescent="0.35">
      <c r="A14" s="381" t="s">
        <v>1250</v>
      </c>
      <c r="B14" s="156">
        <v>50201</v>
      </c>
      <c r="C14" s="378">
        <v>50</v>
      </c>
      <c r="D14" s="49"/>
      <c r="E14" s="50"/>
      <c r="O14" s="384"/>
      <c r="P14" s="384"/>
      <c r="S14" s="384"/>
      <c r="T14" s="384"/>
    </row>
    <row r="15" spans="1:20" ht="15" thickBot="1" x14ac:dyDescent="0.35">
      <c r="A15" s="381" t="s">
        <v>1251</v>
      </c>
      <c r="B15" s="156">
        <v>50202</v>
      </c>
      <c r="C15" s="378">
        <v>50</v>
      </c>
      <c r="D15" s="49"/>
      <c r="E15" s="50"/>
      <c r="O15" s="384"/>
      <c r="P15" s="384"/>
      <c r="S15" s="384"/>
      <c r="T15" s="384"/>
    </row>
    <row r="16" spans="1:20" ht="15" thickBot="1" x14ac:dyDescent="0.35">
      <c r="A16" s="381" t="s">
        <v>1252</v>
      </c>
      <c r="B16" s="156">
        <v>50493</v>
      </c>
      <c r="C16" s="378">
        <v>50</v>
      </c>
      <c r="D16" s="49"/>
      <c r="E16" s="50"/>
      <c r="O16" s="384"/>
      <c r="P16" s="384"/>
      <c r="S16" s="384"/>
      <c r="T16" s="384"/>
    </row>
    <row r="17" spans="1:20" ht="15" thickBot="1" x14ac:dyDescent="0.35">
      <c r="A17" s="381" t="s">
        <v>1253</v>
      </c>
      <c r="B17" s="156">
        <v>50203</v>
      </c>
      <c r="C17" s="378">
        <v>50</v>
      </c>
      <c r="D17" s="49"/>
      <c r="E17" s="50"/>
      <c r="O17" s="384"/>
      <c r="P17" s="384"/>
      <c r="S17" s="384"/>
      <c r="T17" s="384"/>
    </row>
    <row r="18" spans="1:20" ht="15" thickBot="1" x14ac:dyDescent="0.35">
      <c r="A18" s="381" t="s">
        <v>435</v>
      </c>
      <c r="B18" s="156">
        <v>50518</v>
      </c>
      <c r="C18" s="378">
        <v>50</v>
      </c>
      <c r="D18" s="49"/>
      <c r="E18" s="50"/>
      <c r="O18" s="384"/>
      <c r="P18" s="384"/>
      <c r="S18" s="384"/>
      <c r="T18" s="384"/>
    </row>
    <row r="19" spans="1:20" ht="15" thickBot="1" x14ac:dyDescent="0.35">
      <c r="A19" s="381" t="s">
        <v>1254</v>
      </c>
      <c r="B19" s="156">
        <v>50204</v>
      </c>
      <c r="C19" s="378">
        <v>50</v>
      </c>
      <c r="D19" s="49"/>
      <c r="E19" s="50"/>
      <c r="O19" s="384"/>
      <c r="P19" s="384"/>
      <c r="S19" s="384"/>
      <c r="T19" s="384"/>
    </row>
    <row r="20" spans="1:20" ht="15" thickBot="1" x14ac:dyDescent="0.35">
      <c r="A20" s="381" t="s">
        <v>1255</v>
      </c>
      <c r="B20" s="156">
        <v>50205</v>
      </c>
      <c r="C20" s="378">
        <v>50</v>
      </c>
      <c r="D20" s="49"/>
      <c r="E20" s="50"/>
      <c r="O20" s="384"/>
      <c r="P20" s="384"/>
      <c r="S20" s="384"/>
      <c r="T20" s="384"/>
    </row>
    <row r="21" spans="1:20" ht="15" thickBot="1" x14ac:dyDescent="0.35">
      <c r="A21" s="381" t="s">
        <v>1256</v>
      </c>
      <c r="B21" s="156">
        <v>50206</v>
      </c>
      <c r="C21" s="378">
        <v>50</v>
      </c>
      <c r="D21" s="49"/>
      <c r="E21" s="50"/>
      <c r="O21" s="384"/>
      <c r="P21" s="384"/>
      <c r="S21" s="384"/>
      <c r="T21" s="384"/>
    </row>
    <row r="22" spans="1:20" ht="15" thickBot="1" x14ac:dyDescent="0.35">
      <c r="A22" s="381" t="s">
        <v>1257</v>
      </c>
      <c r="B22" s="156">
        <v>50207</v>
      </c>
      <c r="C22" s="378">
        <v>50</v>
      </c>
      <c r="D22" s="49"/>
      <c r="E22" s="50"/>
      <c r="O22" s="384"/>
      <c r="P22" s="384"/>
      <c r="S22" s="384"/>
      <c r="T22" s="384"/>
    </row>
    <row r="23" spans="1:20" ht="15" thickBot="1" x14ac:dyDescent="0.35">
      <c r="A23" s="381" t="s">
        <v>1258</v>
      </c>
      <c r="B23" s="156">
        <v>50208</v>
      </c>
      <c r="C23" s="378">
        <v>50</v>
      </c>
      <c r="D23" s="49"/>
      <c r="E23" s="50"/>
      <c r="O23" s="384"/>
      <c r="P23" s="384"/>
      <c r="S23" s="384"/>
      <c r="T23" s="384"/>
    </row>
    <row r="24" spans="1:20" ht="15" thickBot="1" x14ac:dyDescent="0.35">
      <c r="A24" s="381" t="s">
        <v>1259</v>
      </c>
      <c r="B24" s="156">
        <v>50209</v>
      </c>
      <c r="C24" s="378">
        <v>50</v>
      </c>
      <c r="D24" s="49"/>
      <c r="E24" s="50"/>
      <c r="O24" s="384"/>
      <c r="P24" s="384"/>
      <c r="S24" s="384"/>
      <c r="T24" s="384"/>
    </row>
    <row r="25" spans="1:20" ht="15" thickBot="1" x14ac:dyDescent="0.35">
      <c r="A25" s="381" t="s">
        <v>1260</v>
      </c>
      <c r="B25" s="156">
        <v>50210</v>
      </c>
      <c r="C25" s="378">
        <v>50</v>
      </c>
      <c r="D25" s="49"/>
      <c r="E25" s="50"/>
      <c r="O25" s="384"/>
      <c r="P25" s="384"/>
      <c r="S25" s="384"/>
      <c r="T25" s="384"/>
    </row>
    <row r="26" spans="1:20" ht="15" thickBot="1" x14ac:dyDescent="0.35">
      <c r="A26" s="381" t="s">
        <v>1261</v>
      </c>
      <c r="B26" s="156">
        <v>50519</v>
      </c>
      <c r="C26" s="378">
        <v>50</v>
      </c>
      <c r="D26" s="49"/>
      <c r="E26" s="50"/>
      <c r="O26" s="384"/>
      <c r="P26" s="384"/>
      <c r="S26" s="384"/>
      <c r="T26" s="384"/>
    </row>
    <row r="27" spans="1:20" ht="15" thickBot="1" x14ac:dyDescent="0.35">
      <c r="A27" s="381" t="s">
        <v>1262</v>
      </c>
      <c r="B27" s="156">
        <v>50528</v>
      </c>
      <c r="C27" s="378">
        <v>50</v>
      </c>
      <c r="D27" s="49"/>
      <c r="E27" s="50"/>
      <c r="O27" s="384"/>
      <c r="P27" s="384"/>
      <c r="S27" s="384"/>
      <c r="T27" s="384"/>
    </row>
    <row r="28" spans="1:20" ht="15" thickBot="1" x14ac:dyDescent="0.35">
      <c r="A28" s="381" t="s">
        <v>1263</v>
      </c>
      <c r="B28" s="156">
        <v>50211</v>
      </c>
      <c r="C28" s="378">
        <v>50</v>
      </c>
      <c r="D28" s="49"/>
      <c r="E28" s="50"/>
      <c r="O28" s="384"/>
      <c r="P28" s="384"/>
      <c r="S28" s="384"/>
      <c r="T28" s="384"/>
    </row>
    <row r="29" spans="1:20" ht="15" thickBot="1" x14ac:dyDescent="0.35">
      <c r="A29" s="381" t="s">
        <v>1264</v>
      </c>
      <c r="B29" s="156">
        <v>50212</v>
      </c>
      <c r="C29" s="378">
        <v>50</v>
      </c>
      <c r="D29" s="49"/>
      <c r="E29" s="50"/>
      <c r="O29" s="384"/>
      <c r="P29" s="384"/>
      <c r="S29" s="384"/>
      <c r="T29" s="384"/>
    </row>
    <row r="30" spans="1:20" ht="15" thickBot="1" x14ac:dyDescent="0.35">
      <c r="A30" s="381" t="s">
        <v>1265</v>
      </c>
      <c r="B30" s="156">
        <v>50213</v>
      </c>
      <c r="C30" s="378">
        <v>50</v>
      </c>
      <c r="D30" s="49"/>
      <c r="E30" s="50"/>
      <c r="O30" s="384"/>
      <c r="P30" s="384"/>
      <c r="S30" s="384"/>
      <c r="T30" s="384"/>
    </row>
    <row r="31" spans="1:20" ht="15" thickBot="1" x14ac:dyDescent="0.35">
      <c r="A31" s="381" t="s">
        <v>1266</v>
      </c>
      <c r="B31" s="156">
        <v>50214</v>
      </c>
      <c r="C31" s="378">
        <v>50</v>
      </c>
      <c r="D31" s="49"/>
      <c r="E31" s="50"/>
      <c r="O31" s="384"/>
      <c r="P31" s="384"/>
      <c r="S31" s="384"/>
      <c r="T31" s="384"/>
    </row>
    <row r="32" spans="1:20" ht="15" thickBot="1" x14ac:dyDescent="0.35">
      <c r="A32" s="381" t="s">
        <v>1267</v>
      </c>
      <c r="B32" s="156">
        <v>50215</v>
      </c>
      <c r="C32" s="378">
        <v>50</v>
      </c>
      <c r="D32" s="49"/>
      <c r="E32" s="50"/>
      <c r="O32" s="384"/>
      <c r="P32" s="384"/>
      <c r="S32" s="384"/>
      <c r="T32" s="384"/>
    </row>
    <row r="33" spans="1:20" ht="15" thickBot="1" x14ac:dyDescent="0.35">
      <c r="A33" s="381" t="s">
        <v>1268</v>
      </c>
      <c r="B33" s="156">
        <v>50216</v>
      </c>
      <c r="C33" s="378">
        <v>50</v>
      </c>
      <c r="D33" s="49"/>
      <c r="E33" s="50"/>
      <c r="O33" s="384"/>
      <c r="P33" s="384"/>
      <c r="S33" s="384"/>
      <c r="T33" s="384"/>
    </row>
    <row r="34" spans="1:20" ht="15" thickBot="1" x14ac:dyDescent="0.35">
      <c r="A34" s="381" t="s">
        <v>1269</v>
      </c>
      <c r="B34" s="156">
        <v>50217</v>
      </c>
      <c r="C34" s="378">
        <v>50</v>
      </c>
      <c r="D34" s="49"/>
      <c r="E34" s="50"/>
      <c r="O34" s="384"/>
      <c r="P34" s="384"/>
      <c r="S34" s="384"/>
      <c r="T34" s="384"/>
    </row>
    <row r="35" spans="1:20" ht="15" thickBot="1" x14ac:dyDescent="0.35">
      <c r="A35" s="381" t="s">
        <v>1270</v>
      </c>
      <c r="B35" s="156">
        <v>50218</v>
      </c>
      <c r="C35" s="378">
        <v>50</v>
      </c>
      <c r="D35" s="49"/>
      <c r="E35" s="50"/>
      <c r="O35" s="384"/>
      <c r="P35" s="384"/>
      <c r="S35" s="384"/>
      <c r="T35" s="384"/>
    </row>
    <row r="36" spans="1:20" ht="15" thickBot="1" x14ac:dyDescent="0.35">
      <c r="A36" s="381" t="s">
        <v>1271</v>
      </c>
      <c r="B36" s="156">
        <v>50477</v>
      </c>
      <c r="C36" s="378">
        <v>50</v>
      </c>
      <c r="D36" s="49"/>
      <c r="E36" s="50"/>
      <c r="O36" s="384"/>
      <c r="P36" s="384"/>
      <c r="S36" s="384"/>
      <c r="T36" s="384"/>
    </row>
    <row r="37" spans="1:20" ht="15" thickBot="1" x14ac:dyDescent="0.35">
      <c r="A37" s="381" t="s">
        <v>1272</v>
      </c>
      <c r="B37" s="156">
        <v>50520</v>
      </c>
      <c r="C37" s="378">
        <v>50</v>
      </c>
      <c r="D37" s="49"/>
      <c r="E37" s="50"/>
      <c r="O37" s="384"/>
      <c r="P37" s="384"/>
      <c r="S37" s="384"/>
      <c r="T37" s="384"/>
    </row>
    <row r="38" spans="1:20" ht="15" thickBot="1" x14ac:dyDescent="0.35">
      <c r="A38" s="381" t="s">
        <v>1273</v>
      </c>
      <c r="B38" s="156">
        <v>50219</v>
      </c>
      <c r="C38" s="378">
        <v>50</v>
      </c>
      <c r="D38" s="49"/>
      <c r="E38" s="50"/>
      <c r="O38" s="384"/>
      <c r="P38" s="384"/>
      <c r="S38" s="384"/>
      <c r="T38" s="384"/>
    </row>
    <row r="39" spans="1:20" ht="15" thickBot="1" x14ac:dyDescent="0.35">
      <c r="A39" s="381" t="s">
        <v>1274</v>
      </c>
      <c r="B39" s="156">
        <v>50220</v>
      </c>
      <c r="C39" s="378">
        <v>50</v>
      </c>
      <c r="D39" s="49"/>
      <c r="E39" s="50"/>
      <c r="O39" s="384"/>
      <c r="P39" s="384"/>
      <c r="S39" s="384"/>
      <c r="T39" s="384"/>
    </row>
    <row r="40" spans="1:20" ht="15" thickBot="1" x14ac:dyDescent="0.35">
      <c r="A40" s="381" t="s">
        <v>1275</v>
      </c>
      <c r="B40" s="156">
        <v>50536</v>
      </c>
      <c r="C40" s="378">
        <v>50</v>
      </c>
      <c r="D40" s="49"/>
      <c r="E40" s="50"/>
      <c r="O40" s="384"/>
      <c r="P40" s="384"/>
      <c r="S40" s="384"/>
      <c r="T40" s="384"/>
    </row>
    <row r="41" spans="1:20" ht="15" thickBot="1" x14ac:dyDescent="0.35">
      <c r="A41" s="381" t="s">
        <v>1276</v>
      </c>
      <c r="B41" s="156">
        <v>50221</v>
      </c>
      <c r="C41" s="378">
        <v>50</v>
      </c>
      <c r="D41" s="49"/>
      <c r="E41" s="50"/>
      <c r="O41" s="384"/>
      <c r="P41" s="384"/>
      <c r="S41" s="384"/>
      <c r="T41" s="384"/>
    </row>
    <row r="42" spans="1:20" ht="15" thickBot="1" x14ac:dyDescent="0.35">
      <c r="A42" s="381" t="s">
        <v>1277</v>
      </c>
      <c r="B42" s="156">
        <v>50222</v>
      </c>
      <c r="C42" s="378">
        <v>50</v>
      </c>
      <c r="D42" s="49"/>
      <c r="E42" s="50"/>
      <c r="O42" s="384"/>
      <c r="P42" s="384"/>
      <c r="S42" s="384"/>
      <c r="T42" s="384"/>
    </row>
    <row r="43" spans="1:20" ht="15" thickBot="1" x14ac:dyDescent="0.35">
      <c r="A43" s="381" t="s">
        <v>1278</v>
      </c>
      <c r="B43" s="156">
        <v>50223</v>
      </c>
      <c r="C43" s="378">
        <v>50</v>
      </c>
      <c r="D43" s="49"/>
      <c r="E43" s="50"/>
      <c r="O43" s="384"/>
      <c r="P43" s="384"/>
      <c r="S43" s="384"/>
      <c r="T43" s="384"/>
    </row>
    <row r="44" spans="1:20" ht="15" thickBot="1" x14ac:dyDescent="0.35">
      <c r="A44" s="381" t="s">
        <v>1279</v>
      </c>
      <c r="B44" s="156">
        <v>50224</v>
      </c>
      <c r="C44" s="378">
        <v>50</v>
      </c>
      <c r="D44" s="49"/>
      <c r="E44" s="50"/>
      <c r="O44" s="384"/>
      <c r="P44" s="384"/>
      <c r="S44" s="384"/>
      <c r="T44" s="384"/>
    </row>
    <row r="45" spans="1:20" ht="15" thickBot="1" x14ac:dyDescent="0.35">
      <c r="A45" s="381" t="s">
        <v>1280</v>
      </c>
      <c r="B45" s="156">
        <v>50225</v>
      </c>
      <c r="C45" s="378">
        <v>50</v>
      </c>
      <c r="D45" s="49"/>
      <c r="E45" s="50"/>
      <c r="O45" s="384"/>
      <c r="P45" s="384"/>
      <c r="S45" s="384"/>
      <c r="T45" s="384"/>
    </row>
    <row r="46" spans="1:20" ht="15" thickBot="1" x14ac:dyDescent="0.35">
      <c r="A46" s="381" t="s">
        <v>1281</v>
      </c>
      <c r="B46" s="156">
        <v>50226</v>
      </c>
      <c r="C46" s="378">
        <v>50</v>
      </c>
      <c r="D46" s="49"/>
      <c r="E46" s="50"/>
      <c r="O46" s="384"/>
      <c r="P46" s="384"/>
      <c r="S46" s="384"/>
      <c r="T46" s="384"/>
    </row>
    <row r="47" spans="1:20" ht="15" thickBot="1" x14ac:dyDescent="0.35">
      <c r="A47" s="381" t="s">
        <v>1282</v>
      </c>
      <c r="B47" s="156">
        <v>50227</v>
      </c>
      <c r="C47" s="378">
        <v>50</v>
      </c>
      <c r="D47" s="49"/>
      <c r="E47" s="50"/>
      <c r="O47" s="384"/>
      <c r="P47" s="384"/>
      <c r="S47" s="384"/>
      <c r="T47" s="384"/>
    </row>
    <row r="48" spans="1:20" ht="15" thickBot="1" x14ac:dyDescent="0.35">
      <c r="A48" s="381" t="s">
        <v>1283</v>
      </c>
      <c r="B48" s="156">
        <v>50455</v>
      </c>
      <c r="C48" s="378">
        <v>50</v>
      </c>
      <c r="D48" s="49"/>
      <c r="E48" s="50"/>
      <c r="O48" s="384"/>
      <c r="P48" s="384"/>
      <c r="S48" s="384"/>
      <c r="T48" s="384"/>
    </row>
    <row r="49" spans="1:20" ht="15" thickBot="1" x14ac:dyDescent="0.35">
      <c r="A49" s="381" t="s">
        <v>1284</v>
      </c>
      <c r="B49" s="156">
        <v>50229</v>
      </c>
      <c r="C49" s="378">
        <v>50</v>
      </c>
      <c r="D49" s="49"/>
      <c r="E49" s="50"/>
      <c r="O49" s="384"/>
      <c r="P49" s="384"/>
      <c r="S49" s="384"/>
      <c r="T49" s="384"/>
    </row>
    <row r="50" spans="1:20" ht="15" thickBot="1" x14ac:dyDescent="0.35">
      <c r="A50" s="381" t="s">
        <v>1285</v>
      </c>
      <c r="B50" s="156">
        <v>50230</v>
      </c>
      <c r="C50" s="378">
        <v>50</v>
      </c>
      <c r="D50" s="49"/>
      <c r="E50" s="50"/>
      <c r="O50" s="384"/>
      <c r="P50" s="384"/>
      <c r="S50" s="384"/>
      <c r="T50" s="384"/>
    </row>
    <row r="51" spans="1:20" ht="15" thickBot="1" x14ac:dyDescent="0.35">
      <c r="A51" s="381" t="s">
        <v>436</v>
      </c>
      <c r="B51" s="156">
        <v>50231</v>
      </c>
      <c r="C51" s="378">
        <v>50</v>
      </c>
      <c r="D51" s="49"/>
      <c r="E51" s="50"/>
      <c r="O51" s="384"/>
      <c r="P51" s="384"/>
      <c r="S51" s="384"/>
      <c r="T51" s="384"/>
    </row>
    <row r="52" spans="1:20" ht="15" thickBot="1" x14ac:dyDescent="0.35">
      <c r="A52" s="381" t="s">
        <v>1286</v>
      </c>
      <c r="B52" s="156">
        <v>50232</v>
      </c>
      <c r="C52" s="378">
        <v>50</v>
      </c>
      <c r="D52" s="49"/>
      <c r="E52" s="50"/>
      <c r="O52" s="384"/>
      <c r="P52" s="384"/>
      <c r="S52" s="384"/>
      <c r="T52" s="384"/>
    </row>
    <row r="53" spans="1:20" ht="15" thickBot="1" x14ac:dyDescent="0.35">
      <c r="A53" s="381" t="s">
        <v>437</v>
      </c>
      <c r="B53" s="156">
        <v>50233</v>
      </c>
      <c r="C53" s="378">
        <v>50</v>
      </c>
      <c r="D53" s="49"/>
      <c r="E53" s="50"/>
      <c r="O53" s="384"/>
      <c r="P53" s="384"/>
      <c r="S53" s="384"/>
      <c r="T53" s="384"/>
    </row>
    <row r="54" spans="1:20" ht="15" thickBot="1" x14ac:dyDescent="0.35">
      <c r="A54" s="381" t="s">
        <v>1287</v>
      </c>
      <c r="B54" s="156">
        <v>50234</v>
      </c>
      <c r="C54" s="378">
        <v>50</v>
      </c>
      <c r="D54" s="49"/>
      <c r="E54" s="50"/>
      <c r="O54" s="384"/>
      <c r="P54" s="384"/>
      <c r="S54" s="384"/>
      <c r="T54" s="384"/>
    </row>
    <row r="55" spans="1:20" ht="15" thickBot="1" x14ac:dyDescent="0.35">
      <c r="A55" s="381" t="s">
        <v>438</v>
      </c>
      <c r="B55" s="156">
        <v>50235</v>
      </c>
      <c r="C55" s="378">
        <v>50</v>
      </c>
      <c r="D55" s="49"/>
      <c r="E55" s="50"/>
      <c r="O55" s="384"/>
      <c r="P55" s="384"/>
      <c r="S55" s="384"/>
      <c r="T55" s="384"/>
    </row>
    <row r="56" spans="1:20" ht="15" thickBot="1" x14ac:dyDescent="0.35">
      <c r="A56" s="381" t="s">
        <v>439</v>
      </c>
      <c r="B56" s="156">
        <v>50236</v>
      </c>
      <c r="C56" s="378">
        <v>50</v>
      </c>
      <c r="D56" s="49"/>
      <c r="E56" s="50"/>
      <c r="O56" s="384"/>
      <c r="P56" s="384"/>
      <c r="S56" s="384"/>
      <c r="T56" s="384"/>
    </row>
    <row r="57" spans="1:20" ht="15" thickBot="1" x14ac:dyDescent="0.35">
      <c r="A57" s="381" t="s">
        <v>390</v>
      </c>
      <c r="B57" s="156">
        <v>50237</v>
      </c>
      <c r="C57" s="378">
        <v>50</v>
      </c>
      <c r="D57" s="49"/>
      <c r="E57" s="50"/>
      <c r="O57" s="384"/>
      <c r="P57" s="384"/>
      <c r="S57" s="384"/>
      <c r="T57" s="384"/>
    </row>
    <row r="58" spans="1:20" ht="15" thickBot="1" x14ac:dyDescent="0.35">
      <c r="A58" s="381" t="s">
        <v>1288</v>
      </c>
      <c r="B58" s="156">
        <v>50238</v>
      </c>
      <c r="C58" s="378">
        <v>50</v>
      </c>
      <c r="D58" s="49"/>
      <c r="E58" s="50"/>
      <c r="O58" s="384"/>
      <c r="P58" s="384"/>
      <c r="S58" s="384"/>
      <c r="T58" s="384"/>
    </row>
    <row r="59" spans="1:20" ht="15" thickBot="1" x14ac:dyDescent="0.35">
      <c r="A59" s="381" t="s">
        <v>1289</v>
      </c>
      <c r="B59" s="156">
        <v>50444</v>
      </c>
      <c r="C59" s="378">
        <v>50</v>
      </c>
      <c r="D59" s="49"/>
      <c r="E59" s="50"/>
      <c r="O59" s="384"/>
      <c r="P59" s="384"/>
      <c r="S59" s="384"/>
      <c r="T59" s="384"/>
    </row>
    <row r="60" spans="1:20" ht="15" thickBot="1" x14ac:dyDescent="0.35">
      <c r="A60" s="381" t="s">
        <v>440</v>
      </c>
      <c r="B60" s="156">
        <v>50239</v>
      </c>
      <c r="C60" s="378">
        <v>50</v>
      </c>
      <c r="D60" s="49"/>
      <c r="E60" s="50"/>
      <c r="O60" s="384"/>
      <c r="P60" s="384"/>
      <c r="S60" s="384"/>
      <c r="T60" s="384"/>
    </row>
    <row r="61" spans="1:20" ht="15" thickBot="1" x14ac:dyDescent="0.35">
      <c r="A61" s="381" t="s">
        <v>1290</v>
      </c>
      <c r="B61" s="156">
        <v>50240</v>
      </c>
      <c r="C61" s="378">
        <v>50</v>
      </c>
      <c r="D61" s="49"/>
      <c r="E61" s="50"/>
      <c r="O61" s="384"/>
      <c r="P61" s="384"/>
      <c r="S61" s="384"/>
      <c r="T61" s="384"/>
    </row>
    <row r="62" spans="1:20" ht="15" thickBot="1" x14ac:dyDescent="0.35">
      <c r="A62" s="381" t="s">
        <v>1291</v>
      </c>
      <c r="B62" s="156">
        <v>50241</v>
      </c>
      <c r="C62" s="378">
        <v>50</v>
      </c>
      <c r="D62" s="49"/>
      <c r="E62" s="50"/>
      <c r="O62" s="384"/>
      <c r="P62" s="384"/>
      <c r="S62" s="384"/>
      <c r="T62" s="384"/>
    </row>
    <row r="63" spans="1:20" ht="15" thickBot="1" x14ac:dyDescent="0.35">
      <c r="A63" s="381" t="s">
        <v>1292</v>
      </c>
      <c r="B63" s="156">
        <v>50521</v>
      </c>
      <c r="C63" s="378">
        <v>50</v>
      </c>
      <c r="D63" s="49"/>
      <c r="E63" s="50"/>
      <c r="O63" s="384"/>
      <c r="P63" s="384"/>
      <c r="S63" s="384"/>
      <c r="T63" s="384"/>
    </row>
    <row r="64" spans="1:20" ht="15" thickBot="1" x14ac:dyDescent="0.35">
      <c r="A64" s="381" t="s">
        <v>1293</v>
      </c>
      <c r="B64" s="156">
        <v>50242</v>
      </c>
      <c r="C64" s="378">
        <v>50</v>
      </c>
      <c r="D64" s="49"/>
      <c r="E64" s="50"/>
      <c r="O64" s="384"/>
      <c r="P64" s="384"/>
      <c r="S64" s="384"/>
      <c r="T64" s="384"/>
    </row>
    <row r="65" spans="1:20" ht="15" thickBot="1" x14ac:dyDescent="0.35">
      <c r="A65" s="381" t="s">
        <v>1294</v>
      </c>
      <c r="B65" s="156">
        <v>50244</v>
      </c>
      <c r="C65" s="378">
        <v>50</v>
      </c>
      <c r="D65" s="49"/>
      <c r="E65" s="50"/>
      <c r="O65" s="384"/>
      <c r="P65" s="384"/>
      <c r="S65" s="384"/>
      <c r="T65" s="384"/>
    </row>
    <row r="66" spans="1:20" ht="15" thickBot="1" x14ac:dyDescent="0.35">
      <c r="A66" s="381" t="s">
        <v>1295</v>
      </c>
      <c r="B66" s="156">
        <v>50243</v>
      </c>
      <c r="C66" s="378">
        <v>50</v>
      </c>
      <c r="D66" s="49"/>
      <c r="E66" s="50"/>
      <c r="O66" s="384"/>
      <c r="P66" s="384"/>
      <c r="S66" s="384"/>
      <c r="T66" s="384"/>
    </row>
    <row r="67" spans="1:20" ht="15" thickBot="1" x14ac:dyDescent="0.35">
      <c r="A67" s="381" t="s">
        <v>1296</v>
      </c>
      <c r="B67" s="156">
        <v>50245</v>
      </c>
      <c r="C67" s="378">
        <v>50</v>
      </c>
      <c r="D67" s="49"/>
      <c r="E67" s="50"/>
      <c r="O67" s="384"/>
      <c r="P67" s="384"/>
      <c r="S67" s="384"/>
      <c r="T67" s="384"/>
    </row>
    <row r="68" spans="1:20" ht="15" thickBot="1" x14ac:dyDescent="0.35">
      <c r="A68" s="381" t="s">
        <v>1297</v>
      </c>
      <c r="B68" s="156">
        <v>50522</v>
      </c>
      <c r="C68" s="378">
        <v>50</v>
      </c>
      <c r="D68" s="49"/>
      <c r="E68" s="50"/>
      <c r="O68" s="384"/>
      <c r="P68" s="384"/>
      <c r="S68" s="384"/>
      <c r="T68" s="384"/>
    </row>
    <row r="69" spans="1:20" x14ac:dyDescent="0.3">
      <c r="A69" s="382" t="s">
        <v>1298</v>
      </c>
      <c r="B69" s="382">
        <v>50246</v>
      </c>
      <c r="C69" s="378">
        <v>50</v>
      </c>
    </row>
    <row r="70" spans="1:20" x14ac:dyDescent="0.3">
      <c r="A70" s="382" t="s">
        <v>1299</v>
      </c>
      <c r="B70" s="382">
        <v>50247</v>
      </c>
      <c r="C70" s="378">
        <v>50</v>
      </c>
    </row>
    <row r="71" spans="1:20" x14ac:dyDescent="0.3">
      <c r="A71" s="382" t="s">
        <v>1300</v>
      </c>
      <c r="B71" s="382">
        <v>50248</v>
      </c>
      <c r="C71" s="378">
        <v>50</v>
      </c>
    </row>
    <row r="72" spans="1:20" x14ac:dyDescent="0.3">
      <c r="A72" s="382" t="s">
        <v>441</v>
      </c>
      <c r="B72" s="382">
        <v>50249</v>
      </c>
      <c r="C72" s="378">
        <v>50</v>
      </c>
    </row>
    <row r="73" spans="1:20" x14ac:dyDescent="0.3">
      <c r="A73" s="382" t="s">
        <v>1301</v>
      </c>
      <c r="B73" s="382">
        <v>50250</v>
      </c>
      <c r="C73" s="378">
        <v>50</v>
      </c>
    </row>
    <row r="74" spans="1:20" x14ac:dyDescent="0.3">
      <c r="A74" s="382" t="s">
        <v>1302</v>
      </c>
      <c r="B74" s="382">
        <v>50251</v>
      </c>
      <c r="C74" s="378">
        <v>50</v>
      </c>
    </row>
    <row r="75" spans="1:20" x14ac:dyDescent="0.3">
      <c r="A75" s="382" t="s">
        <v>1303</v>
      </c>
      <c r="B75" s="382">
        <v>50252</v>
      </c>
      <c r="C75" s="378">
        <v>50</v>
      </c>
    </row>
    <row r="76" spans="1:20" x14ac:dyDescent="0.3">
      <c r="A76" s="382" t="s">
        <v>1304</v>
      </c>
      <c r="B76" s="382">
        <v>50253</v>
      </c>
      <c r="C76" s="378">
        <v>50</v>
      </c>
    </row>
    <row r="77" spans="1:20" x14ac:dyDescent="0.3">
      <c r="A77" s="382" t="s">
        <v>1305</v>
      </c>
      <c r="B77" s="382">
        <v>50454</v>
      </c>
      <c r="C77" s="378">
        <v>50</v>
      </c>
    </row>
    <row r="78" spans="1:20" x14ac:dyDescent="0.3">
      <c r="C78" s="378"/>
    </row>
    <row r="79" spans="1:20" x14ac:dyDescent="0.3">
      <c r="C79" s="378"/>
    </row>
    <row r="80" spans="1:20" x14ac:dyDescent="0.3">
      <c r="C80" s="378"/>
    </row>
    <row r="81" spans="3:3" x14ac:dyDescent="0.3">
      <c r="C81" s="378"/>
    </row>
    <row r="82" spans="3:3" x14ac:dyDescent="0.3">
      <c r="C82" s="378"/>
    </row>
    <row r="83" spans="3:3" x14ac:dyDescent="0.3">
      <c r="C83" s="378"/>
    </row>
    <row r="84" spans="3:3" x14ac:dyDescent="0.3">
      <c r="C84" s="378"/>
    </row>
    <row r="85" spans="3:3" x14ac:dyDescent="0.3">
      <c r="C85" s="378"/>
    </row>
    <row r="86" spans="3:3" x14ac:dyDescent="0.3">
      <c r="C86" s="378"/>
    </row>
    <row r="87" spans="3:3" x14ac:dyDescent="0.3">
      <c r="C87" s="378"/>
    </row>
    <row r="88" spans="3:3" x14ac:dyDescent="0.3">
      <c r="C88" s="378"/>
    </row>
    <row r="89" spans="3:3" x14ac:dyDescent="0.3">
      <c r="C89" s="378"/>
    </row>
    <row r="90" spans="3:3" x14ac:dyDescent="0.3">
      <c r="C90" s="378"/>
    </row>
    <row r="91" spans="3:3" x14ac:dyDescent="0.3">
      <c r="C91" s="378"/>
    </row>
    <row r="92" spans="3:3" x14ac:dyDescent="0.3">
      <c r="C92" s="378"/>
    </row>
    <row r="93" spans="3:3" x14ac:dyDescent="0.3">
      <c r="C93" s="378"/>
    </row>
    <row r="94" spans="3:3" x14ac:dyDescent="0.3">
      <c r="C94" s="378"/>
    </row>
    <row r="95" spans="3:3" x14ac:dyDescent="0.3">
      <c r="C95" s="378"/>
    </row>
  </sheetData>
  <sheetProtection algorithmName="SHA-512" hashValue="yA4lU8mo0jjb8eHN+ft/gOXDnY4uXAZDBG2JWeybDtJpIu9Ol7w6EGuqzvgo1V5hb3R4+RidHzuyuQgU2cuceQ==" saltValue="I5azEGBSKgw8KK1xqVRa8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7" customWidth="1"/>
    <col min="2" max="2" width="20.6640625" style="5" customWidth="1"/>
    <col min="3" max="3" width="17.44140625" style="5" customWidth="1"/>
    <col min="4" max="4" width="46.33203125" style="384" customWidth="1"/>
    <col min="5" max="5" width="17.109375" style="18" customWidth="1"/>
    <col min="6" max="6" width="21.5546875" style="384" customWidth="1"/>
    <col min="7" max="7" width="26.6640625" style="449" customWidth="1"/>
    <col min="8" max="8" width="24.33203125" style="309" customWidth="1"/>
    <col min="9" max="10" width="24" style="384" customWidth="1"/>
    <col min="11" max="11" width="17.33203125" style="18" customWidth="1"/>
    <col min="12" max="12" width="11.6640625" style="18" hidden="1" customWidth="1"/>
    <col min="13" max="13" width="4" hidden="1" customWidth="1"/>
    <col min="14" max="14" width="11" style="18" hidden="1" customWidth="1"/>
    <col min="15" max="15" width="3.33203125" style="186"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4"/>
  </cols>
  <sheetData>
    <row r="1" spans="1:123" ht="15" thickBot="1" x14ac:dyDescent="0.35">
      <c r="B1" s="451" t="s">
        <v>386</v>
      </c>
      <c r="C1" s="451"/>
      <c r="E1" s="385" t="s">
        <v>35</v>
      </c>
      <c r="F1" s="386">
        <v>2024</v>
      </c>
      <c r="G1" s="115" t="s">
        <v>118</v>
      </c>
      <c r="H1" s="387"/>
      <c r="I1" s="388"/>
      <c r="J1" s="388"/>
      <c r="K1" s="389"/>
      <c r="N1" s="18" t="s">
        <v>50</v>
      </c>
      <c r="P1" s="18">
        <v>1</v>
      </c>
      <c r="Q1" s="18" t="s">
        <v>1059</v>
      </c>
    </row>
    <row r="2" spans="1:123" ht="44.25" customHeight="1" thickBot="1" x14ac:dyDescent="0.35">
      <c r="B2" s="1063" t="s">
        <v>282</v>
      </c>
      <c r="C2" s="1064"/>
      <c r="D2" s="390" t="s">
        <v>798</v>
      </c>
      <c r="E2" s="1061" t="s">
        <v>294</v>
      </c>
      <c r="F2" s="1061"/>
      <c r="G2" s="1062"/>
      <c r="H2" s="1036" t="s">
        <v>2662</v>
      </c>
      <c r="N2" s="18" t="s">
        <v>51</v>
      </c>
      <c r="O2" s="186">
        <v>50</v>
      </c>
      <c r="P2" s="18">
        <v>2</v>
      </c>
      <c r="Q2" s="18">
        <v>9004</v>
      </c>
    </row>
    <row r="3" spans="1:123" ht="15" thickBot="1" x14ac:dyDescent="0.35">
      <c r="B3" s="452" t="s">
        <v>0</v>
      </c>
      <c r="C3" s="453"/>
      <c r="D3" s="392" t="e">
        <f>VLOOKUP(D2,'Unit Names(H)'!A2:B139,2,FALSE)</f>
        <v>#N/A</v>
      </c>
      <c r="E3" s="523"/>
      <c r="F3" s="393"/>
      <c r="G3" s="394"/>
      <c r="H3" s="391"/>
      <c r="O3" s="186">
        <v>51</v>
      </c>
      <c r="P3" s="18">
        <v>3</v>
      </c>
    </row>
    <row r="4" spans="1:123" ht="15" thickBot="1" x14ac:dyDescent="0.35">
      <c r="B4" s="454" t="s">
        <v>665</v>
      </c>
      <c r="C4" s="455"/>
      <c r="D4" s="395"/>
      <c r="E4" s="395"/>
      <c r="F4" s="396"/>
      <c r="G4" s="397"/>
      <c r="H4" s="391"/>
      <c r="I4" s="2"/>
      <c r="J4" s="2"/>
      <c r="N4" s="18" t="s">
        <v>322</v>
      </c>
      <c r="O4" s="186">
        <v>52</v>
      </c>
      <c r="P4" s="18">
        <v>4</v>
      </c>
    </row>
    <row r="5" spans="1:123" ht="37.5" customHeight="1" thickBot="1" x14ac:dyDescent="0.35">
      <c r="A5" s="373" t="s">
        <v>383</v>
      </c>
      <c r="B5" s="945" t="s">
        <v>103</v>
      </c>
      <c r="C5" s="945" t="s">
        <v>120</v>
      </c>
      <c r="D5" s="946" t="s">
        <v>1</v>
      </c>
      <c r="E5" s="946">
        <v>2023</v>
      </c>
      <c r="F5" s="398">
        <v>2024</v>
      </c>
      <c r="G5" s="947" t="s">
        <v>773</v>
      </c>
      <c r="H5" s="399" t="s">
        <v>298</v>
      </c>
      <c r="I5" s="386" t="s">
        <v>13</v>
      </c>
      <c r="J5" s="386"/>
      <c r="N5" s="18" t="s">
        <v>427</v>
      </c>
    </row>
    <row r="6" spans="1:123" ht="48" customHeight="1" thickBot="1" x14ac:dyDescent="0.4">
      <c r="A6" s="373"/>
      <c r="B6" s="1070" t="s">
        <v>1872</v>
      </c>
      <c r="C6" s="1071"/>
      <c r="D6" s="1071"/>
      <c r="E6" s="1071"/>
      <c r="F6" s="1071"/>
      <c r="G6" s="1072"/>
      <c r="H6" s="937"/>
      <c r="I6" s="386"/>
      <c r="J6" s="386"/>
      <c r="M6" s="180"/>
      <c r="N6" s="342" t="s">
        <v>461</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3"/>
      <c r="B7" s="1070" t="s">
        <v>1907</v>
      </c>
      <c r="C7" s="1071"/>
      <c r="D7" s="1071"/>
      <c r="E7" s="1071"/>
      <c r="F7" s="1071"/>
      <c r="G7" s="1072"/>
      <c r="H7" s="937"/>
      <c r="I7" s="386"/>
      <c r="J7" s="386"/>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78" t="s">
        <v>119</v>
      </c>
      <c r="C8" s="479"/>
      <c r="D8" s="480"/>
      <c r="E8" s="481"/>
      <c r="F8" s="482"/>
      <c r="G8" s="474"/>
      <c r="H8" s="17"/>
      <c r="K8" s="760"/>
      <c r="N8" s="18" t="s">
        <v>410</v>
      </c>
    </row>
    <row r="9" spans="1:123" s="18" customFormat="1" ht="72.599999999999994" customHeight="1" x14ac:dyDescent="0.3">
      <c r="A9" s="550">
        <v>333</v>
      </c>
      <c r="B9" s="373" t="s">
        <v>66</v>
      </c>
      <c r="C9" s="373" t="s">
        <v>121</v>
      </c>
      <c r="D9" s="383" t="s">
        <v>666</v>
      </c>
      <c r="E9" s="371" t="e">
        <f>INDEX('PY1 Data(H)'!$A$1:$CZ$265,MATCH('Unit Data from Audit Worksheet'!$A9,'PY1 Data(H)'!$A$1:$A$258,0),MATCH('Unit Data from Audit Worksheet'!$D$2,'PY1 Data(H)'!$A$1:$CZ$1,0))</f>
        <v>#N/A</v>
      </c>
      <c r="F9" s="793">
        <v>0</v>
      </c>
      <c r="G9" s="401">
        <f>IF(F9&lt;0,"Note: Number is normally positive.",)</f>
        <v>0</v>
      </c>
      <c r="H9" s="402"/>
      <c r="I9" s="402"/>
      <c r="J9" s="403"/>
      <c r="K9" s="292"/>
      <c r="L9" s="547"/>
      <c r="M9"/>
      <c r="N9" s="18" t="s">
        <v>428</v>
      </c>
      <c r="O9" s="186"/>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3" t="s">
        <v>54</v>
      </c>
      <c r="C10" s="373" t="s">
        <v>121</v>
      </c>
      <c r="D10" s="383" t="s">
        <v>667</v>
      </c>
      <c r="E10" s="371" t="e">
        <f>INDEX('PY1 Data(H)'!$A$1:$CZ$265,MATCH('Unit Data from Audit Worksheet'!$A10,'PY1 Data(H)'!$A$1:$A$258,0),MATCH('Unit Data from Audit Worksheet'!$D$2,'PY1 Data(H)'!$A$1:$CZ$1,0))</f>
        <v>#N/A</v>
      </c>
      <c r="F10" s="793">
        <v>0</v>
      </c>
      <c r="G10" s="401">
        <f>IF(F10&lt;0,"Note: Number is normally positive.",)</f>
        <v>0</v>
      </c>
      <c r="H10" s="402"/>
      <c r="I10" s="402"/>
      <c r="J10" s="402"/>
      <c r="K10" s="292"/>
      <c r="L10" s="547"/>
      <c r="M10"/>
      <c r="N10" s="18" t="s">
        <v>429</v>
      </c>
      <c r="O10" s="18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1">
        <v>385</v>
      </c>
      <c r="B11" s="4" t="s">
        <v>59</v>
      </c>
      <c r="C11" s="373" t="s">
        <v>121</v>
      </c>
      <c r="D11" s="99" t="s">
        <v>122</v>
      </c>
      <c r="E11" s="371" t="e">
        <f>INDEX('PY1 Data(H)'!$A$1:$CZ$265,MATCH('Unit Data from Audit Worksheet'!$A11,'PY1 Data(H)'!$A$1:$A$258,0),MATCH('Unit Data from Audit Worksheet'!$D$2,'PY1 Data(H)'!$A$1:$CZ$1,0))-INDEX('PY1 Data(H)'!$A$1:$CZ$258,MATCH('Unit Data from Audit Worksheet'!$A13,'PY1 Data(H)'!$A$1:$A$258,0),MATCH('Unit Data from Audit Worksheet'!$D$2,'PY1 Data(H)'!$A$1:$CZ$1,0))</f>
        <v>#N/A</v>
      </c>
      <c r="F11" s="793">
        <v>0</v>
      </c>
      <c r="G11" s="401">
        <f>IF((F9+F10)&gt;F11,"Error: Please review Account numbers (333+500)&gt;385",)</f>
        <v>0</v>
      </c>
      <c r="H11" s="402"/>
      <c r="I11" s="402"/>
      <c r="J11" s="402"/>
      <c r="K11"/>
      <c r="L11" s="547"/>
    </row>
    <row r="12" spans="1:123" s="18" customFormat="1" ht="90" customHeight="1" x14ac:dyDescent="0.3">
      <c r="A12" s="100">
        <v>575</v>
      </c>
      <c r="B12" s="373" t="s">
        <v>69</v>
      </c>
      <c r="C12" s="373" t="s">
        <v>121</v>
      </c>
      <c r="D12" s="456" t="s">
        <v>668</v>
      </c>
      <c r="E12" s="371" t="e">
        <f>INDEX('PY1 Data(H)'!$A$1:$CZ$265,MATCH('Unit Data from Audit Worksheet'!$A12,'PY1 Data(H)'!$A$1:$A$258,0),MATCH('Unit Data from Audit Worksheet'!$D$2,'PY1 Data(H)'!$A$1:$CZ$1,0))</f>
        <v>#N/A</v>
      </c>
      <c r="F12" s="793">
        <v>0</v>
      </c>
      <c r="G12" s="401">
        <f>IF(F12&lt;0,"Note: Number is normally positive.",)</f>
        <v>0</v>
      </c>
      <c r="H12" s="404"/>
      <c r="I12" s="405"/>
      <c r="J12" s="405"/>
      <c r="K12"/>
      <c r="L12" s="547"/>
      <c r="M12"/>
      <c r="O12" s="186"/>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3" t="s">
        <v>69</v>
      </c>
      <c r="C13" s="373" t="s">
        <v>121</v>
      </c>
      <c r="D13" s="456" t="s">
        <v>669</v>
      </c>
      <c r="E13" s="371" t="e">
        <f>INDEX('PY1 Data(H)'!$A$1:$CZ$265,MATCH('Unit Data from Audit Worksheet'!$A13,'PY1 Data(H)'!$A$1:$A$258,0),MATCH('Unit Data from Audit Worksheet'!$D$2,'PY1 Data(H)'!$A$1:$CZ$1,0))</f>
        <v>#N/A</v>
      </c>
      <c r="F13" s="793">
        <v>0</v>
      </c>
      <c r="G13" s="401">
        <f>IF(F13&lt;0,"Error: Enter as positive.",)</f>
        <v>0</v>
      </c>
      <c r="H13" s="404"/>
      <c r="I13" s="405"/>
      <c r="J13" s="405"/>
      <c r="K13"/>
      <c r="L13" s="547"/>
      <c r="M13"/>
      <c r="O13" s="186"/>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2">
        <v>626</v>
      </c>
      <c r="B14" s="460" t="s">
        <v>442</v>
      </c>
      <c r="C14" s="460" t="s">
        <v>121</v>
      </c>
      <c r="D14" s="214" t="s">
        <v>670</v>
      </c>
      <c r="E14" s="371" t="e">
        <f>INDEX('PY1 Data(H)'!$A$1:$CZ$265,MATCH('Unit Data from Audit Worksheet'!$A14,'PY1 Data(H)'!$A$1:$A$258,0),MATCH('Unit Data from Audit Worksheet'!$D$2,'PY1 Data(H)'!$A$1:$CZ$1,0))-INDEX('PY1 Data(H)'!$A$1:$CZ$258,MATCH('Unit Data from Audit Worksheet'!$A13,'PY1 Data(H)'!$A$1:$A$258,0),MATCH('Unit Data from Audit Worksheet'!$D$2,'PY1 Data(H)'!$A$1:$CZ$1,0))</f>
        <v>#N/A</v>
      </c>
      <c r="F14" s="793">
        <v>0</v>
      </c>
      <c r="G14" s="401">
        <f>IF(F14&lt;0,"Error: Enter as positive.",)</f>
        <v>0</v>
      </c>
      <c r="H14" s="406"/>
      <c r="I14" s="406"/>
      <c r="J14" s="761"/>
      <c r="K14"/>
      <c r="L14" s="547"/>
    </row>
    <row r="15" spans="1:123" ht="89.25" customHeight="1" x14ac:dyDescent="0.3">
      <c r="A15" s="189">
        <v>627</v>
      </c>
      <c r="B15" s="461" t="s">
        <v>358</v>
      </c>
      <c r="C15" s="460" t="s">
        <v>121</v>
      </c>
      <c r="D15" s="214" t="s">
        <v>671</v>
      </c>
      <c r="E15" s="371" t="e">
        <f>INDEX('PY1 Data(H)'!$A$1:$CZ$265,MATCH('Unit Data from Audit Worksheet'!$A15,'PY1 Data(H)'!$A$1:$A$258,0),MATCH('Unit Data from Audit Worksheet'!$D$2,'PY1 Data(H)'!$A$1:$CZ$1,0))</f>
        <v>#N/A</v>
      </c>
      <c r="F15" s="793">
        <v>0</v>
      </c>
      <c r="G15" s="401">
        <f>IF(F15&gt;F14,"Please review account numbers 627 &gt;626",)</f>
        <v>0</v>
      </c>
      <c r="H15" s="406"/>
      <c r="I15" s="406"/>
      <c r="J15" s="761"/>
      <c r="K15"/>
      <c r="L15" s="547"/>
    </row>
    <row r="16" spans="1:123" ht="105" customHeight="1" x14ac:dyDescent="0.3">
      <c r="A16" s="189">
        <v>628</v>
      </c>
      <c r="B16" s="461" t="s">
        <v>358</v>
      </c>
      <c r="C16" s="460" t="s">
        <v>121</v>
      </c>
      <c r="D16" s="214" t="s">
        <v>672</v>
      </c>
      <c r="E16" s="371" t="e">
        <f>INDEX('PY1 Data(H)'!$A$1:$CZ$265,MATCH('Unit Data from Audit Worksheet'!$A16,'PY1 Data(H)'!$A$1:$A$258,0),MATCH('Unit Data from Audit Worksheet'!$D$2,'PY1 Data(H)'!$A$1:$CZ$1,0))</f>
        <v>#N/A</v>
      </c>
      <c r="F16" s="793">
        <v>0</v>
      </c>
      <c r="G16" s="401">
        <f>IF(F16&gt;F14,"Please review account numbers 628 &gt; 626",)</f>
        <v>0</v>
      </c>
      <c r="H16" s="406"/>
      <c r="I16" s="406"/>
      <c r="J16" s="761"/>
      <c r="K16"/>
      <c r="L16" s="547"/>
    </row>
    <row r="17" spans="1:12" ht="95.25" customHeight="1" x14ac:dyDescent="0.3">
      <c r="A17" s="189">
        <v>629</v>
      </c>
      <c r="B17" s="461" t="s">
        <v>358</v>
      </c>
      <c r="C17" s="460" t="s">
        <v>121</v>
      </c>
      <c r="D17" s="214" t="s">
        <v>673</v>
      </c>
      <c r="E17" s="371" t="e">
        <f>INDEX('PY1 Data(H)'!$A$1:$CZ$265,MATCH('Unit Data from Audit Worksheet'!$A17,'PY1 Data(H)'!$A$1:$A$258,0),MATCH('Unit Data from Audit Worksheet'!$D$2,'PY1 Data(H)'!$A$1:$CZ$1,0))</f>
        <v>#N/A</v>
      </c>
      <c r="F17" s="793">
        <v>0</v>
      </c>
      <c r="G17" s="401">
        <f>IF(F17&gt;F14,"Please review account numbers 629 &gt; 626",)</f>
        <v>0</v>
      </c>
      <c r="H17" s="406"/>
      <c r="I17" s="406"/>
      <c r="J17" s="761"/>
      <c r="K17"/>
      <c r="L17" s="547"/>
    </row>
    <row r="18" spans="1:12" ht="69" customHeight="1" x14ac:dyDescent="0.3">
      <c r="A18" s="189">
        <v>630</v>
      </c>
      <c r="B18" s="461" t="s">
        <v>358</v>
      </c>
      <c r="C18" s="460" t="s">
        <v>121</v>
      </c>
      <c r="D18" s="214" t="s">
        <v>423</v>
      </c>
      <c r="E18" s="371" t="e">
        <f>INDEX('PY1 Data(H)'!$A$1:$CZ$265,MATCH('Unit Data from Audit Worksheet'!$A18,'PY1 Data(H)'!$A$1:$A$258,0),MATCH('Unit Data from Audit Worksheet'!$D$2,'PY1 Data(H)'!$A$1:$CZ$1,0))</f>
        <v>#N/A</v>
      </c>
      <c r="F18" s="793">
        <v>0</v>
      </c>
      <c r="G18" s="401">
        <f>IF(F18&gt;F14,"Please review account numbers 630 &gt; 626",)</f>
        <v>0</v>
      </c>
      <c r="H18" s="406"/>
      <c r="I18" s="406"/>
      <c r="J18" s="761"/>
      <c r="K18"/>
      <c r="L18" s="547"/>
    </row>
    <row r="19" spans="1:12" ht="95.25" customHeight="1" x14ac:dyDescent="0.3">
      <c r="A19" s="189">
        <v>631</v>
      </c>
      <c r="B19" s="461" t="s">
        <v>358</v>
      </c>
      <c r="C19" s="460" t="s">
        <v>121</v>
      </c>
      <c r="D19" s="214" t="s">
        <v>674</v>
      </c>
      <c r="E19" s="371" t="e">
        <f>INDEX('PY1 Data(H)'!$A$1:$CZ$265,MATCH('Unit Data from Audit Worksheet'!$A19,'PY1 Data(H)'!$A$1:$A$258,0),MATCH('Unit Data from Audit Worksheet'!$D$2,'PY1 Data(H)'!$A$1:$CZ$1,0))</f>
        <v>#N/A</v>
      </c>
      <c r="F19" s="793">
        <v>0</v>
      </c>
      <c r="G19" s="401">
        <f>IF(F19&gt;F14,"Please review account numbers 631 &gt; 626",)</f>
        <v>0</v>
      </c>
      <c r="H19" s="406"/>
      <c r="I19" s="406"/>
      <c r="J19" s="761"/>
      <c r="K19"/>
      <c r="L19" s="547"/>
    </row>
    <row r="20" spans="1:12" ht="111.75" customHeight="1" x14ac:dyDescent="0.3">
      <c r="A20" s="189">
        <v>632</v>
      </c>
      <c r="B20" s="461" t="s">
        <v>358</v>
      </c>
      <c r="C20" s="460" t="s">
        <v>121</v>
      </c>
      <c r="D20" s="214" t="s">
        <v>675</v>
      </c>
      <c r="E20" s="371" t="e">
        <f>INDEX('PY1 Data(H)'!$A$1:$CZ$265,MATCH('Unit Data from Audit Worksheet'!$A20,'PY1 Data(H)'!$A$1:$A$258,0),MATCH('Unit Data from Audit Worksheet'!$D$2,'PY1 Data(H)'!$A$1:$CZ$1,0))</f>
        <v>#N/A</v>
      </c>
      <c r="F20" s="793">
        <v>0</v>
      </c>
      <c r="G20" s="401">
        <f>IF(F20&gt;F14,"Please review account numbers 632 &gt; 626",)</f>
        <v>0</v>
      </c>
      <c r="H20" s="406"/>
      <c r="I20" s="406"/>
      <c r="J20" s="761"/>
      <c r="K20"/>
      <c r="L20" s="547"/>
    </row>
    <row r="21" spans="1:12" ht="55.5" customHeight="1" x14ac:dyDescent="0.3">
      <c r="A21" s="561">
        <v>338</v>
      </c>
      <c r="B21" s="4" t="s">
        <v>55</v>
      </c>
      <c r="C21" s="373" t="s">
        <v>121</v>
      </c>
      <c r="D21" s="99" t="s">
        <v>123</v>
      </c>
      <c r="E21" s="371" t="e">
        <f>INDEX('PY1 Data(H)'!$A$1:$CZ$265,MATCH('Unit Data from Audit Worksheet'!$A21,'PY1 Data(H)'!$A$1:$A$258,0),MATCH('Unit Data from Audit Worksheet'!$D$2,'PY1 Data(H)'!$A$1:$CZ$1,0))-INDEX('PY1 Data(H)'!$A$1:$CZ$258,MATCH('Unit Data from Audit Worksheet'!$A13,'PY1 Data(H)'!$A$1:$A$258,0),MATCH('Unit Data from Audit Worksheet'!$D$2,'PY1 Data(H)'!$A$1:$CZ$1,0))</f>
        <v>#N/A</v>
      </c>
      <c r="F21" s="793">
        <v>0</v>
      </c>
      <c r="G21" s="401" t="str">
        <f>IF(F14&gt;F21,"Error: Please review accts 626 &gt; 338","")</f>
        <v/>
      </c>
      <c r="H21" s="402"/>
      <c r="I21" s="402"/>
      <c r="J21" s="402"/>
      <c r="K21"/>
      <c r="L21" s="547"/>
    </row>
    <row r="22" spans="1:12" ht="89.25" customHeight="1" x14ac:dyDescent="0.3">
      <c r="A22" s="100">
        <v>335</v>
      </c>
      <c r="B22" s="4" t="s">
        <v>55</v>
      </c>
      <c r="C22" s="373" t="s">
        <v>121</v>
      </c>
      <c r="D22" s="383" t="s">
        <v>676</v>
      </c>
      <c r="E22" s="371" t="e">
        <f>INDEX('PY1 Data(H)'!$A$1:$CZ$265,MATCH('Unit Data from Audit Worksheet'!$A22,'PY1 Data(H)'!$A$1:$A$258,0),MATCH('Unit Data from Audit Worksheet'!$D$2,'PY1 Data(H)'!$A$1:$CZ$1,0))</f>
        <v>#N/A</v>
      </c>
      <c r="F22" s="793">
        <v>0</v>
      </c>
      <c r="G22" s="401">
        <f>IF(F22&lt;0,"Error: Enter as positive.",)</f>
        <v>0</v>
      </c>
      <c r="H22" s="402"/>
      <c r="I22" s="242"/>
      <c r="J22" s="242"/>
      <c r="K22"/>
      <c r="L22" s="547"/>
    </row>
    <row r="23" spans="1:12" ht="48.75" customHeight="1" x14ac:dyDescent="0.3">
      <c r="A23" s="100">
        <v>252</v>
      </c>
      <c r="B23" s="4" t="s">
        <v>55</v>
      </c>
      <c r="C23" s="373" t="s">
        <v>121</v>
      </c>
      <c r="D23" s="99" t="s">
        <v>124</v>
      </c>
      <c r="E23" s="371" t="e">
        <f>INDEX('PY1 Data(H)'!$A$1:$CZ$265,MATCH('Unit Data from Audit Worksheet'!$A23,'PY1 Data(H)'!$A$1:$A$258,0),MATCH('Unit Data from Audit Worksheet'!$D$2,'PY1 Data(H)'!$A$1:$CZ$1,0))</f>
        <v>#N/A</v>
      </c>
      <c r="F23" s="793">
        <v>0</v>
      </c>
      <c r="G23" s="724"/>
      <c r="H23" s="402"/>
      <c r="I23" s="17"/>
      <c r="J23" s="72"/>
      <c r="K23"/>
      <c r="L23" s="547"/>
    </row>
    <row r="24" spans="1:12" ht="43.2" x14ac:dyDescent="0.3">
      <c r="A24" s="100">
        <v>253</v>
      </c>
      <c r="B24" s="4" t="s">
        <v>55</v>
      </c>
      <c r="C24" s="373" t="s">
        <v>121</v>
      </c>
      <c r="D24" s="99" t="s">
        <v>125</v>
      </c>
      <c r="E24" s="371" t="e">
        <f>INDEX('PY1 Data(H)'!$A$1:$CZ$265,MATCH('Unit Data from Audit Worksheet'!$A24,'PY1 Data(H)'!$A$1:$A$258,0),MATCH('Unit Data from Audit Worksheet'!$D$2,'PY1 Data(H)'!$A$1:$CZ$1,0))</f>
        <v>#N/A</v>
      </c>
      <c r="F24" s="793">
        <v>0</v>
      </c>
      <c r="G24" s="401"/>
      <c r="H24" s="402"/>
      <c r="I24" s="17"/>
      <c r="J24" s="72"/>
      <c r="K24"/>
      <c r="L24" s="547"/>
    </row>
    <row r="25" spans="1:12" ht="138" customHeight="1" x14ac:dyDescent="0.3">
      <c r="A25" s="100">
        <v>254</v>
      </c>
      <c r="B25" s="4" t="s">
        <v>55</v>
      </c>
      <c r="C25" s="373" t="s">
        <v>121</v>
      </c>
      <c r="D25" s="99" t="s">
        <v>677</v>
      </c>
      <c r="E25" s="371" t="e">
        <f>INDEX('PY1 Data(H)'!$A$1:$CZ$265,MATCH('Unit Data from Audit Worksheet'!$A25,'PY1 Data(H)'!$A$1:$A$258,0),MATCH('Unit Data from Audit Worksheet'!$D$2,'PY1 Data(H)'!$A$1:$CZ$1,0))</f>
        <v>#N/A</v>
      </c>
      <c r="F25" s="793">
        <v>0</v>
      </c>
      <c r="G25" s="401">
        <f>IF(H25=0,,"Error: Total assets and deferred outflows less total liabilities and deferred inflows do not equal total net position. Account numbers  385-338-252-253-254 = 0.  The amount the formula is off is located in the cell to the right")</f>
        <v>0</v>
      </c>
      <c r="H25" s="404">
        <f>F11-F21-F23-F24-F25</f>
        <v>0</v>
      </c>
      <c r="I25" s="17"/>
      <c r="J25" s="72"/>
      <c r="K25"/>
      <c r="L25" s="547"/>
    </row>
    <row r="26" spans="1:12" ht="21.75" customHeight="1" x14ac:dyDescent="0.3">
      <c r="A26" s="100"/>
      <c r="B26" s="489" t="s">
        <v>126</v>
      </c>
      <c r="C26" s="499"/>
      <c r="D26" s="472"/>
      <c r="E26" s="483"/>
      <c r="F26" s="483"/>
      <c r="G26" s="484"/>
      <c r="H26" s="17"/>
      <c r="I26" s="17"/>
      <c r="J26" s="72"/>
      <c r="K26"/>
      <c r="L26" s="547"/>
    </row>
    <row r="27" spans="1:12" ht="59.25" customHeight="1" x14ac:dyDescent="0.3">
      <c r="A27" s="100">
        <v>502</v>
      </c>
      <c r="B27" s="4" t="s">
        <v>54</v>
      </c>
      <c r="C27" s="373" t="s">
        <v>128</v>
      </c>
      <c r="D27" s="383" t="s">
        <v>678</v>
      </c>
      <c r="E27" s="371" t="e">
        <f>INDEX('PY1 Data(H)'!$A$1:$CZ$265,MATCH('Unit Data from Audit Worksheet'!$A27,'PY1 Data(H)'!$A$1:$A$258,0),MATCH('Unit Data from Audit Worksheet'!$D$2,'PY1 Data(H)'!$A$1:$CZ$1,0))</f>
        <v>#N/A</v>
      </c>
      <c r="F27" s="793">
        <v>0</v>
      </c>
      <c r="G27" s="401">
        <f>IF(F27&lt;0,"Note: Number is normally positive.",)</f>
        <v>0</v>
      </c>
      <c r="H27" s="17"/>
      <c r="I27" s="17"/>
      <c r="J27" s="72"/>
      <c r="K27"/>
      <c r="L27" s="547"/>
    </row>
    <row r="28" spans="1:12" ht="59.25" customHeight="1" x14ac:dyDescent="0.3">
      <c r="A28" s="100">
        <v>503</v>
      </c>
      <c r="B28" s="4" t="s">
        <v>54</v>
      </c>
      <c r="C28" s="373" t="s">
        <v>128</v>
      </c>
      <c r="D28" s="99" t="s">
        <v>127</v>
      </c>
      <c r="E28" s="371" t="e">
        <f>INDEX('PY1 Data(H)'!$A$1:$CZ$265,MATCH('Unit Data from Audit Worksheet'!$A28,'PY1 Data(H)'!$A$1:$A$258,0),MATCH('Unit Data from Audit Worksheet'!$D$2,'PY1 Data(H)'!$A$1:$CZ$1,0))</f>
        <v>#N/A</v>
      </c>
      <c r="F28" s="793">
        <v>0</v>
      </c>
      <c r="G28" s="401">
        <f>IF(F28&lt;0,"Note: Number is normally positive.",)</f>
        <v>0</v>
      </c>
      <c r="H28" s="17"/>
      <c r="I28" s="17"/>
      <c r="J28" s="72"/>
      <c r="K28"/>
      <c r="L28" s="547"/>
    </row>
    <row r="29" spans="1:12" ht="27" customHeight="1" x14ac:dyDescent="0.3">
      <c r="A29" s="100"/>
      <c r="B29" s="489" t="s">
        <v>129</v>
      </c>
      <c r="C29" s="499"/>
      <c r="D29" s="472"/>
      <c r="E29" s="473"/>
      <c r="F29" s="473"/>
      <c r="G29" s="474"/>
      <c r="H29" s="17"/>
      <c r="I29" s="17"/>
      <c r="J29" s="72"/>
      <c r="K29"/>
      <c r="L29" s="547"/>
    </row>
    <row r="30" spans="1:12" ht="49.5" customHeight="1" x14ac:dyDescent="0.3">
      <c r="A30" s="100">
        <v>344</v>
      </c>
      <c r="B30" s="4" t="s">
        <v>55</v>
      </c>
      <c r="C30" s="4" t="s">
        <v>136</v>
      </c>
      <c r="D30" s="99" t="s">
        <v>130</v>
      </c>
      <c r="E30" s="371" t="e">
        <f>INDEX('PY1 Data(H)'!$A$1:$CZ$265,MATCH('Unit Data from Audit Worksheet'!$A30,'PY1 Data(H)'!$A$1:$A$258,0),MATCH('Unit Data from Audit Worksheet'!$D$2,'PY1 Data(H)'!$A$1:$CZ$1,0))</f>
        <v>#N/A</v>
      </c>
      <c r="F30" s="793">
        <v>0</v>
      </c>
      <c r="G30" s="401">
        <f t="shared" ref="G30:G37" si="0">IF(F30&lt;0,"Error: Enter as positive.",)</f>
        <v>0</v>
      </c>
      <c r="H30" s="17"/>
      <c r="I30" s="17"/>
      <c r="J30" s="72"/>
      <c r="K30"/>
      <c r="L30" s="547"/>
    </row>
    <row r="31" spans="1:12" ht="49.5" customHeight="1" x14ac:dyDescent="0.3">
      <c r="A31" s="100">
        <v>388</v>
      </c>
      <c r="B31" s="4" t="s">
        <v>59</v>
      </c>
      <c r="C31" s="4" t="s">
        <v>136</v>
      </c>
      <c r="D31" s="99" t="s">
        <v>131</v>
      </c>
      <c r="E31" s="371" t="e">
        <f>INDEX('PY1 Data(H)'!$A$1:$CZ$265,MATCH('Unit Data from Audit Worksheet'!$A31,'PY1 Data(H)'!$A$1:$A$258,0),MATCH('Unit Data from Audit Worksheet'!$D$2,'PY1 Data(H)'!$A$1:$CZ$1,0))</f>
        <v>#N/A</v>
      </c>
      <c r="F31" s="793">
        <v>0</v>
      </c>
      <c r="G31" s="401">
        <f t="shared" si="0"/>
        <v>0</v>
      </c>
      <c r="H31" s="17"/>
      <c r="I31" s="17"/>
      <c r="J31" s="72"/>
      <c r="K31"/>
      <c r="L31" s="547"/>
    </row>
    <row r="32" spans="1:12" ht="51.75" customHeight="1" x14ac:dyDescent="0.3">
      <c r="A32" s="100">
        <v>339</v>
      </c>
      <c r="B32" s="4" t="s">
        <v>55</v>
      </c>
      <c r="C32" s="4" t="s">
        <v>136</v>
      </c>
      <c r="D32" s="99" t="s">
        <v>132</v>
      </c>
      <c r="E32" s="371" t="e">
        <f>INDEX('PY1 Data(H)'!$A$1:$CZ$265,MATCH('Unit Data from Audit Worksheet'!$A32,'PY1 Data(H)'!$A$1:$A$258,0),MATCH('Unit Data from Audit Worksheet'!$D$2,'PY1 Data(H)'!$A$1:$CZ$1,0))</f>
        <v>#N/A</v>
      </c>
      <c r="F32" s="793">
        <v>0</v>
      </c>
      <c r="G32" s="401">
        <f t="shared" si="0"/>
        <v>0</v>
      </c>
      <c r="H32" s="17"/>
      <c r="I32" s="17"/>
      <c r="J32" s="72"/>
      <c r="K32"/>
      <c r="L32" s="547"/>
    </row>
    <row r="33" spans="1:123" ht="50.25" customHeight="1" x14ac:dyDescent="0.3">
      <c r="A33" s="100">
        <v>504</v>
      </c>
      <c r="B33" s="4" t="s">
        <v>55</v>
      </c>
      <c r="C33" s="4" t="s">
        <v>136</v>
      </c>
      <c r="D33" s="99" t="s">
        <v>133</v>
      </c>
      <c r="E33" s="371" t="e">
        <f>INDEX('PY1 Data(H)'!$A$1:$CZ$265,MATCH('Unit Data from Audit Worksheet'!$A33,'PY1 Data(H)'!$A$1:$A$258,0),MATCH('Unit Data from Audit Worksheet'!$D$2,'PY1 Data(H)'!$A$1:$CZ$1,0))</f>
        <v>#N/A</v>
      </c>
      <c r="F33" s="793">
        <v>0</v>
      </c>
      <c r="G33" s="401">
        <f t="shared" si="0"/>
        <v>0</v>
      </c>
      <c r="H33" s="17"/>
      <c r="I33" s="17"/>
      <c r="J33" s="72"/>
      <c r="K33"/>
      <c r="L33" s="547"/>
    </row>
    <row r="34" spans="1:123" ht="60" customHeight="1" x14ac:dyDescent="0.3">
      <c r="A34" s="100">
        <v>505</v>
      </c>
      <c r="B34" s="4" t="s">
        <v>55</v>
      </c>
      <c r="C34" s="4" t="s">
        <v>136</v>
      </c>
      <c r="D34" s="377" t="s">
        <v>134</v>
      </c>
      <c r="E34" s="371" t="e">
        <f>INDEX('PY1 Data(H)'!$A$1:$CZ$265,MATCH('Unit Data from Audit Worksheet'!$A34,'PY1 Data(H)'!$A$1:$A$258,0),MATCH('Unit Data from Audit Worksheet'!$D$2,'PY1 Data(H)'!$A$1:$CZ$1,0))</f>
        <v>#N/A</v>
      </c>
      <c r="F34" s="793">
        <v>0</v>
      </c>
      <c r="G34" s="401">
        <f t="shared" si="0"/>
        <v>0</v>
      </c>
      <c r="H34" s="17"/>
      <c r="I34" s="17"/>
      <c r="J34" s="72"/>
      <c r="K34"/>
      <c r="L34" s="547"/>
    </row>
    <row r="35" spans="1:123" ht="67.95" customHeight="1" x14ac:dyDescent="0.3">
      <c r="A35" s="100">
        <v>341</v>
      </c>
      <c r="B35" s="4" t="s">
        <v>55</v>
      </c>
      <c r="C35" s="4" t="s">
        <v>136</v>
      </c>
      <c r="D35" s="383" t="s">
        <v>679</v>
      </c>
      <c r="E35" s="371" t="e">
        <f>INDEX('PY1 Data(H)'!$A$1:$CZ$265,MATCH('Unit Data from Audit Worksheet'!$A35,'PY1 Data(H)'!$A$1:$A$258,0),MATCH('Unit Data from Audit Worksheet'!$D$2,'PY1 Data(H)'!$A$1:$CZ$1,0))</f>
        <v>#N/A</v>
      </c>
      <c r="F35" s="793">
        <v>0</v>
      </c>
      <c r="G35" s="401">
        <f t="shared" si="0"/>
        <v>0</v>
      </c>
      <c r="H35" s="17"/>
      <c r="I35" s="17"/>
      <c r="J35" s="72"/>
      <c r="K35"/>
      <c r="L35" s="547"/>
    </row>
    <row r="36" spans="1:123" ht="44.25" customHeight="1" x14ac:dyDescent="0.3">
      <c r="A36" s="100">
        <v>386</v>
      </c>
      <c r="B36" s="4" t="s">
        <v>55</v>
      </c>
      <c r="C36" s="4" t="s">
        <v>136</v>
      </c>
      <c r="D36" s="99" t="s">
        <v>680</v>
      </c>
      <c r="E36" s="371" t="e">
        <f>INDEX('PY1 Data(H)'!$A$1:$CZ$265,MATCH('Unit Data from Audit Worksheet'!$A36,'PY1 Data(H)'!$A$1:$A$258,0),MATCH('Unit Data from Audit Worksheet'!$D$2,'PY1 Data(H)'!$A$1:$CZ$1,0))</f>
        <v>#N/A</v>
      </c>
      <c r="F36" s="793">
        <v>0</v>
      </c>
      <c r="G36" s="401">
        <f t="shared" si="0"/>
        <v>0</v>
      </c>
      <c r="H36" s="17"/>
      <c r="I36" s="17"/>
      <c r="J36" s="72"/>
      <c r="K36"/>
      <c r="L36" s="547"/>
    </row>
    <row r="37" spans="1:123" ht="48.75" customHeight="1" x14ac:dyDescent="0.3">
      <c r="A37" s="100">
        <v>387</v>
      </c>
      <c r="B37" s="4" t="s">
        <v>59</v>
      </c>
      <c r="C37" s="4" t="s">
        <v>136</v>
      </c>
      <c r="D37" s="99" t="s">
        <v>681</v>
      </c>
      <c r="E37" s="371" t="e">
        <f>INDEX('PY1 Data(H)'!$A$1:$CZ$265,MATCH('Unit Data from Audit Worksheet'!$A37,'PY1 Data(H)'!$A$1:$A$258,0),MATCH('Unit Data from Audit Worksheet'!$D$2,'PY1 Data(H)'!$A$1:$CZ$1,0))</f>
        <v>#N/A</v>
      </c>
      <c r="F37" s="793">
        <v>0</v>
      </c>
      <c r="G37" s="401">
        <f t="shared" si="0"/>
        <v>0</v>
      </c>
      <c r="H37" s="17"/>
      <c r="I37" s="17"/>
      <c r="J37" s="72"/>
      <c r="K37"/>
      <c r="L37" s="547"/>
    </row>
    <row r="38" spans="1:123" ht="92.25" customHeight="1" x14ac:dyDescent="0.3">
      <c r="A38" s="100">
        <v>389</v>
      </c>
      <c r="B38" s="4" t="s">
        <v>59</v>
      </c>
      <c r="C38" s="4" t="s">
        <v>136</v>
      </c>
      <c r="D38" s="383" t="s">
        <v>682</v>
      </c>
      <c r="E38" s="371" t="e">
        <f>INDEX('PY1 Data(H)'!$A$1:$CZ$265,MATCH('Unit Data from Audit Worksheet'!$A38,'PY1 Data(H)'!$A$1:$A$258,0),MATCH('Unit Data from Audit Worksheet'!$D$2,'PY1 Data(H)'!$A$1:$CZ$1,0))</f>
        <v>#N/A</v>
      </c>
      <c r="F38" s="793">
        <v>0</v>
      </c>
      <c r="G38" s="401"/>
      <c r="H38" s="17"/>
      <c r="I38" s="17"/>
      <c r="J38" s="72"/>
      <c r="K38"/>
      <c r="L38" s="547"/>
    </row>
    <row r="39" spans="1:123" ht="138" customHeight="1" x14ac:dyDescent="0.3">
      <c r="A39" s="100">
        <v>255</v>
      </c>
      <c r="B39" s="4" t="s">
        <v>55</v>
      </c>
      <c r="C39" s="4" t="s">
        <v>136</v>
      </c>
      <c r="D39" s="383" t="s">
        <v>683</v>
      </c>
      <c r="E39" s="371" t="e">
        <f>INDEX('PY1 Data(H)'!$A$1:$CZ$265,MATCH('Unit Data from Audit Worksheet'!$A39,'PY1 Data(H)'!$A$1:$A$258,0),MATCH('Unit Data from Audit Worksheet'!$D$2,'PY1 Data(H)'!$A$1:$CZ$1,0))</f>
        <v>#N/A</v>
      </c>
      <c r="F39" s="793">
        <v>0</v>
      </c>
      <c r="G39" s="401">
        <f>IF(H39=0,,"Error: Total revenues less total expenses do not equal total change in net position. Account numbers 339+504+505+341+386-387+389-388-255 = 0  The amount the formula is off is located in the cell to the right")</f>
        <v>0</v>
      </c>
      <c r="H39" s="404">
        <f>F32+F33+F34+F35+F36-F37+F38-F31-F39</f>
        <v>0</v>
      </c>
      <c r="I39" s="17"/>
      <c r="J39" s="72"/>
      <c r="K39"/>
      <c r="L39" s="547"/>
    </row>
    <row r="40" spans="1:123" ht="138" customHeight="1" x14ac:dyDescent="0.3">
      <c r="A40" s="100">
        <v>376</v>
      </c>
      <c r="B40" s="4" t="s">
        <v>55</v>
      </c>
      <c r="C40" s="4" t="s">
        <v>136</v>
      </c>
      <c r="D40" s="383" t="s">
        <v>684</v>
      </c>
      <c r="E40" s="371" t="e">
        <f>INDEX('PY1 Data(H)'!$A$1:$CZ$265,MATCH('Unit Data from Audit Worksheet'!$A40,'PY1 Data(H)'!$A$1:$A$258,0),MATCH('Unit Data from Audit Worksheet'!$D$2,'PY1 Data(H)'!$A$1:$CZ$1,0))</f>
        <v>#N/A</v>
      </c>
      <c r="F40" s="793">
        <v>0</v>
      </c>
      <c r="G40" s="752" t="e">
        <f>IF(H40=0,,"Error: Beginning Balance does not agree with our records.  Account numbers  252+253+254-255-376-(Prior Year 252+253+254)=0  The amount the formula is off is located in the cell to the right")</f>
        <v>#N/A</v>
      </c>
      <c r="H40" s="753" t="e">
        <f>F23+F24+F25-F39-F40-(E23+E24+E25)</f>
        <v>#N/A</v>
      </c>
      <c r="I40" s="775" t="e">
        <f>IF(H40=0," ","If the out of balance is because prior years data is not populated in cells E23,E24,E25, disregard the error message.  Do not include prior year's ending balances in cell F40")</f>
        <v>#N/A</v>
      </c>
      <c r="J40" s="763"/>
      <c r="K40" s="524"/>
      <c r="L40" s="547"/>
    </row>
    <row r="41" spans="1:123" s="18" customFormat="1" ht="141.75" customHeight="1" x14ac:dyDescent="0.3">
      <c r="A41" s="100">
        <v>597</v>
      </c>
      <c r="B41" s="373" t="s">
        <v>324</v>
      </c>
      <c r="C41" s="373" t="s">
        <v>334</v>
      </c>
      <c r="D41" s="457" t="s">
        <v>685</v>
      </c>
      <c r="E41" s="371" t="e">
        <f>INDEX('PY1 Data(H)'!$A$1:$CZ$265,MATCH('Unit Data from Audit Worksheet'!$A41,'PY1 Data(H)'!$A$1:$A$258,0),MATCH('Unit Data from Audit Worksheet'!$D$2,'PY1 Data(H)'!$A$1:$CZ$1,0))</f>
        <v>#N/A</v>
      </c>
      <c r="F41" s="793">
        <v>0</v>
      </c>
      <c r="G41" s="401">
        <f>IF(F41&lt;0,"Note: Number is normally positive.",)</f>
        <v>0</v>
      </c>
      <c r="H41" s="402"/>
      <c r="I41" s="342"/>
      <c r="J41" s="403"/>
      <c r="K41"/>
      <c r="L41" s="547"/>
      <c r="M41"/>
      <c r="O41" s="186"/>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89" t="s">
        <v>323</v>
      </c>
      <c r="C42" s="499"/>
      <c r="D42" s="472"/>
      <c r="E42" s="473"/>
      <c r="F42" s="473"/>
      <c r="G42" s="474"/>
      <c r="H42" s="17"/>
      <c r="I42" s="17"/>
      <c r="J42" s="72"/>
      <c r="K42"/>
      <c r="L42" s="547"/>
    </row>
    <row r="43" spans="1:123" s="18" customFormat="1" ht="86.25" customHeight="1" x14ac:dyDescent="0.3">
      <c r="A43" s="100">
        <v>592</v>
      </c>
      <c r="B43" s="373" t="s">
        <v>58</v>
      </c>
      <c r="C43" s="373" t="s">
        <v>325</v>
      </c>
      <c r="D43" s="383" t="s">
        <v>686</v>
      </c>
      <c r="E43" s="371" t="e">
        <f>INDEX('PY1 Data(H)'!$A$1:$CZ$265,MATCH('Unit Data from Audit Worksheet'!$A43,'PY1 Data(H)'!$A$1:$A$258,0),MATCH('Unit Data from Audit Worksheet'!$D$2,'PY1 Data(H)'!$A$1:$CZ$1,0))</f>
        <v>#N/A</v>
      </c>
      <c r="F43" s="793">
        <v>0</v>
      </c>
      <c r="G43" s="401"/>
      <c r="H43" s="402"/>
      <c r="I43" s="342"/>
      <c r="K43"/>
      <c r="L43" s="547"/>
      <c r="M43"/>
      <c r="O43" s="186"/>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3" t="s">
        <v>58</v>
      </c>
      <c r="C44" s="373" t="s">
        <v>325</v>
      </c>
      <c r="D44" s="99" t="s">
        <v>326</v>
      </c>
      <c r="E44" s="371" t="e">
        <f>INDEX('PY1 Data(H)'!$A$1:$CZ$265,MATCH('Unit Data from Audit Worksheet'!$A44,'PY1 Data(H)'!$A$1:$A$258,0),MATCH('Unit Data from Audit Worksheet'!$D$2,'PY1 Data(H)'!$A$1:$CZ$1,0))</f>
        <v>#N/A</v>
      </c>
      <c r="F44" s="793">
        <v>0</v>
      </c>
      <c r="G44" s="401">
        <f>IF(F44&lt;0,"Error: Enter as positive.",)</f>
        <v>0</v>
      </c>
      <c r="H44" s="402"/>
      <c r="I44" s="342"/>
      <c r="K44"/>
      <c r="L44" s="547"/>
      <c r="M44"/>
      <c r="O44" s="186"/>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89" t="s">
        <v>137</v>
      </c>
      <c r="C45" s="499"/>
      <c r="D45" s="475"/>
      <c r="E45" s="476"/>
      <c r="F45" s="476"/>
      <c r="G45" s="477"/>
      <c r="H45" s="17"/>
      <c r="I45" s="17"/>
      <c r="J45" s="72"/>
      <c r="K45"/>
      <c r="L45" s="547"/>
    </row>
    <row r="46" spans="1:123" s="18" customFormat="1" ht="55.5" customHeight="1" x14ac:dyDescent="0.3">
      <c r="A46" s="100">
        <v>506</v>
      </c>
      <c r="B46" s="949" t="s">
        <v>1884</v>
      </c>
      <c r="C46" s="458" t="s">
        <v>141</v>
      </c>
      <c r="D46" s="99" t="s">
        <v>687</v>
      </c>
      <c r="E46" s="371" t="e">
        <f>INDEX('PY1 Data(H)'!$A$1:$CZ$265,MATCH('Unit Data from Audit Worksheet'!$A46,'PY1 Data(H)'!$A$1:$A$258,0),MATCH('Unit Data from Audit Worksheet'!$D$2,'PY1 Data(H)'!$A$1:$CZ$1,0))</f>
        <v>#N/A</v>
      </c>
      <c r="F46" s="793">
        <v>0</v>
      </c>
      <c r="G46" s="401">
        <f>IF(F46&lt;0,"Note: Number is normally positive.",)</f>
        <v>0</v>
      </c>
      <c r="H46" s="402"/>
      <c r="I46" s="17"/>
      <c r="J46" s="72"/>
      <c r="K46"/>
      <c r="L46" s="547"/>
      <c r="M46"/>
      <c r="O46" s="18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49" t="s">
        <v>1884</v>
      </c>
      <c r="C47" s="458" t="s">
        <v>141</v>
      </c>
      <c r="D47" s="99" t="s">
        <v>138</v>
      </c>
      <c r="E47" s="371" t="e">
        <f>INDEX('PY1 Data(H)'!$A$1:$CZ$265,MATCH('Unit Data from Audit Worksheet'!$A47,'PY1 Data(H)'!$A$1:$A$258,0),MATCH('Unit Data from Audit Worksheet'!$D$2,'PY1 Data(H)'!$A$1:$CZ$1,0))</f>
        <v>#N/A</v>
      </c>
      <c r="F47" s="793">
        <v>0</v>
      </c>
      <c r="G47" s="401">
        <f>IF(F47&lt;0,"Note: Number is normally positive.",)</f>
        <v>0</v>
      </c>
      <c r="H47" s="402"/>
      <c r="I47" s="402"/>
      <c r="J47" s="403"/>
      <c r="K47"/>
      <c r="L47" s="547"/>
      <c r="M47"/>
      <c r="O47" s="186"/>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58" t="s">
        <v>58</v>
      </c>
      <c r="C48" s="458" t="s">
        <v>141</v>
      </c>
      <c r="D48" s="376" t="s">
        <v>312</v>
      </c>
      <c r="E48" s="371" t="e">
        <f>INDEX('PY1 Data(H)'!$A$1:$CZ$265,MATCH('Unit Data from Audit Worksheet'!$A48,'PY1 Data(H)'!$A$1:$A$258,0),MATCH('Unit Data from Audit Worksheet'!$D$2,'PY1 Data(H)'!$A$1:$CZ$1,0))</f>
        <v>#N/A</v>
      </c>
      <c r="F48" s="793">
        <v>0</v>
      </c>
      <c r="G48" s="401">
        <f>IF(F48&lt;0,"Note: Number is normally positive.",)</f>
        <v>0</v>
      </c>
      <c r="H48" s="402"/>
      <c r="I48" s="402"/>
      <c r="J48" s="403"/>
      <c r="K48"/>
      <c r="L48" s="547"/>
      <c r="M48"/>
      <c r="O48" s="186"/>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58" t="s">
        <v>59</v>
      </c>
      <c r="C49" s="458" t="s">
        <v>141</v>
      </c>
      <c r="D49" s="99" t="s">
        <v>122</v>
      </c>
      <c r="E49" s="371" t="e">
        <f>INDEX('PY1 Data(H)'!$A$1:$CZ$265,MATCH('Unit Data from Audit Worksheet'!$A49,'PY1 Data(H)'!$A$1:$A$258,0),MATCH('Unit Data from Audit Worksheet'!$D$2,'PY1 Data(H)'!$A$1:$CZ$1,0))</f>
        <v>#N/A</v>
      </c>
      <c r="F49" s="793">
        <v>0</v>
      </c>
      <c r="G49" s="401">
        <f>IF((F46+F47)&gt;F49,"Error: Please review account numbers (506+536)&gt;379",)</f>
        <v>0</v>
      </c>
      <c r="H49" s="402"/>
      <c r="I49" s="17"/>
      <c r="J49" s="72"/>
      <c r="K49"/>
      <c r="L49" s="547"/>
    </row>
    <row r="50" spans="1:123" ht="93" customHeight="1" x14ac:dyDescent="0.3">
      <c r="A50" s="100">
        <v>368</v>
      </c>
      <c r="B50" s="458" t="s">
        <v>1443</v>
      </c>
      <c r="C50" s="458" t="s">
        <v>141</v>
      </c>
      <c r="D50" s="383" t="s">
        <v>688</v>
      </c>
      <c r="E50" s="371" t="e">
        <f>INDEX('PY1 Data(H)'!$A$1:$CZ$265,MATCH('Unit Data from Audit Worksheet'!$A50,'PY1 Data(H)'!$A$1:$A$258,0),MATCH('Unit Data from Audit Worksheet'!$D$2,'PY1 Data(H)'!$A$1:$CZ$1,0))</f>
        <v>#N/A</v>
      </c>
      <c r="F50" s="793">
        <v>0</v>
      </c>
      <c r="G50" s="401">
        <f t="shared" ref="G50:G56" si="1">IF(F50&lt;0,"Error: Enter as positive.",)</f>
        <v>0</v>
      </c>
      <c r="H50" s="402"/>
      <c r="I50" s="402"/>
      <c r="J50" s="402"/>
      <c r="K50"/>
      <c r="L50" s="547"/>
    </row>
    <row r="51" spans="1:123" ht="87" customHeight="1" x14ac:dyDescent="0.3">
      <c r="A51" s="100">
        <v>4</v>
      </c>
      <c r="B51" s="949" t="s">
        <v>1884</v>
      </c>
      <c r="C51" s="458" t="s">
        <v>141</v>
      </c>
      <c r="D51" s="188" t="s">
        <v>689</v>
      </c>
      <c r="E51" s="371" t="e">
        <f>INDEX('PY1 Data(H)'!$A$1:$CZ$265,MATCH('Unit Data from Audit Worksheet'!$A51,'PY1 Data(H)'!$A$1:$A$258,0),MATCH('Unit Data from Audit Worksheet'!$D$2,'PY1 Data(H)'!$A$1:$CZ$1,0))</f>
        <v>#N/A</v>
      </c>
      <c r="F51" s="793">
        <v>0</v>
      </c>
      <c r="G51" s="401">
        <f t="shared" si="1"/>
        <v>0</v>
      </c>
      <c r="H51" s="402"/>
      <c r="I51" s="17"/>
      <c r="J51" s="72"/>
      <c r="K51"/>
      <c r="L51" s="547"/>
    </row>
    <row r="52" spans="1:123" ht="132" customHeight="1" x14ac:dyDescent="0.3">
      <c r="A52" s="100">
        <v>5</v>
      </c>
      <c r="B52" s="949" t="s">
        <v>1884</v>
      </c>
      <c r="C52" s="458" t="s">
        <v>141</v>
      </c>
      <c r="D52" s="211" t="s">
        <v>690</v>
      </c>
      <c r="E52" s="371" t="e">
        <f>INDEX('PY1 Data(H)'!$A$1:$CZ$265,MATCH('Unit Data from Audit Worksheet'!$A52,'PY1 Data(H)'!$A$1:$A$258,0),MATCH('Unit Data from Audit Worksheet'!$D$2,'PY1 Data(H)'!$A$1:$CZ$1,0))</f>
        <v>#N/A</v>
      </c>
      <c r="F52" s="793">
        <v>0</v>
      </c>
      <c r="G52" s="401">
        <f t="shared" si="1"/>
        <v>0</v>
      </c>
      <c r="H52" s="402"/>
      <c r="I52" s="17"/>
      <c r="J52" s="72"/>
      <c r="K52"/>
      <c r="L52" s="547"/>
    </row>
    <row r="53" spans="1:123" ht="93.75" customHeight="1" x14ac:dyDescent="0.3">
      <c r="A53" s="100">
        <v>380</v>
      </c>
      <c r="B53" s="458" t="s">
        <v>59</v>
      </c>
      <c r="C53" s="458" t="s">
        <v>141</v>
      </c>
      <c r="D53" s="211" t="s">
        <v>691</v>
      </c>
      <c r="E53" s="371" t="e">
        <f>INDEX('PY1 Data(H)'!$A$1:$CZ$265,MATCH('Unit Data from Audit Worksheet'!$A53,'PY1 Data(H)'!$A$1:$A$258,0),MATCH('Unit Data from Audit Worksheet'!$D$2,'PY1 Data(H)'!$A$1:$CZ$1,0))</f>
        <v>#N/A</v>
      </c>
      <c r="F53" s="793">
        <v>0</v>
      </c>
      <c r="G53" s="401">
        <f t="shared" si="1"/>
        <v>0</v>
      </c>
      <c r="H53" s="402"/>
      <c r="I53" s="17"/>
      <c r="J53" s="72"/>
      <c r="K53"/>
      <c r="L53" s="547"/>
    </row>
    <row r="54" spans="1:123" ht="48.75" customHeight="1" x14ac:dyDescent="0.3">
      <c r="A54" s="100">
        <v>391</v>
      </c>
      <c r="B54" s="458" t="s">
        <v>68</v>
      </c>
      <c r="C54" s="458" t="s">
        <v>141</v>
      </c>
      <c r="D54" s="99" t="s">
        <v>139</v>
      </c>
      <c r="E54" s="371" t="e">
        <f>INDEX('PY1 Data(H)'!$A$1:$CZ$265,MATCH('Unit Data from Audit Worksheet'!$A54,'PY1 Data(H)'!$A$1:$A$258,0),MATCH('Unit Data from Audit Worksheet'!$D$2,'PY1 Data(H)'!$A$1:$CZ$1,0))</f>
        <v>#N/A</v>
      </c>
      <c r="F54" s="793">
        <v>0</v>
      </c>
      <c r="G54" s="401">
        <f t="shared" si="1"/>
        <v>0</v>
      </c>
      <c r="H54" s="402"/>
      <c r="I54" s="17"/>
      <c r="J54" s="72"/>
      <c r="K54"/>
      <c r="L54" s="547"/>
    </row>
    <row r="55" spans="1:123" ht="51.75" customHeight="1" x14ac:dyDescent="0.3">
      <c r="A55" s="100">
        <v>7</v>
      </c>
      <c r="B55" s="458" t="s">
        <v>68</v>
      </c>
      <c r="C55" s="458" t="s">
        <v>141</v>
      </c>
      <c r="D55" s="99" t="s">
        <v>140</v>
      </c>
      <c r="E55" s="371" t="e">
        <f>INDEX('PY1 Data(H)'!$A$1:$CZ$265,MATCH('Unit Data from Audit Worksheet'!$A55,'PY1 Data(H)'!$A$1:$A$258,0),MATCH('Unit Data from Audit Worksheet'!$D$2,'PY1 Data(H)'!$A$1:$CZ$1,0))</f>
        <v>#N/A</v>
      </c>
      <c r="F55" s="793">
        <v>0</v>
      </c>
      <c r="G55" s="401">
        <f t="shared" si="1"/>
        <v>0</v>
      </c>
      <c r="H55" s="402"/>
      <c r="I55" s="17"/>
      <c r="J55" s="72"/>
      <c r="K55"/>
      <c r="L55" s="547"/>
    </row>
    <row r="56" spans="1:123" ht="83.4" customHeight="1" x14ac:dyDescent="0.3">
      <c r="A56" s="100">
        <v>11</v>
      </c>
      <c r="B56" s="949" t="s">
        <v>1885</v>
      </c>
      <c r="C56" s="458" t="s">
        <v>141</v>
      </c>
      <c r="D56" s="383" t="s">
        <v>692</v>
      </c>
      <c r="E56" s="371" t="e">
        <f>INDEX('PY1 Data(H)'!$A$1:$CZ$265,MATCH('Unit Data from Audit Worksheet'!$A56,'PY1 Data(H)'!$A$1:$A$258,0),MATCH('Unit Data from Audit Worksheet'!$D$2,'PY1 Data(H)'!$A$1:$CZ$1,0))</f>
        <v>#N/A</v>
      </c>
      <c r="F56" s="793">
        <v>0</v>
      </c>
      <c r="G56" s="401">
        <f t="shared" si="1"/>
        <v>0</v>
      </c>
      <c r="H56" s="402"/>
      <c r="I56" s="17"/>
      <c r="J56" s="72"/>
      <c r="K56"/>
      <c r="L56" s="547"/>
    </row>
    <row r="57" spans="1:123" ht="78.75" customHeight="1" x14ac:dyDescent="0.3">
      <c r="A57" s="189">
        <v>645</v>
      </c>
      <c r="B57" s="461" t="s">
        <v>358</v>
      </c>
      <c r="C57" s="461" t="s">
        <v>141</v>
      </c>
      <c r="D57" s="636" t="s">
        <v>384</v>
      </c>
      <c r="E57" s="371" t="e">
        <f>INDEX('PY1 Data(H)'!$A$1:$CZ$265,MATCH('Unit Data from Audit Worksheet'!$A57,'PY1 Data(H)'!$A$1:$A$258,0),MATCH('Unit Data from Audit Worksheet'!$D$2,'PY1 Data(H)'!$A$1:$CZ$1,0))</f>
        <v>#N/A</v>
      </c>
      <c r="F57" s="793">
        <v>0</v>
      </c>
      <c r="G57" s="401">
        <f>IF(F57&lt;0,"Note: Number is normally positive.",)</f>
        <v>0</v>
      </c>
      <c r="H57" s="402"/>
      <c r="I57" s="402"/>
      <c r="J57" s="403"/>
      <c r="K57"/>
      <c r="L57" s="547"/>
    </row>
    <row r="58" spans="1:123" ht="78.75" customHeight="1" x14ac:dyDescent="0.3">
      <c r="A58" s="189">
        <v>646</v>
      </c>
      <c r="B58" s="461" t="s">
        <v>358</v>
      </c>
      <c r="C58" s="461" t="s">
        <v>141</v>
      </c>
      <c r="D58" s="188" t="s">
        <v>359</v>
      </c>
      <c r="E58" s="371" t="e">
        <f>INDEX('PY1 Data(H)'!$A$1:$CZ$265,MATCH('Unit Data from Audit Worksheet'!$A58,'PY1 Data(H)'!$A$1:$A$258,0),MATCH('Unit Data from Audit Worksheet'!$D$2,'PY1 Data(H)'!$A$1:$CZ$1,0))</f>
        <v>#N/A</v>
      </c>
      <c r="F58" s="793">
        <v>0</v>
      </c>
      <c r="G58" s="401">
        <f>IF(F58&lt;0,"Note: Number is normally positive.",)</f>
        <v>0</v>
      </c>
      <c r="H58" s="402"/>
      <c r="I58" s="402"/>
      <c r="J58" s="403"/>
      <c r="K58"/>
      <c r="L58" s="547"/>
    </row>
    <row r="59" spans="1:123" ht="138" customHeight="1" x14ac:dyDescent="0.3">
      <c r="A59" s="100">
        <v>9</v>
      </c>
      <c r="B59" s="949" t="s">
        <v>1888</v>
      </c>
      <c r="C59" s="458" t="s">
        <v>141</v>
      </c>
      <c r="D59" s="383" t="s">
        <v>693</v>
      </c>
      <c r="E59" s="371" t="e">
        <f>INDEX('PY1 Data(H)'!$A$1:$CZ$265,MATCH('Unit Data from Audit Worksheet'!$A59,'PY1 Data(H)'!$A$1:$A$258,0),MATCH('Unit Data from Audit Worksheet'!$D$2,'PY1 Data(H)'!$A$1:$CZ$1,0))</f>
        <v>#N/A</v>
      </c>
      <c r="F59" s="793">
        <v>0</v>
      </c>
      <c r="G59" s="401">
        <f>IF(F49-F51-F52-F53-F59=0,,"Error: Total assets less total liabilities do not equal total fund balance. Account numbers 379-4-5-380-9= 0  The amount of the formula is in the cell to the right")</f>
        <v>0</v>
      </c>
      <c r="H59" s="404">
        <f>F49-F51-F52-F53-F59</f>
        <v>0</v>
      </c>
      <c r="I59" s="17"/>
      <c r="J59" s="72"/>
      <c r="K59"/>
      <c r="L59" s="547"/>
    </row>
    <row r="60" spans="1:123" s="18" customFormat="1" ht="63.75" customHeight="1" x14ac:dyDescent="0.3">
      <c r="A60" s="100">
        <v>540</v>
      </c>
      <c r="B60" s="373" t="s">
        <v>58</v>
      </c>
      <c r="C60" s="373" t="s">
        <v>694</v>
      </c>
      <c r="D60" s="99" t="s">
        <v>385</v>
      </c>
      <c r="E60" s="371" t="e">
        <f>INDEX('PY1 Data(H)'!$A$1:$CZ$265,MATCH('Unit Data from Audit Worksheet'!$A60,'PY1 Data(H)'!$A$1:$A$258,0),MATCH('Unit Data from Audit Worksheet'!$D$2,'PY1 Data(H)'!$A$1:$CZ$1,0))</f>
        <v>#N/A</v>
      </c>
      <c r="F60" s="793">
        <v>0</v>
      </c>
      <c r="G60" s="401"/>
      <c r="H60" s="402"/>
      <c r="I60" s="402"/>
      <c r="J60" s="403"/>
      <c r="K60"/>
      <c r="L60" s="547"/>
      <c r="M60"/>
      <c r="O60" s="186"/>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3" t="s">
        <v>58</v>
      </c>
      <c r="C61" s="778" t="s">
        <v>144</v>
      </c>
      <c r="D61" s="774" t="s">
        <v>1480</v>
      </c>
      <c r="E61" s="371" t="e">
        <f>INDEX('PY1 Data(H)'!$A$1:$CZ$265,MATCH('Unit Data from Audit Worksheet'!$A61,'PY1 Data(H)'!$A$1:$A$258,0),MATCH('Unit Data from Audit Worksheet'!$D$2,'PY1 Data(H)'!$A$1:$CZ$1,0))</f>
        <v>#N/A</v>
      </c>
      <c r="F61" s="793">
        <v>0</v>
      </c>
      <c r="G61" s="401"/>
      <c r="H61" s="402"/>
      <c r="I61" s="402"/>
      <c r="J61" s="403"/>
      <c r="K61" s="180"/>
      <c r="L61" s="547"/>
      <c r="M61" s="180"/>
      <c r="O61" s="186"/>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89" t="s">
        <v>143</v>
      </c>
      <c r="C62" s="499"/>
      <c r="D62" s="472"/>
      <c r="E62" s="473"/>
      <c r="F62" s="473"/>
      <c r="G62" s="474"/>
      <c r="H62" s="17"/>
      <c r="I62" s="17"/>
      <c r="J62" s="72"/>
      <c r="K62"/>
      <c r="L62" s="547"/>
    </row>
    <row r="63" spans="1:123" ht="82.5" customHeight="1" x14ac:dyDescent="0.3">
      <c r="A63" s="100">
        <v>984</v>
      </c>
      <c r="B63" s="948" t="s">
        <v>1898</v>
      </c>
      <c r="C63" s="373" t="s">
        <v>694</v>
      </c>
      <c r="D63" s="383" t="s">
        <v>774</v>
      </c>
      <c r="E63" s="371" t="e">
        <f>INDEX('PY1 Data(H)'!$A$1:$CZ$265,MATCH('Unit Data from Audit Worksheet'!$A63,'PY1 Data(H)'!$A$1:$A$258,0),MATCH('Unit Data from Audit Worksheet'!$D$2,'PY1 Data(H)'!$A$1:$CZ$1,0))</f>
        <v>#N/A</v>
      </c>
      <c r="F63" s="793">
        <v>0</v>
      </c>
      <c r="G63" s="401"/>
      <c r="H63" s="17"/>
      <c r="I63" s="17"/>
      <c r="J63" s="72"/>
      <c r="K63"/>
      <c r="L63" s="547"/>
    </row>
    <row r="64" spans="1:123" ht="69" customHeight="1" x14ac:dyDescent="0.3">
      <c r="A64" s="100">
        <v>985</v>
      </c>
      <c r="B64" s="948" t="s">
        <v>1898</v>
      </c>
      <c r="C64" s="373" t="s">
        <v>694</v>
      </c>
      <c r="D64" s="383" t="s">
        <v>775</v>
      </c>
      <c r="E64" s="371" t="e">
        <f>INDEX('PY1 Data(H)'!$A$1:$CZ$265,MATCH('Unit Data from Audit Worksheet'!$A64,'PY1 Data(H)'!$A$1:$A$258,0),MATCH('Unit Data from Audit Worksheet'!$D$2,'PY1 Data(H)'!$A$1:$CZ$1,0))</f>
        <v>#N/A</v>
      </c>
      <c r="F64" s="793">
        <v>0</v>
      </c>
      <c r="G64" s="401"/>
      <c r="H64" s="17"/>
      <c r="I64" s="17"/>
      <c r="J64" s="72"/>
      <c r="K64"/>
      <c r="L64" s="547"/>
    </row>
    <row r="65" spans="1:123" ht="52.5" customHeight="1" x14ac:dyDescent="0.3">
      <c r="A65" s="100">
        <v>369</v>
      </c>
      <c r="B65" s="4" t="s">
        <v>55</v>
      </c>
      <c r="C65" s="4" t="s">
        <v>144</v>
      </c>
      <c r="D65" s="383" t="s">
        <v>695</v>
      </c>
      <c r="E65" s="371" t="e">
        <f>INDEX('PY1 Data(H)'!$A$1:$CZ$265,MATCH('Unit Data from Audit Worksheet'!$A65,'PY1 Data(H)'!$A$1:$A$258,0),MATCH('Unit Data from Audit Worksheet'!$D$2,'PY1 Data(H)'!$A$1:$CZ$1,0))</f>
        <v>#N/A</v>
      </c>
      <c r="F65" s="793">
        <v>0</v>
      </c>
      <c r="G65" s="401"/>
      <c r="H65" s="17"/>
      <c r="I65" s="17"/>
      <c r="J65" s="72"/>
      <c r="K65"/>
      <c r="L65" s="547"/>
    </row>
    <row r="66" spans="1:123" ht="57.75" customHeight="1" x14ac:dyDescent="0.3">
      <c r="A66" s="100">
        <v>16</v>
      </c>
      <c r="B66" s="4" t="s">
        <v>65</v>
      </c>
      <c r="C66" s="4" t="s">
        <v>144</v>
      </c>
      <c r="D66" s="99" t="s">
        <v>142</v>
      </c>
      <c r="E66" s="371" t="e">
        <f>INDEX('PY1 Data(H)'!$A$1:$CZ$265,MATCH('Unit Data from Audit Worksheet'!$A66,'PY1 Data(H)'!$A$1:$A$258,0),MATCH('Unit Data from Audit Worksheet'!$D$2,'PY1 Data(H)'!$A$1:$CZ$1,0))</f>
        <v>#N/A</v>
      </c>
      <c r="F66" s="793">
        <v>0</v>
      </c>
      <c r="G66" s="401"/>
      <c r="H66" s="17"/>
      <c r="I66" s="17"/>
      <c r="J66" s="72"/>
      <c r="K66"/>
      <c r="L66" s="547"/>
    </row>
    <row r="67" spans="1:123" ht="65.25" customHeight="1" x14ac:dyDescent="0.3">
      <c r="A67" s="100">
        <v>370</v>
      </c>
      <c r="B67" s="4" t="s">
        <v>55</v>
      </c>
      <c r="C67" s="4" t="s">
        <v>144</v>
      </c>
      <c r="D67" s="383" t="s">
        <v>696</v>
      </c>
      <c r="E67" s="371" t="e">
        <f>INDEX('PY1 Data(H)'!$A$1:$CZ$265,MATCH('Unit Data from Audit Worksheet'!$A67,'PY1 Data(H)'!$A$1:$A$258,0),MATCH('Unit Data from Audit Worksheet'!$D$2,'PY1 Data(H)'!$A$1:$CZ$1,0))</f>
        <v>#N/A</v>
      </c>
      <c r="F67" s="793">
        <v>0</v>
      </c>
      <c r="G67" s="401">
        <f>IF(F67&lt;0,"Error: Enter as positive.",)</f>
        <v>0</v>
      </c>
      <c r="H67" s="17"/>
      <c r="I67" s="17"/>
      <c r="J67" s="72"/>
      <c r="K67"/>
      <c r="L67" s="547"/>
    </row>
    <row r="68" spans="1:123" ht="69.75" customHeight="1" x14ac:dyDescent="0.3">
      <c r="A68" s="100">
        <v>532</v>
      </c>
      <c r="B68" s="948" t="s">
        <v>1884</v>
      </c>
      <c r="C68" s="4" t="s">
        <v>144</v>
      </c>
      <c r="D68" s="379" t="s">
        <v>697</v>
      </c>
      <c r="E68" s="371" t="e">
        <f>INDEX('PY1 Data(H)'!$A$1:$CZ$265,MATCH('Unit Data from Audit Worksheet'!$A68,'PY1 Data(H)'!$A$1:$A$258,0),MATCH('Unit Data from Audit Worksheet'!$D$2,'PY1 Data(H)'!$A$1:$CZ$1,0))</f>
        <v>#N/A</v>
      </c>
      <c r="F68" s="793">
        <v>0</v>
      </c>
      <c r="G68" s="401">
        <f>IF(F68&lt;0,"Error: Enter as positive.",)</f>
        <v>0</v>
      </c>
      <c r="H68" s="17"/>
      <c r="I68" s="17"/>
      <c r="J68" s="72"/>
      <c r="K68"/>
      <c r="L68" s="547"/>
    </row>
    <row r="69" spans="1:123" ht="69.75" customHeight="1" x14ac:dyDescent="0.3">
      <c r="A69" s="100">
        <v>1050</v>
      </c>
      <c r="B69" s="951" t="s">
        <v>1887</v>
      </c>
      <c r="C69" s="778" t="s">
        <v>144</v>
      </c>
      <c r="D69" s="779" t="s">
        <v>1431</v>
      </c>
      <c r="E69" s="371" t="e">
        <f>INDEX('PY1 Data(H)'!$A$1:$CZ$265,MATCH('Unit Data from Audit Worksheet'!$A69,'PY1 Data(H)'!$A$1:$A$258,0),MATCH('Unit Data from Audit Worksheet'!$D$2,'PY1 Data(H)'!$A$1:$CZ$1,0))</f>
        <v>#N/A</v>
      </c>
      <c r="F69" s="793">
        <v>0</v>
      </c>
      <c r="G69" s="401">
        <f>IF(F69&lt;0,"Error: Enter as positive.",)</f>
        <v>0</v>
      </c>
      <c r="H69" s="17"/>
      <c r="I69" s="17"/>
      <c r="J69" s="72"/>
      <c r="K69" s="180"/>
      <c r="L69" s="547"/>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698</v>
      </c>
      <c r="E70" s="371" t="e">
        <f>INDEX('PY1 Data(H)'!$A$1:$CZ$265,MATCH('Unit Data from Audit Worksheet'!$A70,'PY1 Data(H)'!$A$1:$A$258,0),MATCH('Unit Data from Audit Worksheet'!$D$2,'PY1 Data(H)'!$A$1:$CZ$1,0))</f>
        <v>#N/A</v>
      </c>
      <c r="F70" s="793">
        <v>0</v>
      </c>
      <c r="G70" s="401"/>
      <c r="H70" s="17"/>
      <c r="I70" s="17"/>
      <c r="J70" s="72"/>
      <c r="K70"/>
      <c r="L70" s="547"/>
    </row>
    <row r="71" spans="1:123" ht="66" customHeight="1" x14ac:dyDescent="0.3">
      <c r="A71" s="100">
        <v>20</v>
      </c>
      <c r="B71" s="948" t="s">
        <v>1884</v>
      </c>
      <c r="C71" s="4" t="s">
        <v>144</v>
      </c>
      <c r="D71" s="99" t="s">
        <v>699</v>
      </c>
      <c r="E71" s="371" t="e">
        <f>INDEX('PY1 Data(H)'!$A$1:$CZ$265,MATCH('Unit Data from Audit Worksheet'!$A71,'PY1 Data(H)'!$A$1:$A$258,0),MATCH('Unit Data from Audit Worksheet'!$D$2,'PY1 Data(H)'!$A$1:$CZ$1,0))</f>
        <v>#N/A</v>
      </c>
      <c r="F71" s="793">
        <v>0</v>
      </c>
      <c r="G71" s="401">
        <f>IF(F71&lt;0,"Error: Enter as positive.",)</f>
        <v>0</v>
      </c>
      <c r="H71" s="17"/>
      <c r="I71" s="17"/>
      <c r="J71" s="72"/>
      <c r="K71"/>
      <c r="L71" s="547"/>
    </row>
    <row r="72" spans="1:123" ht="62.4" customHeight="1" x14ac:dyDescent="0.3">
      <c r="A72" s="100">
        <v>533</v>
      </c>
      <c r="B72" s="948" t="s">
        <v>1884</v>
      </c>
      <c r="C72" s="4" t="s">
        <v>144</v>
      </c>
      <c r="D72" s="379" t="s">
        <v>700</v>
      </c>
      <c r="E72" s="371" t="e">
        <f>INDEX('PY1 Data(H)'!$A$1:$CZ$265,MATCH('Unit Data from Audit Worksheet'!$A72,'PY1 Data(H)'!$A$1:$A$258,0),MATCH('Unit Data from Audit Worksheet'!$D$2,'PY1 Data(H)'!$A$1:$CZ$1,0))</f>
        <v>#N/A</v>
      </c>
      <c r="F72" s="793">
        <v>0</v>
      </c>
      <c r="G72" s="407"/>
      <c r="H72" s="17"/>
      <c r="I72" s="17"/>
      <c r="J72" s="72"/>
      <c r="K72"/>
      <c r="L72" s="547"/>
    </row>
    <row r="73" spans="1:123" s="18" customFormat="1" ht="72.599999999999994" customHeight="1" x14ac:dyDescent="0.3">
      <c r="A73" s="100">
        <v>508</v>
      </c>
      <c r="B73" s="948" t="s">
        <v>1884</v>
      </c>
      <c r="C73" s="4" t="s">
        <v>144</v>
      </c>
      <c r="D73" s="99" t="s">
        <v>290</v>
      </c>
      <c r="E73" s="371" t="e">
        <f>INDEX('PY1 Data(H)'!$A$1:$CZ$265,MATCH('Unit Data from Audit Worksheet'!$A73,'PY1 Data(H)'!$A$1:$A$258,0),MATCH('Unit Data from Audit Worksheet'!$D$2,'PY1 Data(H)'!$A$1:$CZ$1,0))</f>
        <v>#N/A</v>
      </c>
      <c r="F73" s="793">
        <v>0</v>
      </c>
      <c r="G73" s="401"/>
      <c r="H73" s="402"/>
      <c r="I73" s="402"/>
      <c r="J73" s="403"/>
      <c r="K73"/>
      <c r="L73" s="547"/>
      <c r="M73"/>
      <c r="O73" s="186"/>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48" t="s">
        <v>1884</v>
      </c>
      <c r="C74" s="4" t="s">
        <v>144</v>
      </c>
      <c r="D74" s="99" t="s">
        <v>288</v>
      </c>
      <c r="E74" s="371" t="e">
        <f>INDEX('PY1 Data(H)'!$A$1:$CZ$265,MATCH('Unit Data from Audit Worksheet'!$A74,'PY1 Data(H)'!$A$1:$A$258,0),MATCH('Unit Data from Audit Worksheet'!$D$2,'PY1 Data(H)'!$A$1:$CZ$1,0))</f>
        <v>#N/A</v>
      </c>
      <c r="F74" s="793">
        <v>0</v>
      </c>
      <c r="G74" s="401">
        <f>IF(F74&lt;0,"Error: Enter as positive.",)</f>
        <v>0</v>
      </c>
      <c r="H74" s="402"/>
      <c r="I74" s="402"/>
      <c r="J74" s="403"/>
      <c r="K74"/>
      <c r="L74" s="547"/>
      <c r="M74"/>
      <c r="O74" s="186"/>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289</v>
      </c>
      <c r="E75" s="371" t="e">
        <f>INDEX('PY1 Data(H)'!$A$1:$CZ$265,MATCH('Unit Data from Audit Worksheet'!$A75,'PY1 Data(H)'!$A$1:$A$258,0),MATCH('Unit Data from Audit Worksheet'!$D$2,'PY1 Data(H)'!$A$1:$CZ$1,0))</f>
        <v>#N/A</v>
      </c>
      <c r="F75" s="793">
        <v>0</v>
      </c>
      <c r="G75" s="407"/>
      <c r="H75" s="17"/>
      <c r="I75" s="17"/>
      <c r="J75" s="72"/>
      <c r="K75"/>
      <c r="L75" s="547"/>
    </row>
    <row r="76" spans="1:123" ht="138" customHeight="1" x14ac:dyDescent="0.3">
      <c r="A76" s="100">
        <v>23</v>
      </c>
      <c r="B76" s="4" t="s">
        <v>59</v>
      </c>
      <c r="C76" s="4" t="s">
        <v>144</v>
      </c>
      <c r="D76" s="383" t="s">
        <v>701</v>
      </c>
      <c r="E76" s="371" t="e">
        <f>INDEX('PY1 Data(H)'!$A$1:$CZ$265,MATCH('Unit Data from Audit Worksheet'!$A76,'PY1 Data(H)'!$A$1:$A$258,0),MATCH('Unit Data from Audit Worksheet'!$D$2,'PY1 Data(H)'!$A$1:$CZ$1,0))</f>
        <v>#N/A</v>
      </c>
      <c r="F76" s="793"/>
      <c r="G76" s="401">
        <f>IF(H76=0,,"Error: Total revenues less total expenditures do not equal total change in fund balance.  Account numbers 16-532+17-20+533+22+508-509-23=0  The amount of the formula is located in the cell to the right")</f>
        <v>0</v>
      </c>
      <c r="H76" s="404">
        <f>+F66-F68+F70-F71+F72+F75+F73-F74-F76</f>
        <v>0</v>
      </c>
      <c r="I76" s="17"/>
      <c r="J76" s="72"/>
      <c r="K76"/>
      <c r="L76" s="547"/>
    </row>
    <row r="77" spans="1:123" ht="194.25" customHeight="1" x14ac:dyDescent="0.3">
      <c r="A77" s="100">
        <v>590</v>
      </c>
      <c r="B77" s="948" t="s">
        <v>1940</v>
      </c>
      <c r="C77" s="4"/>
      <c r="D77" s="776" t="s">
        <v>1959</v>
      </c>
      <c r="E77" s="522"/>
      <c r="F77" s="794"/>
      <c r="G77" s="651"/>
      <c r="H77" s="755" t="str">
        <f>IF(F77&lt;&gt;""," ","Please do not leave cell F77 blank.")</f>
        <v>Please do not leave cell F77 blank.</v>
      </c>
      <c r="I77" s="402"/>
      <c r="J77" s="403"/>
      <c r="K77"/>
      <c r="L77" s="547"/>
    </row>
    <row r="78" spans="1:123" ht="138" customHeight="1" x14ac:dyDescent="0.3">
      <c r="A78" s="100">
        <v>507</v>
      </c>
      <c r="B78" s="373" t="s">
        <v>59</v>
      </c>
      <c r="C78" s="373" t="s">
        <v>144</v>
      </c>
      <c r="D78" s="383" t="s">
        <v>702</v>
      </c>
      <c r="E78" s="371" t="e">
        <f>INDEX('PY1 Data(H)'!$A$1:$CZ$265,MATCH('Unit Data from Audit Worksheet'!$A78,'PY1 Data(H)'!$A$1:$A$258,0),MATCH('Unit Data from Audit Worksheet'!$D$2,'PY1 Data(H)'!$A$1:$CZ$1,0))</f>
        <v>#N/A</v>
      </c>
      <c r="F78" s="793">
        <v>0</v>
      </c>
      <c r="G78" s="754" t="e">
        <f>IF(F59-F76-F78=E59,,"Error: Beginning Balance does not agree with our records.  (Acct# 9-23-507)= Prior Years Acct # 9 The amount of the formula is in the cell to the right")</f>
        <v>#N/A</v>
      </c>
      <c r="H78" s="755" t="e">
        <f>+F59-F76-F78-E59</f>
        <v>#N/A</v>
      </c>
      <c r="I78" s="775" t="e">
        <f>IF(H78=0," ","If the out of balance is because prior years data is not populated in cell E59, disregard the error message. Do not include prior year's ending balance in cell F78.")</f>
        <v>#N/A</v>
      </c>
      <c r="J78" s="763"/>
      <c r="K78"/>
      <c r="L78" s="547"/>
    </row>
    <row r="79" spans="1:123" ht="82.5" customHeight="1" x14ac:dyDescent="0.3">
      <c r="A79" s="189">
        <v>647</v>
      </c>
      <c r="B79" s="950" t="s">
        <v>1886</v>
      </c>
      <c r="C79" s="460" t="s">
        <v>360</v>
      </c>
      <c r="D79" s="188" t="s">
        <v>1525</v>
      </c>
      <c r="E79" s="371" t="e">
        <f>INDEX('PY1 Data(H)'!$A$1:$CZ$265,MATCH('Unit Data from Audit Worksheet'!$A79,'PY1 Data(H)'!$A$1:$A$258,0),MATCH('Unit Data from Audit Worksheet'!$D$2,'PY1 Data(H)'!$A$1:$CZ$1,0))</f>
        <v>#N/A</v>
      </c>
      <c r="F79" s="793">
        <v>0</v>
      </c>
      <c r="G79" s="401">
        <f>IF(F79&lt;0,"Error: Enter as positive.",)</f>
        <v>0</v>
      </c>
      <c r="H79" s="408"/>
      <c r="I79" s="17"/>
      <c r="J79" s="72"/>
      <c r="K79"/>
      <c r="L79" s="547"/>
    </row>
    <row r="80" spans="1:123" ht="25.5" customHeight="1" x14ac:dyDescent="0.3">
      <c r="A80" s="100"/>
      <c r="B80" s="489" t="s">
        <v>11</v>
      </c>
      <c r="C80" s="499"/>
      <c r="D80" s="469"/>
      <c r="E80" s="470"/>
      <c r="F80" s="470"/>
      <c r="G80" s="471"/>
      <c r="H80" s="17"/>
      <c r="I80" s="17"/>
      <c r="J80" s="72"/>
      <c r="K80"/>
      <c r="L80" s="547"/>
    </row>
    <row r="81" spans="1:12" ht="78" customHeight="1" x14ac:dyDescent="0.3">
      <c r="A81" s="100">
        <v>171</v>
      </c>
      <c r="B81" s="4" t="s">
        <v>293</v>
      </c>
      <c r="C81" s="4" t="s">
        <v>292</v>
      </c>
      <c r="D81" s="781" t="s">
        <v>703</v>
      </c>
      <c r="E81" s="371" t="e">
        <f>INDEX('PY1 Data(H)'!$A$1:$CZ$265,MATCH('Unit Data from Audit Worksheet'!$A81,'PY1 Data(H)'!$A$1:$A$258,0),MATCH('Unit Data from Audit Worksheet'!$D$2,'PY1 Data(H)'!$A$1:$CZ$1,0))</f>
        <v>#N/A</v>
      </c>
      <c r="F81" s="802">
        <v>0</v>
      </c>
      <c r="G81" s="401">
        <f>IF(F81&lt;0,"Error: Enter as positive.",)</f>
        <v>0</v>
      </c>
      <c r="H81" s="17"/>
      <c r="I81" s="17"/>
      <c r="J81" s="72"/>
      <c r="K81"/>
      <c r="L81" s="547"/>
    </row>
    <row r="82" spans="1:12" ht="18" customHeight="1" x14ac:dyDescent="0.3">
      <c r="A82" s="100"/>
      <c r="B82" s="490" t="s">
        <v>704</v>
      </c>
      <c r="C82" s="499"/>
      <c r="D82" s="467"/>
      <c r="E82" s="486"/>
      <c r="F82" s="485"/>
      <c r="G82" s="486"/>
      <c r="H82" s="17"/>
      <c r="I82" s="17"/>
      <c r="J82" s="72"/>
      <c r="K82"/>
      <c r="L82" s="547"/>
    </row>
    <row r="83" spans="1:12" ht="14.4" customHeight="1" x14ac:dyDescent="0.3">
      <c r="A83" s="100"/>
      <c r="B83" s="490" t="s">
        <v>24</v>
      </c>
      <c r="C83" s="499"/>
      <c r="D83" s="481"/>
      <c r="E83" s="488"/>
      <c r="F83" s="487"/>
      <c r="G83" s="488"/>
      <c r="H83" s="17"/>
      <c r="I83" s="17"/>
      <c r="J83" s="72"/>
      <c r="K83"/>
      <c r="L83" s="547"/>
    </row>
    <row r="84" spans="1:12" ht="14.4" customHeight="1" x14ac:dyDescent="0.3">
      <c r="A84" s="100"/>
      <c r="B84" s="490" t="s">
        <v>22</v>
      </c>
      <c r="C84" s="499"/>
      <c r="D84" s="481"/>
      <c r="E84" s="488"/>
      <c r="F84" s="487"/>
      <c r="G84" s="488"/>
      <c r="H84" s="409"/>
      <c r="I84" s="17"/>
      <c r="J84" s="72"/>
      <c r="K84"/>
      <c r="L84" s="547"/>
    </row>
    <row r="85" spans="1:12" ht="88.95" customHeight="1" x14ac:dyDescent="0.3">
      <c r="A85" s="100">
        <v>596</v>
      </c>
      <c r="B85" s="373" t="s">
        <v>56</v>
      </c>
      <c r="C85" s="277"/>
      <c r="D85" s="739" t="s">
        <v>1538</v>
      </c>
      <c r="E85" s="371" t="e">
        <f>INDEX('PY1 Data(H)'!$A$1:$CZ$265,MATCH('Unit Data from Audit Worksheet'!$A85,'PY1 Data(H)'!$A$1:$A$258,0),MATCH('Unit Data from Audit Worksheet'!$D$2,'PY1 Data(H)'!$A$1:$CZ$1,0))</f>
        <v>#N/A</v>
      </c>
      <c r="F85" s="181"/>
      <c r="G85" s="989" t="s">
        <v>1926</v>
      </c>
      <c r="H85" s="409"/>
      <c r="I85" s="17"/>
      <c r="J85" s="72"/>
      <c r="K85"/>
      <c r="L85" s="547"/>
    </row>
    <row r="86" spans="1:12" ht="85.95" customHeight="1" x14ac:dyDescent="0.3">
      <c r="A86" s="100">
        <v>80</v>
      </c>
      <c r="B86" s="948" t="s">
        <v>1889</v>
      </c>
      <c r="C86" s="4" t="s">
        <v>705</v>
      </c>
      <c r="D86" s="21" t="s">
        <v>706</v>
      </c>
      <c r="E86" s="371" t="e">
        <f>INDEX('PY1 Data(H)'!$A$1:$CZ$265,MATCH('Unit Data from Audit Worksheet'!$A86,'PY1 Data(H)'!$A$1:$A$258,0),MATCH('Unit Data from Audit Worksheet'!$D$2,'PY1 Data(H)'!$A$1:$CZ$1,0))</f>
        <v>#N/A</v>
      </c>
      <c r="F86" s="802">
        <v>0</v>
      </c>
      <c r="G86" s="780" t="e">
        <f>INDEX('PY1 Data(H)'!$A$1:$CZ$277,MATCH('PY1 Data(H)'!$A263,'PY1 Data(H)'!$A$1:$A$277,0),MATCH('Unit Data from Audit Worksheet'!$D$2,'PY1 Data(H)'!$A$1:$CZ$1,0))</f>
        <v>#N/A</v>
      </c>
      <c r="H86" s="410"/>
      <c r="I86" s="17"/>
      <c r="J86" s="72"/>
      <c r="K86"/>
      <c r="L86" s="547"/>
    </row>
    <row r="87" spans="1:12" ht="69" customHeight="1" x14ac:dyDescent="0.3">
      <c r="A87" s="100">
        <v>81</v>
      </c>
      <c r="B87" s="4" t="s">
        <v>61</v>
      </c>
      <c r="C87" s="4" t="s">
        <v>705</v>
      </c>
      <c r="D87" s="21" t="s">
        <v>707</v>
      </c>
      <c r="E87" s="371" t="e">
        <f>INDEX('PY1 Data(H)'!$A$1:$CZ$265,MATCH('Unit Data from Audit Worksheet'!$A87,'PY1 Data(H)'!$A$1:$A$258,0),MATCH('Unit Data from Audit Worksheet'!$D$2,'PY1 Data(H)'!$A$1:$CZ$1,0))</f>
        <v>#N/A</v>
      </c>
      <c r="F87" s="793">
        <v>0</v>
      </c>
      <c r="G87" s="407"/>
      <c r="H87" s="17"/>
      <c r="I87" s="17"/>
      <c r="J87" s="72"/>
      <c r="K87"/>
      <c r="L87" s="547"/>
    </row>
    <row r="88" spans="1:12" ht="84" customHeight="1" x14ac:dyDescent="0.3">
      <c r="A88" s="100">
        <v>579</v>
      </c>
      <c r="B88" s="949" t="s">
        <v>1901</v>
      </c>
      <c r="C88" s="373" t="s">
        <v>705</v>
      </c>
      <c r="D88" s="459" t="s">
        <v>708</v>
      </c>
      <c r="E88" s="371" t="e">
        <f>INDEX('PY1 Data(H)'!$A$1:$CZ$265,MATCH('Unit Data from Audit Worksheet'!$A88,'PY1 Data(H)'!$A$1:$A$258,0),MATCH('Unit Data from Audit Worksheet'!$D$2,'PY1 Data(H)'!$A$1:$CZ$1,0))</f>
        <v>#N/A</v>
      </c>
      <c r="F88" s="793">
        <v>0</v>
      </c>
      <c r="G88" s="401"/>
      <c r="H88" s="17"/>
      <c r="I88" s="402"/>
      <c r="J88" s="402"/>
      <c r="K88"/>
      <c r="L88" s="547"/>
    </row>
    <row r="89" spans="1:12" ht="78.599999999999994" customHeight="1" x14ac:dyDescent="0.3">
      <c r="A89" s="100">
        <v>510</v>
      </c>
      <c r="B89" s="948" t="s">
        <v>1889</v>
      </c>
      <c r="C89" s="4" t="s">
        <v>705</v>
      </c>
      <c r="D89" s="26" t="s">
        <v>287</v>
      </c>
      <c r="E89" s="371" t="e">
        <f>INDEX('PY1 Data(H)'!$A$1:$CZ$265,MATCH('Unit Data from Audit Worksheet'!$A89,'PY1 Data(H)'!$A$1:$A$258,0),MATCH('Unit Data from Audit Worksheet'!$D$2,'PY1 Data(H)'!$A$1:$CZ$1,0))</f>
        <v>#N/A</v>
      </c>
      <c r="F89" s="793">
        <v>0</v>
      </c>
      <c r="G89" s="407"/>
      <c r="H89" s="17"/>
      <c r="I89" s="524"/>
      <c r="J89" s="72"/>
      <c r="K89"/>
      <c r="L89" s="547"/>
    </row>
    <row r="90" spans="1:12" ht="68.25" customHeight="1" x14ac:dyDescent="0.3">
      <c r="A90" s="189">
        <v>654</v>
      </c>
      <c r="B90" s="952" t="s">
        <v>1900</v>
      </c>
      <c r="C90" s="460" t="s">
        <v>705</v>
      </c>
      <c r="D90" s="214" t="s">
        <v>709</v>
      </c>
      <c r="E90" s="371" t="e">
        <f>INDEX('PY1 Data(H)'!$A$1:$CZ$265,MATCH('Unit Data from Audit Worksheet'!$A90,'PY1 Data(H)'!$A$1:$A$258,0),MATCH('Unit Data from Audit Worksheet'!$D$2,'PY1 Data(H)'!$A$1:$CZ$1,0))</f>
        <v>#N/A</v>
      </c>
      <c r="F90" s="793">
        <v>0</v>
      </c>
      <c r="G90" s="401">
        <f>IF((F86+F87+F89)&gt;F90,"Error: Please review components of current assets above.  Account numbers (80+81+510)&gt;654",)</f>
        <v>0</v>
      </c>
      <c r="H90" s="17"/>
      <c r="I90" s="17"/>
      <c r="J90" s="72"/>
      <c r="K90"/>
      <c r="L90" s="547"/>
    </row>
    <row r="91" spans="1:12" ht="75.75" customHeight="1" x14ac:dyDescent="0.3">
      <c r="A91" s="189">
        <v>655</v>
      </c>
      <c r="B91" s="952" t="s">
        <v>1900</v>
      </c>
      <c r="C91" s="460" t="s">
        <v>705</v>
      </c>
      <c r="D91" s="191" t="s">
        <v>443</v>
      </c>
      <c r="E91" s="371" t="e">
        <f>INDEX('PY1 Data(H)'!$A$1:$CZ$265,MATCH('Unit Data from Audit Worksheet'!$A91,'PY1 Data(H)'!$A$1:$A$258,0),MATCH('Unit Data from Audit Worksheet'!$D$2,'PY1 Data(H)'!$A$1:$CZ$1,0))</f>
        <v>#N/A</v>
      </c>
      <c r="F91" s="793">
        <v>0</v>
      </c>
      <c r="G91" s="407"/>
      <c r="H91" s="17"/>
      <c r="I91" s="17"/>
      <c r="J91" s="72"/>
      <c r="K91"/>
      <c r="L91" s="547"/>
    </row>
    <row r="92" spans="1:12" ht="106.2" customHeight="1" x14ac:dyDescent="0.3">
      <c r="A92" s="100">
        <v>381</v>
      </c>
      <c r="B92" s="4" t="s">
        <v>36</v>
      </c>
      <c r="C92" s="4" t="s">
        <v>705</v>
      </c>
      <c r="D92" s="98" t="s">
        <v>122</v>
      </c>
      <c r="E92" s="371" t="e">
        <f>INDEX('PY1 Data(H)'!$A$1:$CZ$265,MATCH('Unit Data from Audit Worksheet'!$A92,'PY1 Data(H)'!$A$1:$A$258,0),MATCH('Unit Data from Audit Worksheet'!$D$2,'PY1 Data(H)'!$A$1:$CZ$1,0))</f>
        <v>#N/A</v>
      </c>
      <c r="F92" s="793">
        <v>0</v>
      </c>
      <c r="G92" s="401">
        <f>IF(F90&gt;F92,"Error: Please review components of current assets above. Account numbers 654&gt;381",)</f>
        <v>0</v>
      </c>
      <c r="H92" s="17"/>
      <c r="I92" s="17"/>
      <c r="J92" s="72"/>
      <c r="K92"/>
      <c r="L92" s="547"/>
    </row>
    <row r="93" spans="1:12" ht="63" customHeight="1" x14ac:dyDescent="0.3">
      <c r="A93" s="100">
        <v>578</v>
      </c>
      <c r="B93" s="948" t="s">
        <v>1901</v>
      </c>
      <c r="C93" s="373" t="s">
        <v>705</v>
      </c>
      <c r="D93" s="459" t="s">
        <v>710</v>
      </c>
      <c r="E93" s="371" t="e">
        <f>INDEX('PY1 Data(H)'!$A$1:$CZ$265,MATCH('Unit Data from Audit Worksheet'!$A93,'PY1 Data(H)'!$A$1:$A$258,0),MATCH('Unit Data from Audit Worksheet'!$D$2,'PY1 Data(H)'!$A$1:$CZ$1,0))</f>
        <v>#N/A</v>
      </c>
      <c r="F93" s="793">
        <v>0</v>
      </c>
      <c r="G93" s="401"/>
      <c r="H93" s="402"/>
      <c r="I93" s="402"/>
      <c r="J93" s="403"/>
      <c r="K93"/>
      <c r="L93" s="547"/>
    </row>
    <row r="94" spans="1:12" ht="113.4" customHeight="1" x14ac:dyDescent="0.3">
      <c r="A94" s="190">
        <v>633</v>
      </c>
      <c r="B94" s="952" t="s">
        <v>1892</v>
      </c>
      <c r="C94" s="460" t="s">
        <v>361</v>
      </c>
      <c r="D94" s="214" t="s">
        <v>776</v>
      </c>
      <c r="E94" s="371" t="e">
        <f>INDEX('PY1 Data(H)'!$A$1:$CZ$265,MATCH('Unit Data from Audit Worksheet'!$A94,'PY1 Data(H)'!$A$1:$A$258,0),MATCH('Unit Data from Audit Worksheet'!$D$2,'PY1 Data(H)'!$A$1:$CZ$1,0))</f>
        <v>#N/A</v>
      </c>
      <c r="F94" s="793">
        <v>0</v>
      </c>
      <c r="G94" s="725" t="str">
        <f>IF(F94&gt;=(F95+F96+F97+F98+F99+F100),"","Account 633 is less than the total sum of accounts 634 through 638 + 383")</f>
        <v/>
      </c>
      <c r="H94" s="412"/>
      <c r="I94" s="406"/>
      <c r="J94" s="761"/>
      <c r="K94"/>
      <c r="L94" s="547"/>
    </row>
    <row r="95" spans="1:12" ht="101.4" customHeight="1" x14ac:dyDescent="0.3">
      <c r="A95" s="189">
        <v>634</v>
      </c>
      <c r="B95" s="950" t="s">
        <v>1893</v>
      </c>
      <c r="C95" s="460" t="s">
        <v>361</v>
      </c>
      <c r="D95" s="214" t="s">
        <v>778</v>
      </c>
      <c r="E95" s="371" t="e">
        <f>INDEX('PY1 Data(H)'!$A$1:$CZ$265,MATCH('Unit Data from Audit Worksheet'!$A95,'PY1 Data(H)'!$A$1:$A$258,0),MATCH('Unit Data from Audit Worksheet'!$D$2,'PY1 Data(H)'!$A$1:$CZ$1,0))</f>
        <v>#N/A</v>
      </c>
      <c r="F95" s="793">
        <v>0</v>
      </c>
      <c r="G95" s="726">
        <f>IF(F95&gt;F94,"Please review account numbers 634&gt;633",)</f>
        <v>0</v>
      </c>
      <c r="H95" s="406"/>
      <c r="I95" s="406"/>
      <c r="J95" s="761"/>
      <c r="K95"/>
      <c r="L95" s="547"/>
    </row>
    <row r="96" spans="1:12" ht="107.4" customHeight="1" x14ac:dyDescent="0.3">
      <c r="A96" s="189">
        <v>635</v>
      </c>
      <c r="B96" s="950" t="s">
        <v>1893</v>
      </c>
      <c r="C96" s="460" t="s">
        <v>361</v>
      </c>
      <c r="D96" s="214" t="s">
        <v>777</v>
      </c>
      <c r="E96" s="371" t="e">
        <f>INDEX('PY1 Data(H)'!$A$1:$CZ$265,MATCH('Unit Data from Audit Worksheet'!$A96,'PY1 Data(H)'!$A$1:$A$258,0),MATCH('Unit Data from Audit Worksheet'!$D$2,'PY1 Data(H)'!$A$1:$CZ$1,0))</f>
        <v>#N/A</v>
      </c>
      <c r="F96" s="793">
        <v>0</v>
      </c>
      <c r="G96" s="726">
        <f>IF(F96&gt;F94,"Please review account numbers 635&gt;633",)</f>
        <v>0</v>
      </c>
      <c r="H96" s="406"/>
      <c r="I96" s="406"/>
      <c r="J96" s="761"/>
      <c r="K96"/>
      <c r="L96" s="547"/>
    </row>
    <row r="97" spans="1:12" ht="106.5" customHeight="1" x14ac:dyDescent="0.3">
      <c r="A97" s="189">
        <v>636</v>
      </c>
      <c r="B97" s="950" t="s">
        <v>1893</v>
      </c>
      <c r="C97" s="460" t="s">
        <v>361</v>
      </c>
      <c r="D97" s="214" t="s">
        <v>782</v>
      </c>
      <c r="E97" s="371" t="e">
        <f>INDEX('PY1 Data(H)'!$A$1:$CZ$265,MATCH('Unit Data from Audit Worksheet'!$A97,'PY1 Data(H)'!$A$1:$A$258,0),MATCH('Unit Data from Audit Worksheet'!$D$2,'PY1 Data(H)'!$A$1:$CZ$1,0))</f>
        <v>#N/A</v>
      </c>
      <c r="F97" s="793">
        <v>0</v>
      </c>
      <c r="G97" s="726">
        <f>IF(F97&gt;F94,"Please review account numbers 636&gt;633",)</f>
        <v>0</v>
      </c>
      <c r="H97" s="406"/>
      <c r="I97" s="406"/>
      <c r="J97" s="761"/>
      <c r="K97"/>
      <c r="L97" s="547"/>
    </row>
    <row r="98" spans="1:12" ht="80.25" customHeight="1" x14ac:dyDescent="0.3">
      <c r="A98" s="189">
        <v>637</v>
      </c>
      <c r="B98" s="950" t="s">
        <v>1893</v>
      </c>
      <c r="C98" s="460" t="s">
        <v>361</v>
      </c>
      <c r="D98" s="214" t="s">
        <v>781</v>
      </c>
      <c r="E98" s="371" t="e">
        <f>INDEX('PY1 Data(H)'!$A$1:$CZ$265,MATCH('Unit Data from Audit Worksheet'!$A98,'PY1 Data(H)'!$A$1:$A$258,0),MATCH('Unit Data from Audit Worksheet'!$D$2,'PY1 Data(H)'!$A$1:$CZ$1,0))</f>
        <v>#N/A</v>
      </c>
      <c r="F98" s="793">
        <v>0</v>
      </c>
      <c r="G98" s="726">
        <f>IF(F98&gt;F94,"Please review account numbers 637&gt;633",)</f>
        <v>0</v>
      </c>
      <c r="H98" s="406"/>
      <c r="I98" s="406"/>
      <c r="J98" s="761"/>
      <c r="K98"/>
      <c r="L98" s="547"/>
    </row>
    <row r="99" spans="1:12" ht="106.2" customHeight="1" x14ac:dyDescent="0.3">
      <c r="A99" s="189">
        <v>638</v>
      </c>
      <c r="B99" s="950" t="s">
        <v>1893</v>
      </c>
      <c r="C99" s="460" t="s">
        <v>361</v>
      </c>
      <c r="D99" s="214" t="s">
        <v>780</v>
      </c>
      <c r="E99" s="371" t="e">
        <f>INDEX('PY1 Data(H)'!$A$1:$CZ$265,MATCH('Unit Data from Audit Worksheet'!$A99,'PY1 Data(H)'!$A$1:$A$258,0),MATCH('Unit Data from Audit Worksheet'!$D$2,'PY1 Data(H)'!$A$1:$CZ$1,0))</f>
        <v>#N/A</v>
      </c>
      <c r="F99" s="793">
        <v>0</v>
      </c>
      <c r="G99" s="726">
        <f>IF(F99&gt;F94,"Please review account numbers 638&gt;633",)</f>
        <v>0</v>
      </c>
      <c r="H99" s="406"/>
      <c r="I99" s="406"/>
      <c r="J99" s="761"/>
      <c r="K99"/>
      <c r="L99" s="547"/>
    </row>
    <row r="100" spans="1:12" ht="93.75" customHeight="1" x14ac:dyDescent="0.3">
      <c r="A100" s="100">
        <v>383</v>
      </c>
      <c r="B100" s="4" t="s">
        <v>61</v>
      </c>
      <c r="C100" s="4" t="s">
        <v>705</v>
      </c>
      <c r="D100" s="26" t="s">
        <v>779</v>
      </c>
      <c r="E100" s="371" t="e">
        <f>INDEX('PY1 Data(H)'!$A$1:$CZ$265,MATCH('Unit Data from Audit Worksheet'!$A100,'PY1 Data(H)'!$A$1:$A$258,0),MATCH('Unit Data from Audit Worksheet'!$D$2,'PY1 Data(H)'!$A$1:$CZ$1,0))</f>
        <v>#N/A</v>
      </c>
      <c r="F100" s="793">
        <v>0</v>
      </c>
      <c r="G100" s="727">
        <f>IF(F100&gt;F94,"Error: Please review account numbers 383&gt;633",)</f>
        <v>0</v>
      </c>
      <c r="H100" s="411"/>
      <c r="I100" s="17"/>
      <c r="J100" s="72"/>
      <c r="K100"/>
      <c r="L100" s="547"/>
    </row>
    <row r="101" spans="1:12" ht="61.5" customHeight="1" x14ac:dyDescent="0.3">
      <c r="A101" s="100">
        <v>349</v>
      </c>
      <c r="B101" s="4" t="s">
        <v>61</v>
      </c>
      <c r="C101" s="4" t="s">
        <v>705</v>
      </c>
      <c r="D101" s="99" t="s">
        <v>145</v>
      </c>
      <c r="E101" s="371" t="e">
        <f>INDEX('PY1 Data(H)'!$A$1:$CZ$265,MATCH('Unit Data from Audit Worksheet'!$A101,'PY1 Data(H)'!$A$1:$A$258,0),MATCH('Unit Data from Audit Worksheet'!$D$2,'PY1 Data(H)'!$A$1:$CZ$1,0))</f>
        <v>#N/A</v>
      </c>
      <c r="F101" s="793">
        <v>0</v>
      </c>
      <c r="G101" s="401" t="str">
        <f>IF(F94&gt;F101,"Error: Please review accts 633&gt;349","")</f>
        <v/>
      </c>
      <c r="H101" s="17"/>
      <c r="I101" s="17"/>
      <c r="J101" s="72"/>
      <c r="K101"/>
      <c r="L101" s="547"/>
    </row>
    <row r="102" spans="1:12" ht="72" customHeight="1" x14ac:dyDescent="0.3">
      <c r="A102" s="100">
        <v>375</v>
      </c>
      <c r="B102" s="4" t="s">
        <v>61</v>
      </c>
      <c r="C102" s="4" t="s">
        <v>705</v>
      </c>
      <c r="D102" s="383" t="s">
        <v>711</v>
      </c>
      <c r="E102" s="371" t="e">
        <f>INDEX('PY1 Data(H)'!$A$1:$CZ$265,MATCH('Unit Data from Audit Worksheet'!$A102,'PY1 Data(H)'!$A$1:$A$258,0),MATCH('Unit Data from Audit Worksheet'!$D$2,'PY1 Data(H)'!$A$1:$CZ$1,0))</f>
        <v>#N/A</v>
      </c>
      <c r="F102" s="793">
        <v>0</v>
      </c>
      <c r="G102" s="407"/>
      <c r="H102" s="17"/>
      <c r="I102" s="17"/>
      <c r="J102" s="72"/>
      <c r="K102"/>
      <c r="L102" s="547"/>
    </row>
    <row r="103" spans="1:12" ht="138" customHeight="1" x14ac:dyDescent="0.3">
      <c r="A103" s="100">
        <v>83</v>
      </c>
      <c r="B103" s="4" t="s">
        <v>60</v>
      </c>
      <c r="C103" s="4" t="s">
        <v>705</v>
      </c>
      <c r="D103" s="99" t="s">
        <v>146</v>
      </c>
      <c r="E103" s="371" t="e">
        <f>INDEX('PY1 Data(H)'!$A$1:$CZ$265,MATCH('Unit Data from Audit Worksheet'!$A103,'PY1 Data(H)'!$A$1:$A$258,0),MATCH('Unit Data from Audit Worksheet'!$D$2,'PY1 Data(H)'!$A$1:$CZ$1,0))</f>
        <v>#N/A</v>
      </c>
      <c r="F103" s="793">
        <v>0</v>
      </c>
      <c r="G103" s="401">
        <f>IF(F92-F101-F103=0,,"Error: Total assets less total liabilities do not equal total net assets.  Account numbers 381-349-83=0  The amount of the formula is in the cell to the right")</f>
        <v>0</v>
      </c>
      <c r="H103" s="404">
        <f>F92-F101-F103</f>
        <v>0</v>
      </c>
      <c r="I103" s="17"/>
      <c r="J103" s="72"/>
      <c r="K103"/>
      <c r="L103" s="547"/>
    </row>
    <row r="104" spans="1:12" ht="40.5" customHeight="1" x14ac:dyDescent="0.3">
      <c r="A104" s="100"/>
      <c r="B104" s="489" t="s">
        <v>147</v>
      </c>
      <c r="C104" s="499"/>
      <c r="D104" s="467"/>
      <c r="E104" s="485"/>
      <c r="F104" s="485"/>
      <c r="G104" s="486"/>
      <c r="H104" s="409"/>
      <c r="I104" s="17"/>
      <c r="J104" s="72"/>
      <c r="K104"/>
      <c r="L104" s="547"/>
    </row>
    <row r="105" spans="1:12" ht="59.25" customHeight="1" x14ac:dyDescent="0.3">
      <c r="A105" s="100">
        <v>90</v>
      </c>
      <c r="B105" s="948" t="s">
        <v>1896</v>
      </c>
      <c r="C105" s="4" t="s">
        <v>712</v>
      </c>
      <c r="D105" s="21" t="s">
        <v>713</v>
      </c>
      <c r="E105" s="371" t="e">
        <f>INDEX('PY1 Data(H)'!$A$1:$CZ$265,MATCH('Unit Data from Audit Worksheet'!$A105,'PY1 Data(H)'!$A$1:$A$258,0),MATCH('Unit Data from Audit Worksheet'!$D$2,'PY1 Data(H)'!$A$1:$CZ$1,0))</f>
        <v>#N/A</v>
      </c>
      <c r="F105" s="793">
        <v>0</v>
      </c>
      <c r="G105" s="401">
        <f>IF(F105&lt;0,"Note: Number is normally positive.",)</f>
        <v>0</v>
      </c>
      <c r="H105" s="404"/>
      <c r="I105" s="17"/>
      <c r="J105" s="72"/>
      <c r="K105"/>
      <c r="L105" s="547"/>
    </row>
    <row r="106" spans="1:12" ht="75" customHeight="1" x14ac:dyDescent="0.3">
      <c r="A106" s="100">
        <v>91</v>
      </c>
      <c r="B106" s="4" t="s">
        <v>57</v>
      </c>
      <c r="C106" s="4" t="s">
        <v>712</v>
      </c>
      <c r="D106" s="21" t="s">
        <v>714</v>
      </c>
      <c r="E106" s="371" t="e">
        <f>INDEX('PY1 Data(H)'!$A$1:$CZ$265,MATCH('Unit Data from Audit Worksheet'!$A106,'PY1 Data(H)'!$A$1:$A$258,0),MATCH('Unit Data from Audit Worksheet'!$D$2,'PY1 Data(H)'!$A$1:$CZ$1,0))</f>
        <v>#N/A</v>
      </c>
      <c r="F106" s="793">
        <v>0</v>
      </c>
      <c r="G106" s="401">
        <f>IF(F106&lt;0,"Note: Number is normally positive.",)</f>
        <v>0</v>
      </c>
      <c r="H106" s="402"/>
      <c r="I106" s="17"/>
      <c r="J106" s="72"/>
      <c r="K106"/>
      <c r="L106" s="547"/>
    </row>
    <row r="107" spans="1:12" ht="66.75" customHeight="1" x14ac:dyDescent="0.3">
      <c r="A107" s="100">
        <v>581</v>
      </c>
      <c r="B107" s="948" t="s">
        <v>1891</v>
      </c>
      <c r="C107" s="373" t="s">
        <v>712</v>
      </c>
      <c r="D107" s="459" t="s">
        <v>715</v>
      </c>
      <c r="E107" s="371" t="e">
        <f>INDEX('PY1 Data(H)'!$A$1:$CZ$265,MATCH('Unit Data from Audit Worksheet'!$A107,'PY1 Data(H)'!$A$1:$A$258,0),MATCH('Unit Data from Audit Worksheet'!$D$2,'PY1 Data(H)'!$A$1:$CZ$1,0))</f>
        <v>#N/A</v>
      </c>
      <c r="F107" s="793">
        <v>0</v>
      </c>
      <c r="G107" s="401"/>
      <c r="H107" s="402"/>
      <c r="I107" s="17"/>
      <c r="J107" s="72"/>
      <c r="K107"/>
      <c r="L107" s="547"/>
    </row>
    <row r="108" spans="1:12" ht="67.5" customHeight="1" x14ac:dyDescent="0.3">
      <c r="A108" s="100">
        <v>511</v>
      </c>
      <c r="B108" s="948" t="s">
        <v>1891</v>
      </c>
      <c r="C108" s="4" t="s">
        <v>712</v>
      </c>
      <c r="D108" s="22" t="s">
        <v>148</v>
      </c>
      <c r="E108" s="371" t="e">
        <f>INDEX('PY1 Data(H)'!$A$1:$CZ$265,MATCH('Unit Data from Audit Worksheet'!$A108,'PY1 Data(H)'!$A$1:$A$258,0),MATCH('Unit Data from Audit Worksheet'!$D$2,'PY1 Data(H)'!$A$1:$CZ$1,0))</f>
        <v>#N/A</v>
      </c>
      <c r="F108" s="793">
        <v>0</v>
      </c>
      <c r="G108" s="401">
        <f>IF(F108&lt;0,"Note: Number is normally positive.",)</f>
        <v>0</v>
      </c>
      <c r="H108" s="402"/>
      <c r="I108" s="17"/>
      <c r="J108" s="72"/>
      <c r="K108"/>
      <c r="L108" s="547"/>
    </row>
    <row r="109" spans="1:12" ht="72" customHeight="1" x14ac:dyDescent="0.3">
      <c r="A109" s="189">
        <v>657</v>
      </c>
      <c r="B109" s="948" t="s">
        <v>1891</v>
      </c>
      <c r="C109" s="460" t="s">
        <v>712</v>
      </c>
      <c r="D109" s="214" t="s">
        <v>716</v>
      </c>
      <c r="E109" s="371" t="e">
        <f>INDEX('PY1 Data(H)'!$A$1:$CZ$265,MATCH('Unit Data from Audit Worksheet'!$A109,'PY1 Data(H)'!$A$1:$A$258,0),MATCH('Unit Data from Audit Worksheet'!$D$2,'PY1 Data(H)'!$A$1:$CZ$1,0))</f>
        <v>#N/A</v>
      </c>
      <c r="F109" s="793">
        <v>0</v>
      </c>
      <c r="G109" s="727">
        <f>IF((F105+F106+F108)&gt;F109,"Error: Please review components of current assets above.  Account numbers (90+91+511)&gt;657",)</f>
        <v>0</v>
      </c>
      <c r="H109" s="402"/>
      <c r="I109" s="17"/>
      <c r="J109" s="72"/>
      <c r="K109"/>
      <c r="L109" s="547"/>
    </row>
    <row r="110" spans="1:12" ht="70.5" customHeight="1" x14ac:dyDescent="0.3">
      <c r="A110" s="189">
        <v>658</v>
      </c>
      <c r="B110" s="948" t="s">
        <v>1891</v>
      </c>
      <c r="C110" s="460" t="s">
        <v>712</v>
      </c>
      <c r="D110" s="191" t="s">
        <v>444</v>
      </c>
      <c r="E110" s="371" t="e">
        <f>INDEX('PY1 Data(H)'!$A$1:$CZ$265,MATCH('Unit Data from Audit Worksheet'!$A110,'PY1 Data(H)'!$A$1:$A$258,0),MATCH('Unit Data from Audit Worksheet'!$D$2,'PY1 Data(H)'!$A$1:$CZ$1,0))</f>
        <v>#N/A</v>
      </c>
      <c r="F110" s="793">
        <v>0</v>
      </c>
      <c r="G110" s="401"/>
      <c r="H110" s="402"/>
      <c r="I110" s="17"/>
      <c r="J110" s="72"/>
      <c r="K110"/>
      <c r="L110" s="547"/>
    </row>
    <row r="111" spans="1:12" ht="73.8" customHeight="1" x14ac:dyDescent="0.3">
      <c r="A111" s="100">
        <v>382</v>
      </c>
      <c r="B111" s="4" t="s">
        <v>59</v>
      </c>
      <c r="C111" s="4" t="s">
        <v>712</v>
      </c>
      <c r="D111" s="98" t="s">
        <v>122</v>
      </c>
      <c r="E111" s="371" t="e">
        <f>INDEX('PY1 Data(H)'!$A$1:$CZ$265,MATCH('Unit Data from Audit Worksheet'!$A111,'PY1 Data(H)'!$A$1:$A$258,0),MATCH('Unit Data from Audit Worksheet'!$D$2,'PY1 Data(H)'!$A$1:$CZ$1,0))</f>
        <v>#N/A</v>
      </c>
      <c r="F111" s="793">
        <v>0</v>
      </c>
      <c r="G111" s="727">
        <f>IF(F109&gt;F111,"Error: Please review components of current assets above. Account numbers 657&gt;382",)</f>
        <v>0</v>
      </c>
      <c r="H111" s="402"/>
      <c r="I111" s="17"/>
      <c r="J111" s="72"/>
      <c r="K111"/>
      <c r="L111" s="547"/>
    </row>
    <row r="112" spans="1:12" ht="57.75" customHeight="1" x14ac:dyDescent="0.3">
      <c r="A112" s="100">
        <v>360</v>
      </c>
      <c r="B112" s="4" t="s">
        <v>55</v>
      </c>
      <c r="C112" s="4" t="s">
        <v>712</v>
      </c>
      <c r="D112" s="99" t="s">
        <v>149</v>
      </c>
      <c r="E112" s="371" t="e">
        <f>INDEX('PY1 Data(H)'!$A$1:$CZ$265,MATCH('Unit Data from Audit Worksheet'!$A112,'PY1 Data(H)'!$A$1:$A$258,0),MATCH('Unit Data from Audit Worksheet'!$D$2,'PY1 Data(H)'!$A$1:$CZ$1,0))</f>
        <v>#N/A</v>
      </c>
      <c r="F112" s="793">
        <v>0</v>
      </c>
      <c r="G112" s="725"/>
      <c r="H112" s="402"/>
      <c r="I112" s="17"/>
      <c r="J112" s="72"/>
      <c r="K112"/>
      <c r="L112" s="547"/>
    </row>
    <row r="113" spans="1:123" ht="62.25" customHeight="1" x14ac:dyDescent="0.3">
      <c r="A113" s="100">
        <v>580</v>
      </c>
      <c r="B113" s="948" t="s">
        <v>1891</v>
      </c>
      <c r="C113" s="373" t="s">
        <v>712</v>
      </c>
      <c r="D113" s="459" t="s">
        <v>717</v>
      </c>
      <c r="E113" s="371" t="e">
        <f>INDEX('PY1 Data(H)'!$A$1:$CZ$265,MATCH('Unit Data from Audit Worksheet'!$A113,'PY1 Data(H)'!$A$1:$A$258,0),MATCH('Unit Data from Audit Worksheet'!$D$2,'PY1 Data(H)'!$A$1:$CZ$1,0))</f>
        <v>#N/A</v>
      </c>
      <c r="F113" s="793">
        <v>0</v>
      </c>
      <c r="G113" s="725"/>
      <c r="H113" s="402"/>
      <c r="I113" s="17"/>
      <c r="J113" s="72"/>
      <c r="K113"/>
      <c r="L113" s="547"/>
    </row>
    <row r="114" spans="1:123" ht="114" customHeight="1" x14ac:dyDescent="0.3">
      <c r="A114" s="190">
        <v>639</v>
      </c>
      <c r="B114" s="952" t="s">
        <v>1892</v>
      </c>
      <c r="C114" s="460" t="s">
        <v>712</v>
      </c>
      <c r="D114" s="214" t="s">
        <v>783</v>
      </c>
      <c r="E114" s="371" t="e">
        <f>INDEX('PY1 Data(H)'!$A$1:$CZ$265,MATCH('Unit Data from Audit Worksheet'!$A114,'PY1 Data(H)'!$A$1:$A$258,0),MATCH('Unit Data from Audit Worksheet'!$D$2,'PY1 Data(H)'!$A$1:$CZ$1,0))</f>
        <v>#N/A</v>
      </c>
      <c r="F114" s="793">
        <v>0</v>
      </c>
      <c r="G114" s="725" t="str">
        <f>IF(F114&gt;=(F115+F116+F117+F118+F119+F120),"","Account 639 is less than the total sum of accounts 640 through 644 + 384")</f>
        <v/>
      </c>
      <c r="H114" s="412"/>
      <c r="I114" s="406"/>
      <c r="J114" s="761"/>
      <c r="K114"/>
      <c r="L114" s="547"/>
    </row>
    <row r="115" spans="1:123" ht="111.6" customHeight="1" x14ac:dyDescent="0.3">
      <c r="A115" s="189">
        <v>640</v>
      </c>
      <c r="B115" s="950" t="s">
        <v>1893</v>
      </c>
      <c r="C115" s="460" t="s">
        <v>712</v>
      </c>
      <c r="D115" s="214" t="s">
        <v>784</v>
      </c>
      <c r="E115" s="371" t="e">
        <f>INDEX('PY1 Data(H)'!$A$1:$CZ$265,MATCH('Unit Data from Audit Worksheet'!$A115,'PY1 Data(H)'!$A$1:$A$258,0),MATCH('Unit Data from Audit Worksheet'!$D$2,'PY1 Data(H)'!$A$1:$CZ$1,0))</f>
        <v>#N/A</v>
      </c>
      <c r="F115" s="793">
        <v>0</v>
      </c>
      <c r="G115" s="727">
        <f>IF(F115&gt;F114,"Error: Please review components of current liabilities above. Account numbers 640&gt;639",)</f>
        <v>0</v>
      </c>
      <c r="H115" s="406"/>
      <c r="I115" s="412"/>
      <c r="J115" s="762"/>
      <c r="K115"/>
      <c r="L115" s="547"/>
    </row>
    <row r="116" spans="1:123" ht="121.2" customHeight="1" x14ac:dyDescent="0.3">
      <c r="A116" s="189">
        <v>641</v>
      </c>
      <c r="B116" s="950" t="s">
        <v>1893</v>
      </c>
      <c r="C116" s="460" t="s">
        <v>712</v>
      </c>
      <c r="D116" s="214" t="s">
        <v>785</v>
      </c>
      <c r="E116" s="371" t="e">
        <f>INDEX('PY1 Data(H)'!$A$1:$CZ$265,MATCH('Unit Data from Audit Worksheet'!$A116,'PY1 Data(H)'!$A$1:$A$258,0),MATCH('Unit Data from Audit Worksheet'!$D$2,'PY1 Data(H)'!$A$1:$CZ$1,0))</f>
        <v>#N/A</v>
      </c>
      <c r="F116" s="793">
        <v>0</v>
      </c>
      <c r="G116" s="727">
        <f>IF(F116&gt;F114,"Error: Please review components of current liabilities above. Account numbers 641&gt;639",)</f>
        <v>0</v>
      </c>
      <c r="H116" s="406"/>
      <c r="I116" s="406"/>
      <c r="J116" s="761"/>
      <c r="K116"/>
      <c r="L116" s="547"/>
    </row>
    <row r="117" spans="1:123" ht="110.4" customHeight="1" x14ac:dyDescent="0.3">
      <c r="A117" s="189">
        <v>642</v>
      </c>
      <c r="B117" s="950" t="s">
        <v>1893</v>
      </c>
      <c r="C117" s="460" t="s">
        <v>712</v>
      </c>
      <c r="D117" s="214" t="s">
        <v>786</v>
      </c>
      <c r="E117" s="371" t="e">
        <f>INDEX('PY1 Data(H)'!$A$1:$CZ$265,MATCH('Unit Data from Audit Worksheet'!$A117,'PY1 Data(H)'!$A$1:$A$258,0),MATCH('Unit Data from Audit Worksheet'!$D$2,'PY1 Data(H)'!$A$1:$CZ$1,0))</f>
        <v>#N/A</v>
      </c>
      <c r="F117" s="793">
        <v>0</v>
      </c>
      <c r="G117" s="727">
        <f>IF(F117&gt;F114,"Error: Please review components of current liabilities above. Account numbers  642&gt;639",)</f>
        <v>0</v>
      </c>
      <c r="H117" s="406"/>
      <c r="I117" s="406"/>
      <c r="J117" s="761"/>
      <c r="K117"/>
      <c r="L117" s="547"/>
    </row>
    <row r="118" spans="1:123" ht="79.95" customHeight="1" x14ac:dyDescent="0.3">
      <c r="A118" s="189">
        <v>643</v>
      </c>
      <c r="B118" s="950" t="s">
        <v>1893</v>
      </c>
      <c r="C118" s="460" t="s">
        <v>712</v>
      </c>
      <c r="D118" s="214" t="s">
        <v>787</v>
      </c>
      <c r="E118" s="371" t="e">
        <f>INDEX('PY1 Data(H)'!$A$1:$CZ$265,MATCH('Unit Data from Audit Worksheet'!$A118,'PY1 Data(H)'!$A$1:$A$258,0),MATCH('Unit Data from Audit Worksheet'!$D$2,'PY1 Data(H)'!$A$1:$CZ$1,0))</f>
        <v>#N/A</v>
      </c>
      <c r="F118" s="793">
        <v>0</v>
      </c>
      <c r="G118" s="727">
        <f>IF(F118&gt;F114,"Error: Please review components of current liabilities above. Account numbers 643&gt;639",)</f>
        <v>0</v>
      </c>
      <c r="H118" s="406"/>
      <c r="I118" s="406"/>
      <c r="J118" s="761"/>
      <c r="K118"/>
      <c r="L118" s="547"/>
    </row>
    <row r="119" spans="1:123" ht="105" customHeight="1" x14ac:dyDescent="0.3">
      <c r="A119" s="189">
        <v>644</v>
      </c>
      <c r="B119" s="950" t="s">
        <v>1893</v>
      </c>
      <c r="C119" s="460" t="s">
        <v>712</v>
      </c>
      <c r="D119" s="214" t="s">
        <v>788</v>
      </c>
      <c r="E119" s="371" t="e">
        <f>INDEX('PY1 Data(H)'!$A$1:$CZ$265,MATCH('Unit Data from Audit Worksheet'!$A119,'PY1 Data(H)'!$A$1:$A$258,0),MATCH('Unit Data from Audit Worksheet'!$D$2,'PY1 Data(H)'!$A$1:$CZ$1,0))</f>
        <v>#N/A</v>
      </c>
      <c r="F119" s="793">
        <v>0</v>
      </c>
      <c r="G119" s="727">
        <f>IF(F119&gt;F114,"Error: Please review components of current liabilities above. Account number 644&gt;639",)</f>
        <v>0</v>
      </c>
      <c r="H119" s="406"/>
      <c r="I119" s="406"/>
      <c r="J119" s="761"/>
      <c r="K119"/>
      <c r="L119" s="547"/>
    </row>
    <row r="120" spans="1:123" ht="88.95" customHeight="1" x14ac:dyDescent="0.3">
      <c r="A120" s="100">
        <v>384</v>
      </c>
      <c r="B120" s="4" t="s">
        <v>62</v>
      </c>
      <c r="C120" s="4" t="s">
        <v>712</v>
      </c>
      <c r="D120" s="26" t="s">
        <v>789</v>
      </c>
      <c r="E120" s="371" t="e">
        <f>INDEX('PY1 Data(H)'!$A$1:$CZ$265,MATCH('Unit Data from Audit Worksheet'!$A120,'PY1 Data(H)'!$A$1:$A$258,0),MATCH('Unit Data from Audit Worksheet'!$D$2,'PY1 Data(H)'!$A$1:$CZ$1,0))</f>
        <v>#N/A</v>
      </c>
      <c r="F120" s="793">
        <v>0</v>
      </c>
      <c r="G120" s="727">
        <f>IF(F120&gt;F114,"Error: Please review components of current liabilities above. Account number 384&gt;639",)</f>
        <v>0</v>
      </c>
      <c r="H120" s="342"/>
      <c r="I120" s="17"/>
      <c r="J120" s="72"/>
      <c r="K120"/>
      <c r="L120" s="547"/>
    </row>
    <row r="121" spans="1:123" ht="92.4" customHeight="1" x14ac:dyDescent="0.3">
      <c r="A121" s="100">
        <v>361</v>
      </c>
      <c r="B121" s="4" t="s">
        <v>55</v>
      </c>
      <c r="C121" s="4" t="s">
        <v>712</v>
      </c>
      <c r="D121" s="383" t="s">
        <v>718</v>
      </c>
      <c r="E121" s="371" t="e">
        <f>INDEX('PY1 Data(H)'!$A$1:$CZ$265,MATCH('Unit Data from Audit Worksheet'!$A121,'PY1 Data(H)'!$A$1:$A$258,0),MATCH('Unit Data from Audit Worksheet'!$D$2,'PY1 Data(H)'!$A$1:$CZ$1,0))</f>
        <v>#N/A</v>
      </c>
      <c r="F121" s="793">
        <v>0</v>
      </c>
      <c r="G121" s="407"/>
      <c r="H121" s="402"/>
      <c r="I121" s="17"/>
      <c r="J121" s="72"/>
      <c r="K121"/>
      <c r="L121" s="547"/>
    </row>
    <row r="122" spans="1:123" ht="54" customHeight="1" x14ac:dyDescent="0.3">
      <c r="A122" s="100">
        <v>362</v>
      </c>
      <c r="B122" s="4" t="s">
        <v>55</v>
      </c>
      <c r="C122" s="4" t="s">
        <v>712</v>
      </c>
      <c r="D122" s="99" t="s">
        <v>150</v>
      </c>
      <c r="E122" s="371" t="e">
        <f>INDEX('PY1 Data(H)'!$A$1:$CZ$265,MATCH('Unit Data from Audit Worksheet'!$A122,'PY1 Data(H)'!$A$1:$A$258,0),MATCH('Unit Data from Audit Worksheet'!$D$2,'PY1 Data(H)'!$A$1:$CZ$1,0))</f>
        <v>#N/A</v>
      </c>
      <c r="F122" s="793">
        <v>0</v>
      </c>
      <c r="G122" s="401">
        <f>IF(H122=0,,"Error: Total assets less total liabilities do not equal total net position. Account numbers 382-360-362=0  The amount of the formula is in the cell to the right")</f>
        <v>0</v>
      </c>
      <c r="H122" s="404">
        <f>F111-F112-F122</f>
        <v>0</v>
      </c>
      <c r="I122" s="17"/>
      <c r="J122" s="72"/>
      <c r="K122"/>
      <c r="L122" s="547"/>
    </row>
    <row r="123" spans="1:123" ht="26.25" customHeight="1" x14ac:dyDescent="0.3">
      <c r="A123" s="100"/>
      <c r="B123" s="478" t="s">
        <v>174</v>
      </c>
      <c r="C123" s="479"/>
      <c r="D123" s="491"/>
      <c r="E123" s="477"/>
      <c r="F123" s="477"/>
      <c r="G123" s="477"/>
      <c r="H123" s="17"/>
      <c r="I123" s="17"/>
      <c r="J123" s="72"/>
      <c r="K123"/>
      <c r="L123" s="547"/>
    </row>
    <row r="124" spans="1:123" s="18" customFormat="1" ht="84.6" customHeight="1" x14ac:dyDescent="0.3">
      <c r="A124" s="100"/>
      <c r="B124" s="1065" t="s">
        <v>797</v>
      </c>
      <c r="C124" s="1065"/>
      <c r="D124" s="1065"/>
      <c r="E124" s="486"/>
      <c r="F124" s="486"/>
      <c r="G124" s="486"/>
      <c r="H124" s="17"/>
      <c r="I124" s="17"/>
      <c r="J124" s="72"/>
      <c r="K124"/>
      <c r="L124" s="547"/>
      <c r="M124"/>
      <c r="O124" s="186"/>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719</v>
      </c>
      <c r="D125" s="21" t="s">
        <v>720</v>
      </c>
      <c r="E125" s="371" t="e">
        <f>INDEX('PY1 Data(H)'!$A$1:$CZ$265,MATCH('Unit Data from Audit Worksheet'!$A125,'PY1 Data(H)'!$A$1:$A$258,0),MATCH('Unit Data from Audit Worksheet'!$D$2,'PY1 Data(H)'!$A$1:$CZ$1,0))</f>
        <v>#N/A</v>
      </c>
      <c r="F125" s="793">
        <v>0</v>
      </c>
      <c r="G125" s="407"/>
      <c r="H125" s="17"/>
      <c r="I125" s="17"/>
      <c r="J125" s="72"/>
      <c r="K125"/>
      <c r="L125" s="547"/>
    </row>
    <row r="126" spans="1:123" ht="81" customHeight="1" x14ac:dyDescent="0.3">
      <c r="A126" s="100">
        <v>84</v>
      </c>
      <c r="B126" s="948" t="s">
        <v>1889</v>
      </c>
      <c r="C126" s="4" t="s">
        <v>719</v>
      </c>
      <c r="D126" s="26" t="s">
        <v>151</v>
      </c>
      <c r="E126" s="371" t="e">
        <f>INDEX('PY1 Data(H)'!$A$1:$CZ$265,MATCH('Unit Data from Audit Worksheet'!$A126,'PY1 Data(H)'!$A$1:$A$258,0),MATCH('Unit Data from Audit Worksheet'!$D$2,'PY1 Data(H)'!$A$1:$CZ$1,0))</f>
        <v>#N/A</v>
      </c>
      <c r="F126" s="793">
        <v>0</v>
      </c>
      <c r="G126" s="401">
        <f>IF(F126&gt;=F125,,"Error: Charges for services exceed total operating revenues. Account numbers 88&gt;84")</f>
        <v>0</v>
      </c>
      <c r="H126" s="17"/>
      <c r="I126" s="17"/>
      <c r="J126" s="72"/>
      <c r="K126"/>
      <c r="L126" s="547"/>
    </row>
    <row r="127" spans="1:123" ht="78" customHeight="1" x14ac:dyDescent="0.3">
      <c r="A127" s="100">
        <v>49</v>
      </c>
      <c r="B127" s="948" t="s">
        <v>1889</v>
      </c>
      <c r="C127" s="4" t="s">
        <v>719</v>
      </c>
      <c r="D127" s="26" t="s">
        <v>152</v>
      </c>
      <c r="E127" s="371" t="e">
        <f>INDEX('PY1 Data(H)'!$A$1:$CZ$265,MATCH('Unit Data from Audit Worksheet'!$A127,'PY1 Data(H)'!$A$1:$A$258,0),MATCH('Unit Data from Audit Worksheet'!$D$2,'PY1 Data(H)'!$A$1:$CZ$1,0))</f>
        <v>#N/A</v>
      </c>
      <c r="F127" s="793">
        <v>0</v>
      </c>
      <c r="G127" s="401">
        <f>IF(F127&lt;0,"Error: Enter as positive.",)</f>
        <v>0</v>
      </c>
      <c r="H127" s="17"/>
      <c r="I127" s="17"/>
      <c r="J127" s="72"/>
      <c r="K127"/>
      <c r="L127" s="547"/>
    </row>
    <row r="128" spans="1:123" ht="87.6" customHeight="1" x14ac:dyDescent="0.3">
      <c r="A128" s="100">
        <v>85</v>
      </c>
      <c r="B128" s="948" t="s">
        <v>1889</v>
      </c>
      <c r="C128" s="4" t="s">
        <v>719</v>
      </c>
      <c r="D128" s="26" t="s">
        <v>153</v>
      </c>
      <c r="E128" s="371" t="e">
        <f>INDEX('PY1 Data(H)'!$A$1:$CZ$265,MATCH('Unit Data from Audit Worksheet'!$A128,'PY1 Data(H)'!$A$1:$A$258,0),MATCH('Unit Data from Audit Worksheet'!$D$2,'PY1 Data(H)'!$A$1:$CZ$1,0))</f>
        <v>#N/A</v>
      </c>
      <c r="F128" s="793">
        <v>0</v>
      </c>
      <c r="G128" s="401">
        <f>IF(F128&lt;0,"Error: Enter as positive.",)</f>
        <v>0</v>
      </c>
      <c r="H128" s="17"/>
      <c r="I128" s="17"/>
      <c r="J128" s="72"/>
      <c r="K128"/>
      <c r="L128" s="547"/>
    </row>
    <row r="129" spans="1:123" ht="75.599999999999994" customHeight="1" x14ac:dyDescent="0.3">
      <c r="A129" s="100">
        <v>89</v>
      </c>
      <c r="B129" s="948" t="s">
        <v>1889</v>
      </c>
      <c r="C129" s="4" t="s">
        <v>719</v>
      </c>
      <c r="D129" s="26" t="s">
        <v>154</v>
      </c>
      <c r="E129" s="371" t="e">
        <f>INDEX('PY1 Data(H)'!$A$1:$CZ$265,MATCH('Unit Data from Audit Worksheet'!$A129,'PY1 Data(H)'!$A$1:$A$258,0),MATCH('Unit Data from Audit Worksheet'!$D$2,'PY1 Data(H)'!$A$1:$CZ$1,0))</f>
        <v>#N/A</v>
      </c>
      <c r="F129" s="793">
        <v>0</v>
      </c>
      <c r="G129" s="401">
        <f>IF(F129&lt;0,"Error: Enter as positive.",)</f>
        <v>0</v>
      </c>
      <c r="H129" s="402"/>
      <c r="I129" s="17"/>
      <c r="J129" s="72"/>
      <c r="K129"/>
      <c r="L129" s="547"/>
    </row>
    <row r="130" spans="1:123" ht="79.2" customHeight="1" x14ac:dyDescent="0.3">
      <c r="A130" s="100">
        <v>350</v>
      </c>
      <c r="B130" s="4" t="s">
        <v>55</v>
      </c>
      <c r="C130" s="4" t="s">
        <v>719</v>
      </c>
      <c r="D130" s="21" t="s">
        <v>721</v>
      </c>
      <c r="E130" s="371" t="e">
        <f>INDEX('PY1 Data(H)'!$A$1:$CZ$265,MATCH('Unit Data from Audit Worksheet'!$A130,'PY1 Data(H)'!$A$1:$A$258,0),MATCH('Unit Data from Audit Worksheet'!$D$2,'PY1 Data(H)'!$A$1:$CZ$1,0))</f>
        <v>#N/A</v>
      </c>
      <c r="F130" s="793">
        <v>0</v>
      </c>
      <c r="G130" s="407"/>
      <c r="H130" s="402"/>
      <c r="I130" s="17"/>
      <c r="J130" s="72"/>
      <c r="K130"/>
      <c r="L130" s="547"/>
    </row>
    <row r="131" spans="1:123" ht="66" customHeight="1" x14ac:dyDescent="0.3">
      <c r="A131" s="100">
        <v>351</v>
      </c>
      <c r="B131" s="948" t="s">
        <v>1889</v>
      </c>
      <c r="C131" s="4" t="s">
        <v>719</v>
      </c>
      <c r="D131" s="21" t="s">
        <v>722</v>
      </c>
      <c r="E131" s="371" t="e">
        <f>INDEX('PY1 Data(H)'!$A$1:$CZ$265,MATCH('Unit Data from Audit Worksheet'!$A131,'PY1 Data(H)'!$A$1:$A$258,0),MATCH('Unit Data from Audit Worksheet'!$D$2,'PY1 Data(H)'!$A$1:$CZ$1,0))</f>
        <v>#N/A</v>
      </c>
      <c r="F131" s="793">
        <v>0</v>
      </c>
      <c r="G131" s="401">
        <f t="shared" ref="G131:G136" si="2">IF(F131&lt;0,"Error: Enter as positive.",)</f>
        <v>0</v>
      </c>
      <c r="H131" s="402"/>
      <c r="I131" s="17"/>
      <c r="J131" s="72"/>
      <c r="K131"/>
      <c r="L131" s="547"/>
    </row>
    <row r="132" spans="1:123" ht="93.75" customHeight="1" x14ac:dyDescent="0.3">
      <c r="A132" s="100">
        <v>191</v>
      </c>
      <c r="B132" s="4" t="s">
        <v>56</v>
      </c>
      <c r="C132" s="4" t="s">
        <v>719</v>
      </c>
      <c r="D132" s="21" t="s">
        <v>723</v>
      </c>
      <c r="E132" s="371" t="e">
        <f>INDEX('PY1 Data(H)'!$A$1:$CZ$265,MATCH('Unit Data from Audit Worksheet'!$A132,'PY1 Data(H)'!$A$1:$A$258,0),MATCH('Unit Data from Audit Worksheet'!$D$2,'PY1 Data(H)'!$A$1:$CZ$1,0))</f>
        <v>#N/A</v>
      </c>
      <c r="F132" s="793">
        <v>0</v>
      </c>
      <c r="G132" s="401">
        <f t="shared" si="2"/>
        <v>0</v>
      </c>
      <c r="H132" s="402"/>
      <c r="I132" s="17"/>
      <c r="J132" s="72"/>
      <c r="K132"/>
      <c r="L132" s="547"/>
    </row>
    <row r="133" spans="1:123" ht="81.599999999999994" customHeight="1" x14ac:dyDescent="0.3">
      <c r="A133" s="100">
        <v>1053</v>
      </c>
      <c r="B133" s="778" t="s">
        <v>578</v>
      </c>
      <c r="C133" s="778" t="s">
        <v>1434</v>
      </c>
      <c r="D133" s="779" t="s">
        <v>1472</v>
      </c>
      <c r="E133" s="371" t="e">
        <f>INDEX('PY1 Data(H)'!$A$1:$CZ$265,MATCH('Unit Data from Audit Worksheet'!$A133,'PY1 Data(H)'!$A$1:$A$258,0),MATCH('Unit Data from Audit Worksheet'!$D$2,'PY1 Data(H)'!$A$1:$CZ$1,0))</f>
        <v>#N/A</v>
      </c>
      <c r="F133" s="793">
        <v>0</v>
      </c>
      <c r="G133" s="401"/>
      <c r="H133" s="402"/>
      <c r="I133" s="17"/>
      <c r="J133" s="72"/>
      <c r="K133" s="180"/>
      <c r="L133" s="547"/>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719</v>
      </c>
      <c r="D134" s="26" t="s">
        <v>647</v>
      </c>
      <c r="E134" s="371" t="e">
        <f>INDEX('PY1 Data(H)'!$A$1:$CZ$265,MATCH('Unit Data from Audit Worksheet'!$A134,'PY1 Data(H)'!$A$1:$A$258,0),MATCH('Unit Data from Audit Worksheet'!$D$2,'PY1 Data(H)'!$A$1:$CZ$1,0))</f>
        <v>#N/A</v>
      </c>
      <c r="F134" s="793">
        <v>0</v>
      </c>
      <c r="G134" s="401">
        <f t="shared" si="2"/>
        <v>0</v>
      </c>
      <c r="H134" s="18"/>
      <c r="I134" s="17"/>
      <c r="J134" s="17"/>
      <c r="K134"/>
      <c r="L134" s="547"/>
    </row>
    <row r="135" spans="1:123" ht="79.95" customHeight="1" x14ac:dyDescent="0.3">
      <c r="A135" s="100">
        <v>986</v>
      </c>
      <c r="B135" s="948" t="s">
        <v>1890</v>
      </c>
      <c r="C135" s="373" t="s">
        <v>719</v>
      </c>
      <c r="D135" s="26" t="s">
        <v>584</v>
      </c>
      <c r="E135" s="371" t="e">
        <f>INDEX('PY1 Data(H)'!$A$1:$CZ$265,MATCH('Unit Data from Audit Worksheet'!$A135,'PY1 Data(H)'!$A$1:$A$258,0),MATCH('Unit Data from Audit Worksheet'!$D$2,'PY1 Data(H)'!$A$1:$CZ$1,0))</f>
        <v>#N/A</v>
      </c>
      <c r="F135" s="793">
        <v>0</v>
      </c>
      <c r="G135" s="401">
        <f t="shared" si="2"/>
        <v>0</v>
      </c>
      <c r="H135" s="402"/>
      <c r="I135" s="17"/>
      <c r="J135" s="72"/>
      <c r="K135"/>
      <c r="L135" s="547"/>
    </row>
    <row r="136" spans="1:123" ht="79.2" customHeight="1" x14ac:dyDescent="0.3">
      <c r="A136" s="100">
        <v>353</v>
      </c>
      <c r="B136" s="4" t="s">
        <v>67</v>
      </c>
      <c r="C136" s="4" t="s">
        <v>719</v>
      </c>
      <c r="D136" s="26" t="s">
        <v>135</v>
      </c>
      <c r="E136" s="371" t="e">
        <f>INDEX('PY1 Data(H)'!$A$1:$CZ$265,MATCH('Unit Data from Audit Worksheet'!$A136,'PY1 Data(H)'!$A$1:$A$258,0),MATCH('Unit Data from Audit Worksheet'!$D$2,'PY1 Data(H)'!$A$1:$CZ$1,0))</f>
        <v>#N/A</v>
      </c>
      <c r="F136" s="793">
        <v>0</v>
      </c>
      <c r="G136" s="401">
        <f t="shared" si="2"/>
        <v>0</v>
      </c>
      <c r="H136" s="402"/>
      <c r="I136" s="17"/>
      <c r="J136" s="72"/>
      <c r="K136"/>
      <c r="L136" s="547"/>
    </row>
    <row r="137" spans="1:123" ht="138" customHeight="1" x14ac:dyDescent="0.3">
      <c r="A137" s="100">
        <v>50</v>
      </c>
      <c r="B137" s="4" t="s">
        <v>63</v>
      </c>
      <c r="C137" s="4" t="s">
        <v>719</v>
      </c>
      <c r="D137" s="383" t="s">
        <v>724</v>
      </c>
      <c r="E137" s="371" t="e">
        <f>INDEX('PY1 Data(H)'!$A$1:$CZ$265,MATCH('Unit Data from Audit Worksheet'!$A137,'PY1 Data(H)'!$A$1:$A$258,0),MATCH('Unit Data from Audit Worksheet'!$D$2,'PY1 Data(H)'!$A$1:$CZ$1,0))</f>
        <v>#N/A</v>
      </c>
      <c r="F137" s="793">
        <v>0</v>
      </c>
      <c r="G137" s="401">
        <f>IF(H137=0,,"Error: Total revenues less total expenses do not equal total change in net position. Account number 84-85+350-351+191+352-353-50=0  The amount of the formula is in the cell to the right")</f>
        <v>0</v>
      </c>
      <c r="H137" s="404">
        <f>F126-F128+F130-F131+F132+F134-F136-F137</f>
        <v>0</v>
      </c>
      <c r="I137" s="17"/>
      <c r="J137" s="72"/>
      <c r="K137"/>
      <c r="L137" s="547"/>
    </row>
    <row r="138" spans="1:123" ht="138" customHeight="1" x14ac:dyDescent="0.3">
      <c r="A138" s="100">
        <v>377</v>
      </c>
      <c r="B138" s="4" t="s">
        <v>67</v>
      </c>
      <c r="C138" s="4" t="s">
        <v>719</v>
      </c>
      <c r="D138" s="383" t="s">
        <v>725</v>
      </c>
      <c r="E138" s="371" t="e">
        <f>INDEX('PY1 Data(H)'!$A$1:$CZ$265,MATCH('Unit Data from Audit Worksheet'!$A138,'PY1 Data(H)'!$A$1:$A$258,0),MATCH('Unit Data from Audit Worksheet'!$D$2,'PY1 Data(H)'!$A$1:$CZ$1,0))</f>
        <v>#N/A</v>
      </c>
      <c r="F138" s="793">
        <v>0</v>
      </c>
      <c r="G138" s="754" t="e">
        <f>IF(F103-F137-F138=E103,,"Error: Beginning Balance does not agree with our records.  Acct #s (83-50-377)=prior year 83 The amount of the formula is in the cell to the right")</f>
        <v>#N/A</v>
      </c>
      <c r="H138" s="755" t="e">
        <f>+F103-F137-F138-E103</f>
        <v>#N/A</v>
      </c>
      <c r="I138" s="1010" t="e">
        <f>IF(H138=0," ","If the out of balance is because prior years data is not populated in cell E103, disregard the error message. Do not include prior year's ending balance in cell F138.")</f>
        <v>#N/A</v>
      </c>
      <c r="J138" s="763"/>
      <c r="K138"/>
      <c r="L138" s="547"/>
    </row>
    <row r="139" spans="1:123" ht="78.599999999999994" customHeight="1" x14ac:dyDescent="0.3">
      <c r="A139" s="100">
        <v>537</v>
      </c>
      <c r="B139" s="373" t="s">
        <v>58</v>
      </c>
      <c r="C139" s="373" t="s">
        <v>719</v>
      </c>
      <c r="D139" s="370" t="s">
        <v>1452</v>
      </c>
      <c r="E139" s="792" t="e">
        <f>INDEX('PY1 Data(H)'!$A$1:$CZ$265,MATCH('Unit Data from Audit Worksheet'!$A139,'PY1 Data(H)'!$A$1:$A$258,0),MATCH('Unit Data from Audit Worksheet'!$D$2,'PY1 Data(H)'!$A$1:$CZ$1,0))</f>
        <v>#N/A</v>
      </c>
      <c r="F139" s="184"/>
      <c r="G139" s="401"/>
      <c r="H139" s="402"/>
      <c r="I139" s="402"/>
      <c r="J139" s="403"/>
      <c r="K139"/>
      <c r="L139" s="547"/>
    </row>
    <row r="140" spans="1:123" ht="96.75" customHeight="1" x14ac:dyDescent="0.3">
      <c r="A140" s="100">
        <v>538</v>
      </c>
      <c r="B140" s="373" t="s">
        <v>58</v>
      </c>
      <c r="C140" s="373" t="s">
        <v>719</v>
      </c>
      <c r="D140" s="370" t="s">
        <v>1453</v>
      </c>
      <c r="E140" s="792" t="e">
        <f>INDEX('PY1 Data(H)'!$A$1:$CZ$265,MATCH('Unit Data from Audit Worksheet'!$A140,'PY1 Data(H)'!$A$1:$A$258,0),MATCH('Unit Data from Audit Worksheet'!$D$2,'PY1 Data(H)'!$A$1:$CZ$1,0))</f>
        <v>#N/A</v>
      </c>
      <c r="F140" s="184"/>
      <c r="G140" s="401"/>
      <c r="H140" s="402"/>
      <c r="I140" s="402"/>
      <c r="J140" s="403"/>
      <c r="K140"/>
      <c r="L140" s="547"/>
    </row>
    <row r="141" spans="1:123" ht="26.25" customHeight="1" x14ac:dyDescent="0.3">
      <c r="A141" s="100"/>
      <c r="B141" s="704" t="s">
        <v>6</v>
      </c>
      <c r="C141" s="499"/>
      <c r="D141" s="467"/>
      <c r="E141" s="485"/>
      <c r="F141" s="485"/>
      <c r="G141" s="486"/>
      <c r="H141" s="17"/>
      <c r="I141" s="17"/>
      <c r="J141" s="72"/>
      <c r="K141"/>
      <c r="L141" s="547"/>
    </row>
    <row r="142" spans="1:123" ht="91.95" customHeight="1" x14ac:dyDescent="0.3">
      <c r="A142" s="100">
        <v>97</v>
      </c>
      <c r="B142" s="4" t="s">
        <v>67</v>
      </c>
      <c r="C142" s="4" t="s">
        <v>726</v>
      </c>
      <c r="D142" s="26" t="s">
        <v>155</v>
      </c>
      <c r="E142" s="371" t="e">
        <f>INDEX('PY1 Data(H)'!$A$1:$CZ$265,MATCH('Unit Data from Audit Worksheet'!$A142,'PY1 Data(H)'!$A$1:$A$258,0),MATCH('Unit Data from Audit Worksheet'!$D$2,'PY1 Data(H)'!$A$1:$CZ$1,0))</f>
        <v>#N/A</v>
      </c>
      <c r="F142" s="793">
        <v>0</v>
      </c>
      <c r="G142" s="407"/>
      <c r="H142" s="17"/>
      <c r="I142" s="17"/>
      <c r="J142" s="72"/>
      <c r="K142"/>
      <c r="L142" s="547"/>
    </row>
    <row r="143" spans="1:123" ht="72.599999999999994" customHeight="1" x14ac:dyDescent="0.3">
      <c r="A143" s="100">
        <v>93</v>
      </c>
      <c r="B143" s="948" t="s">
        <v>1894</v>
      </c>
      <c r="C143" s="4" t="s">
        <v>726</v>
      </c>
      <c r="D143" s="26" t="s">
        <v>151</v>
      </c>
      <c r="E143" s="371" t="e">
        <f>INDEX('PY1 Data(H)'!$A$1:$CZ$265,MATCH('Unit Data from Audit Worksheet'!$A143,'PY1 Data(H)'!$A$1:$A$258,0),MATCH('Unit Data from Audit Worksheet'!$D$2,'PY1 Data(H)'!$A$1:$CZ$1,0))</f>
        <v>#N/A</v>
      </c>
      <c r="F143" s="793">
        <v>0</v>
      </c>
      <c r="G143" s="401">
        <f>IF(F142&gt;F143,"Error: Charges for services exceed total operating revenues. Account number 97&gt;93",)</f>
        <v>0</v>
      </c>
      <c r="H143" s="402"/>
      <c r="I143" s="17"/>
      <c r="J143" s="72"/>
      <c r="K143"/>
      <c r="L143" s="547"/>
    </row>
    <row r="144" spans="1:123" ht="76.2" customHeight="1" x14ac:dyDescent="0.3">
      <c r="A144" s="100">
        <v>99</v>
      </c>
      <c r="B144" s="4" t="s">
        <v>57</v>
      </c>
      <c r="C144" s="4" t="s">
        <v>726</v>
      </c>
      <c r="D144" s="26" t="s">
        <v>156</v>
      </c>
      <c r="E144" s="371" t="e">
        <f>INDEX('PY1 Data(H)'!$A$1:$CZ$265,MATCH('Unit Data from Audit Worksheet'!$A144,'PY1 Data(H)'!$A$1:$A$258,0),MATCH('Unit Data from Audit Worksheet'!$D$2,'PY1 Data(H)'!$A$1:$CZ$1,0))</f>
        <v>#N/A</v>
      </c>
      <c r="F144" s="793">
        <v>0</v>
      </c>
      <c r="G144" s="401">
        <f t="shared" ref="G144:G153" si="3">IF(F144&lt;0,"Error: Enter as positive.",)</f>
        <v>0</v>
      </c>
      <c r="H144" s="402"/>
      <c r="I144" s="17"/>
      <c r="J144" s="72"/>
      <c r="K144"/>
      <c r="L144" s="547"/>
    </row>
    <row r="145" spans="1:123" ht="73.2" customHeight="1" x14ac:dyDescent="0.3">
      <c r="A145" s="100">
        <v>52</v>
      </c>
      <c r="B145" s="948" t="s">
        <v>1895</v>
      </c>
      <c r="C145" s="4" t="s">
        <v>726</v>
      </c>
      <c r="D145" s="26" t="s">
        <v>152</v>
      </c>
      <c r="E145" s="371" t="e">
        <f>INDEX('PY1 Data(H)'!$A$1:$CZ$265,MATCH('Unit Data from Audit Worksheet'!$A145,'PY1 Data(H)'!$A$1:$A$258,0),MATCH('Unit Data from Audit Worksheet'!$D$2,'PY1 Data(H)'!$A$1:$CZ$1,0))</f>
        <v>#N/A</v>
      </c>
      <c r="F145" s="793">
        <v>0</v>
      </c>
      <c r="G145" s="401">
        <f t="shared" si="3"/>
        <v>0</v>
      </c>
      <c r="H145" s="402"/>
      <c r="I145" s="17"/>
      <c r="J145" s="72"/>
      <c r="K145"/>
      <c r="L145" s="547"/>
    </row>
    <row r="146" spans="1:123" ht="81" customHeight="1" x14ac:dyDescent="0.3">
      <c r="A146" s="100">
        <v>94</v>
      </c>
      <c r="B146" s="948" t="s">
        <v>1894</v>
      </c>
      <c r="C146" s="4" t="s">
        <v>726</v>
      </c>
      <c r="D146" s="26" t="s">
        <v>153</v>
      </c>
      <c r="E146" s="371" t="e">
        <f>INDEX('PY1 Data(H)'!$A$1:$CZ$265,MATCH('Unit Data from Audit Worksheet'!$A146,'PY1 Data(H)'!$A$1:$A$258,0),MATCH('Unit Data from Audit Worksheet'!$D$2,'PY1 Data(H)'!$A$1:$CZ$1,0))</f>
        <v>#N/A</v>
      </c>
      <c r="F146" s="793">
        <v>0</v>
      </c>
      <c r="G146" s="401">
        <f t="shared" si="3"/>
        <v>0</v>
      </c>
      <c r="H146" s="402"/>
      <c r="I146" s="17"/>
      <c r="J146" s="72"/>
      <c r="K146"/>
      <c r="L146" s="547"/>
    </row>
    <row r="147" spans="1:123" ht="85.95" customHeight="1" x14ac:dyDescent="0.3">
      <c r="A147" s="100">
        <v>98</v>
      </c>
      <c r="B147" s="948" t="s">
        <v>1894</v>
      </c>
      <c r="C147" s="4" t="s">
        <v>726</v>
      </c>
      <c r="D147" s="26" t="s">
        <v>154</v>
      </c>
      <c r="E147" s="371" t="e">
        <f>INDEX('PY1 Data(H)'!$A$1:$CZ$265,MATCH('Unit Data from Audit Worksheet'!$A147,'PY1 Data(H)'!$A$1:$A$258,0),MATCH('Unit Data from Audit Worksheet'!$D$2,'PY1 Data(H)'!$A$1:$CZ$1,0))</f>
        <v>#N/A</v>
      </c>
      <c r="F147" s="793">
        <v>0</v>
      </c>
      <c r="G147" s="401">
        <f t="shared" si="3"/>
        <v>0</v>
      </c>
      <c r="H147" s="402"/>
      <c r="I147" s="17"/>
      <c r="J147" s="72"/>
      <c r="K147"/>
      <c r="L147" s="547"/>
    </row>
    <row r="148" spans="1:123" ht="84" customHeight="1" x14ac:dyDescent="0.3">
      <c r="A148" s="100">
        <v>363</v>
      </c>
      <c r="B148" s="4" t="s">
        <v>55</v>
      </c>
      <c r="C148" s="4" t="s">
        <v>726</v>
      </c>
      <c r="D148" s="21" t="s">
        <v>727</v>
      </c>
      <c r="E148" s="371" t="e">
        <f>INDEX('PY1 Data(H)'!$A$1:$CZ$265,MATCH('Unit Data from Audit Worksheet'!$A148,'PY1 Data(H)'!$A$1:$A$258,0),MATCH('Unit Data from Audit Worksheet'!$D$2,'PY1 Data(H)'!$A$1:$CZ$1,0))</f>
        <v>#N/A</v>
      </c>
      <c r="F148" s="793">
        <v>0</v>
      </c>
      <c r="G148" s="401">
        <f t="shared" si="3"/>
        <v>0</v>
      </c>
      <c r="H148" s="402"/>
      <c r="I148" s="17"/>
      <c r="J148" s="72"/>
      <c r="K148"/>
      <c r="L148" s="547"/>
    </row>
    <row r="149" spans="1:123" ht="76.95" customHeight="1" x14ac:dyDescent="0.3">
      <c r="A149" s="100">
        <v>364</v>
      </c>
      <c r="B149" s="948" t="s">
        <v>1897</v>
      </c>
      <c r="C149" s="4" t="s">
        <v>726</v>
      </c>
      <c r="D149" s="21" t="s">
        <v>728</v>
      </c>
      <c r="E149" s="371" t="e">
        <f>INDEX('PY1 Data(H)'!$A$1:$CZ$265,MATCH('Unit Data from Audit Worksheet'!$A149,'PY1 Data(H)'!$A$1:$A$258,0),MATCH('Unit Data from Audit Worksheet'!$D$2,'PY1 Data(H)'!$A$1:$CZ$1,0))</f>
        <v>#N/A</v>
      </c>
      <c r="F149" s="793">
        <v>0</v>
      </c>
      <c r="G149" s="401">
        <f t="shared" si="3"/>
        <v>0</v>
      </c>
      <c r="H149" s="402"/>
      <c r="I149" s="17"/>
      <c r="J149" s="72"/>
      <c r="K149"/>
      <c r="L149" s="547"/>
    </row>
    <row r="150" spans="1:123" ht="86.4" customHeight="1" x14ac:dyDescent="0.3">
      <c r="A150" s="100">
        <v>192</v>
      </c>
      <c r="B150" s="4" t="s">
        <v>57</v>
      </c>
      <c r="C150" s="4" t="s">
        <v>726</v>
      </c>
      <c r="D150" s="21" t="s">
        <v>729</v>
      </c>
      <c r="E150" s="371" t="e">
        <f>INDEX('PY1 Data(H)'!$A$1:$CZ$265,MATCH('Unit Data from Audit Worksheet'!$A150,'PY1 Data(H)'!$A$1:$A$258,0),MATCH('Unit Data from Audit Worksheet'!$D$2,'PY1 Data(H)'!$A$1:$CZ$1,0))</f>
        <v>#N/A</v>
      </c>
      <c r="F150" s="793">
        <v>0</v>
      </c>
      <c r="G150" s="401">
        <f t="shared" si="3"/>
        <v>0</v>
      </c>
      <c r="H150" s="402"/>
      <c r="I150" s="17"/>
      <c r="J150" s="72"/>
      <c r="K150"/>
      <c r="L150" s="547"/>
    </row>
    <row r="151" spans="1:123" ht="80.400000000000006" customHeight="1" x14ac:dyDescent="0.3">
      <c r="A151" s="100">
        <v>1054</v>
      </c>
      <c r="B151" s="373" t="s">
        <v>578</v>
      </c>
      <c r="C151" s="373" t="s">
        <v>1432</v>
      </c>
      <c r="D151" s="779" t="s">
        <v>1473</v>
      </c>
      <c r="E151" s="371" t="e">
        <f>INDEX('PY1 Data(H)'!$A$1:$CZ$265,MATCH('Unit Data from Audit Worksheet'!$A151,'PY1 Data(H)'!$A$1:$A$258,0),MATCH('Unit Data from Audit Worksheet'!$D$2,'PY1 Data(H)'!$A$1:$CZ$1,0))</f>
        <v>#N/A</v>
      </c>
      <c r="F151" s="793">
        <v>0</v>
      </c>
      <c r="G151" s="401"/>
      <c r="H151" s="402"/>
      <c r="I151" s="17"/>
      <c r="J151" s="72"/>
      <c r="K151" s="180"/>
      <c r="L151" s="547"/>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726</v>
      </c>
      <c r="D152" s="21" t="s">
        <v>730</v>
      </c>
      <c r="E152" s="371" t="e">
        <f>INDEX('PY1 Data(H)'!$A$1:$CZ$265,MATCH('Unit Data from Audit Worksheet'!$A152,'PY1 Data(H)'!$A$1:$A$258,0),MATCH('Unit Data from Audit Worksheet'!$D$2,'PY1 Data(H)'!$A$1:$CZ$1,0))</f>
        <v>#N/A</v>
      </c>
      <c r="F152" s="793">
        <v>0</v>
      </c>
      <c r="G152" s="401">
        <f t="shared" si="3"/>
        <v>0</v>
      </c>
      <c r="H152" s="402"/>
      <c r="I152" s="17"/>
      <c r="J152" s="72"/>
      <c r="K152"/>
      <c r="L152" s="547"/>
    </row>
    <row r="153" spans="1:123" ht="84.75" customHeight="1" x14ac:dyDescent="0.3">
      <c r="A153" s="100">
        <v>366</v>
      </c>
      <c r="B153" s="948" t="s">
        <v>1894</v>
      </c>
      <c r="C153" s="4" t="s">
        <v>726</v>
      </c>
      <c r="D153" s="21" t="s">
        <v>731</v>
      </c>
      <c r="E153" s="371" t="e">
        <f>INDEX('PY1 Data(H)'!$A$1:$CZ$265,MATCH('Unit Data from Audit Worksheet'!$A153,'PY1 Data(H)'!$A$1:$A$258,0),MATCH('Unit Data from Audit Worksheet'!$D$2,'PY1 Data(H)'!$A$1:$CZ$1,0))</f>
        <v>#N/A</v>
      </c>
      <c r="F153" s="793">
        <v>0</v>
      </c>
      <c r="G153" s="401">
        <f t="shared" si="3"/>
        <v>0</v>
      </c>
      <c r="H153" s="402"/>
      <c r="I153" s="17"/>
      <c r="J153" s="72"/>
      <c r="K153"/>
      <c r="L153" s="547"/>
    </row>
    <row r="154" spans="1:123" s="18" customFormat="1" ht="138" customHeight="1" x14ac:dyDescent="0.3">
      <c r="A154" s="100">
        <v>53</v>
      </c>
      <c r="B154" s="373" t="s">
        <v>65</v>
      </c>
      <c r="C154" s="373" t="s">
        <v>726</v>
      </c>
      <c r="D154" s="383" t="s">
        <v>732</v>
      </c>
      <c r="E154" s="371" t="e">
        <f>INDEX('PY1 Data(H)'!$A$1:$CZ$265,MATCH('Unit Data from Audit Worksheet'!$A154,'PY1 Data(H)'!$A$1:$A$258,0),MATCH('Unit Data from Audit Worksheet'!$D$2,'PY1 Data(H)'!$A$1:$CZ$1,0))</f>
        <v>#N/A</v>
      </c>
      <c r="F154" s="793">
        <v>0</v>
      </c>
      <c r="G154" s="401">
        <f>IF(H154=0,,"Error: Total revenues less total expenses do not equal total change in net position. Account number 93-94+363-364+192+365-366-53=0  The amount of the formula is in the cell to the right")</f>
        <v>0</v>
      </c>
      <c r="H154" s="404">
        <f>+F143-F146+F148-F149+F150+F152-F153-F154</f>
        <v>0</v>
      </c>
      <c r="I154" s="17"/>
      <c r="J154" s="72"/>
      <c r="K154"/>
      <c r="L154" s="547"/>
      <c r="M154"/>
      <c r="O154" s="186"/>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7" t="s">
        <v>55</v>
      </c>
      <c r="C155" s="373" t="s">
        <v>726</v>
      </c>
      <c r="D155" s="383" t="s">
        <v>733</v>
      </c>
      <c r="E155" s="371" t="e">
        <f>INDEX('PY1 Data(H)'!$A$1:$CZ$265,MATCH('Unit Data from Audit Worksheet'!$A155,'PY1 Data(H)'!$A$1:$A$258,0),MATCH('Unit Data from Audit Worksheet'!$D$2,'PY1 Data(H)'!$A$1:$CZ$1,0))</f>
        <v>#N/A</v>
      </c>
      <c r="F155" s="793">
        <v>0</v>
      </c>
      <c r="G155" s="752" t="e">
        <f>IF(F122-F154-F155=E122,,"Error: Beginning Balance does not agree with our records.  Acct #s (362-53-378)=prior year 362  The amount of the formula is in the cell to the right")</f>
        <v>#N/A</v>
      </c>
      <c r="H155" s="755" t="e">
        <f>+F122-F154-F155-E122</f>
        <v>#N/A</v>
      </c>
      <c r="I155" s="804" t="e">
        <f>IF(H155=0," ","If the out of balance is because prior years data is not populated in cell E122, disregard the error message. Do not include prior year's ending balance in cell F155.")</f>
        <v>#N/A</v>
      </c>
      <c r="J155" s="763"/>
      <c r="K155"/>
      <c r="L155" s="547"/>
      <c r="M155"/>
      <c r="O155" s="186"/>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89" t="s">
        <v>424</v>
      </c>
      <c r="C156" s="704"/>
      <c r="D156" s="492"/>
      <c r="E156" s="493"/>
      <c r="F156" s="493"/>
      <c r="G156" s="474"/>
      <c r="H156" s="17"/>
      <c r="I156" s="17"/>
      <c r="J156" s="72"/>
      <c r="K156"/>
      <c r="L156" s="547"/>
    </row>
    <row r="157" spans="1:123" ht="13.5" customHeight="1" x14ac:dyDescent="0.3">
      <c r="A157" s="100"/>
      <c r="B157" s="736" t="s">
        <v>734</v>
      </c>
      <c r="C157" s="499"/>
      <c r="D157" s="467"/>
      <c r="E157" s="494"/>
      <c r="F157" s="494"/>
      <c r="G157" s="486"/>
      <c r="H157" s="17"/>
      <c r="I157" s="17"/>
      <c r="J157" s="72"/>
      <c r="K157"/>
      <c r="L157" s="547"/>
    </row>
    <row r="158" spans="1:123" ht="17.25" customHeight="1" x14ac:dyDescent="0.3">
      <c r="A158" s="100"/>
      <c r="B158" s="490" t="s">
        <v>735</v>
      </c>
      <c r="C158" s="499"/>
      <c r="D158" s="481"/>
      <c r="E158" s="495"/>
      <c r="F158" s="495"/>
      <c r="G158" s="488"/>
      <c r="H158" s="17"/>
      <c r="I158" s="17"/>
      <c r="J158" s="72"/>
      <c r="K158"/>
      <c r="L158" s="547"/>
    </row>
    <row r="159" spans="1:123" ht="13.5" customHeight="1" x14ac:dyDescent="0.3">
      <c r="A159" s="100"/>
      <c r="B159" s="490" t="s">
        <v>23</v>
      </c>
      <c r="C159" s="499"/>
      <c r="D159" s="481"/>
      <c r="E159" s="495"/>
      <c r="F159" s="495"/>
      <c r="G159" s="488"/>
      <c r="H159" s="17"/>
      <c r="I159" s="17"/>
      <c r="J159" s="72"/>
      <c r="K159"/>
      <c r="L159" s="547"/>
    </row>
    <row r="160" spans="1:123" ht="59.25" customHeight="1" x14ac:dyDescent="0.3">
      <c r="A160" s="100">
        <v>51</v>
      </c>
      <c r="B160" s="4" t="s">
        <v>283</v>
      </c>
      <c r="C160" s="462" t="s">
        <v>736</v>
      </c>
      <c r="D160" s="21" t="s">
        <v>737</v>
      </c>
      <c r="E160" s="371" t="e">
        <f>INDEX('PY1 Data(H)'!$A$1:$CZ$265,MATCH('Unit Data from Audit Worksheet'!$A160,'PY1 Data(H)'!$A$1:$A$258,0),MATCH('Unit Data from Audit Worksheet'!$D$2,'PY1 Data(H)'!$A$1:$CZ$1,0))</f>
        <v>#N/A</v>
      </c>
      <c r="F160" s="793">
        <v>0</v>
      </c>
      <c r="G160" s="407"/>
      <c r="H160" s="17"/>
      <c r="I160" s="17"/>
      <c r="J160" s="72"/>
      <c r="K160"/>
      <c r="L160" s="547"/>
    </row>
    <row r="161" spans="1:123" ht="45" customHeight="1" x14ac:dyDescent="0.3">
      <c r="A161" s="100">
        <v>332</v>
      </c>
      <c r="B161" s="4" t="s">
        <v>36</v>
      </c>
      <c r="C161" s="462" t="s">
        <v>736</v>
      </c>
      <c r="D161" s="21" t="s">
        <v>738</v>
      </c>
      <c r="E161" s="371" t="e">
        <f>INDEX('PY1 Data(H)'!$A$1:$CZ$265,MATCH('Unit Data from Audit Worksheet'!$A161,'PY1 Data(H)'!$A$1:$A$258,0),MATCH('Unit Data from Audit Worksheet'!$D$2,'PY1 Data(H)'!$A$1:$CZ$1,0))</f>
        <v>#N/A</v>
      </c>
      <c r="F161" s="793">
        <v>0</v>
      </c>
      <c r="G161" s="401">
        <f>IF(F161&lt;0,"Error: Enter as positive.",)</f>
        <v>0</v>
      </c>
      <c r="H161" s="17"/>
      <c r="I161" s="17"/>
      <c r="J161" s="72"/>
      <c r="K161"/>
      <c r="L161" s="547"/>
    </row>
    <row r="162" spans="1:123" ht="75" customHeight="1" x14ac:dyDescent="0.3">
      <c r="A162" s="100">
        <v>331</v>
      </c>
      <c r="B162" s="948" t="s">
        <v>1889</v>
      </c>
      <c r="C162" s="462" t="s">
        <v>736</v>
      </c>
      <c r="D162" s="21" t="s">
        <v>739</v>
      </c>
      <c r="E162" s="371" t="e">
        <f>INDEX('PY1 Data(H)'!$A$1:$CZ$265,MATCH('Unit Data from Audit Worksheet'!$A162,'PY1 Data(H)'!$A$1:$A$258,0),MATCH('Unit Data from Audit Worksheet'!$D$2,'PY1 Data(H)'!$A$1:$CZ$1,0))</f>
        <v>#N/A</v>
      </c>
      <c r="F162" s="793">
        <v>0</v>
      </c>
      <c r="G162" s="401">
        <f>IF(F162&lt;0,"Error: Enter as positive.",)</f>
        <v>0</v>
      </c>
      <c r="H162" s="17"/>
      <c r="I162" s="17"/>
      <c r="J162" s="72"/>
      <c r="K162"/>
      <c r="L162" s="547"/>
    </row>
    <row r="163" spans="1:123" ht="17.399999999999999" customHeight="1" x14ac:dyDescent="0.3">
      <c r="A163" s="100"/>
      <c r="B163" s="704" t="s">
        <v>6</v>
      </c>
      <c r="C163" s="499"/>
      <c r="D163" s="490"/>
      <c r="E163" s="494"/>
      <c r="F163" s="494"/>
      <c r="G163" s="496"/>
      <c r="H163" s="17"/>
      <c r="I163" s="17"/>
      <c r="J163" s="72"/>
      <c r="K163"/>
      <c r="L163" s="547"/>
    </row>
    <row r="164" spans="1:123" ht="48" customHeight="1" x14ac:dyDescent="0.3">
      <c r="A164" s="100">
        <v>55</v>
      </c>
      <c r="B164" s="4" t="s">
        <v>58</v>
      </c>
      <c r="C164" s="462" t="s">
        <v>740</v>
      </c>
      <c r="D164" s="21" t="s">
        <v>741</v>
      </c>
      <c r="E164" s="371" t="e">
        <f>INDEX('PY1 Data(H)'!$A$1:$CZ$265,MATCH('Unit Data from Audit Worksheet'!$A164,'PY1 Data(H)'!$A$1:$A$258,0),MATCH('Unit Data from Audit Worksheet'!$D$2,'PY1 Data(H)'!$A$1:$CZ$1,0))</f>
        <v>#N/A</v>
      </c>
      <c r="F164" s="793">
        <v>0</v>
      </c>
      <c r="G164" s="407"/>
      <c r="H164" s="17"/>
      <c r="I164" s="17"/>
      <c r="J164" s="72"/>
      <c r="K164"/>
      <c r="L164" s="547"/>
    </row>
    <row r="165" spans="1:123" ht="60" customHeight="1" x14ac:dyDescent="0.3">
      <c r="A165" s="100">
        <v>101</v>
      </c>
      <c r="B165" s="4" t="s">
        <v>64</v>
      </c>
      <c r="C165" s="462" t="s">
        <v>740</v>
      </c>
      <c r="D165" s="21" t="s">
        <v>742</v>
      </c>
      <c r="E165" s="371" t="e">
        <f>INDEX('PY1 Data(H)'!$A$1:$CZ$265,MATCH('Unit Data from Audit Worksheet'!$A165,'PY1 Data(H)'!$A$1:$A$258,0),MATCH('Unit Data from Audit Worksheet'!$D$2,'PY1 Data(H)'!$A$1:$CZ$1,0))</f>
        <v>#N/A</v>
      </c>
      <c r="F165" s="793">
        <v>0</v>
      </c>
      <c r="G165" s="401">
        <f>IF(F165&lt;0,"Error: Enter as positive.",)</f>
        <v>0</v>
      </c>
      <c r="H165" s="17"/>
      <c r="I165" s="17"/>
      <c r="J165" s="72"/>
      <c r="K165"/>
      <c r="L165" s="547"/>
    </row>
    <row r="166" spans="1:123" ht="71.25" customHeight="1" x14ac:dyDescent="0.3">
      <c r="A166" s="100">
        <v>100</v>
      </c>
      <c r="B166" s="948" t="s">
        <v>1894</v>
      </c>
      <c r="C166" s="462" t="s">
        <v>740</v>
      </c>
      <c r="D166" s="21" t="s">
        <v>739</v>
      </c>
      <c r="E166" s="371" t="e">
        <f>INDEX('PY1 Data(H)'!$A$1:$CZ$265,MATCH('Unit Data from Audit Worksheet'!$A166,'PY1 Data(H)'!$A$1:$A$258,0),MATCH('Unit Data from Audit Worksheet'!$D$2,'PY1 Data(H)'!$A$1:$CZ$1,0))</f>
        <v>#N/A</v>
      </c>
      <c r="F166" s="793">
        <v>0</v>
      </c>
      <c r="G166" s="401">
        <f>IF(F166&lt;0,"Error: Enter as positive.",)</f>
        <v>0</v>
      </c>
      <c r="H166" s="17"/>
      <c r="I166" s="17"/>
      <c r="J166" s="72"/>
      <c r="K166"/>
      <c r="L166" s="547"/>
    </row>
    <row r="167" spans="1:123" ht="31.2" customHeight="1" x14ac:dyDescent="0.3">
      <c r="A167" s="100"/>
      <c r="B167" s="489" t="s">
        <v>1566</v>
      </c>
      <c r="C167" s="704"/>
      <c r="D167" s="489"/>
      <c r="E167" s="489"/>
      <c r="F167" s="489"/>
      <c r="G167" s="489"/>
      <c r="H167" s="17"/>
      <c r="I167" s="17"/>
      <c r="J167" s="72"/>
      <c r="K167" s="180"/>
      <c r="L167" s="547"/>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73">
        <v>1060</v>
      </c>
      <c r="B168" s="373" t="s">
        <v>1443</v>
      </c>
      <c r="C168" s="409"/>
      <c r="D168" s="774" t="s">
        <v>1464</v>
      </c>
      <c r="E168" s="371" t="e">
        <f>INDEX('PY1 Data(H)'!$A$1:$CZ$265,MATCH('Unit Data from Audit Worksheet'!$A168,'PY1 Data(H)'!$A$1:$A$258,0),MATCH('Unit Data from Audit Worksheet'!$D$2,'PY1 Data(H)'!$A$1:$CZ$1,0))</f>
        <v>#N/A</v>
      </c>
      <c r="F168" s="793">
        <v>0</v>
      </c>
      <c r="G168" s="401"/>
      <c r="H168" s="17"/>
      <c r="I168" s="17"/>
      <c r="J168" s="72"/>
      <c r="K168" s="180"/>
      <c r="L168" s="547"/>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73">
        <v>1061</v>
      </c>
      <c r="B169" s="373" t="s">
        <v>1443</v>
      </c>
      <c r="C169" s="409"/>
      <c r="D169" s="774" t="s">
        <v>1465</v>
      </c>
      <c r="E169" s="371" t="e">
        <f>INDEX('PY1 Data(H)'!$A$1:$CZ$265,MATCH('Unit Data from Audit Worksheet'!$A169,'PY1 Data(H)'!$A$1:$A$258,0),MATCH('Unit Data from Audit Worksheet'!$D$2,'PY1 Data(H)'!$A$1:$CZ$1,0))</f>
        <v>#N/A</v>
      </c>
      <c r="F169" s="793">
        <v>0</v>
      </c>
      <c r="G169" s="401"/>
      <c r="H169" s="17"/>
      <c r="I169" s="17"/>
      <c r="J169" s="72"/>
      <c r="K169" s="180"/>
      <c r="L169" s="547"/>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73">
        <v>1062</v>
      </c>
      <c r="B170" s="373" t="s">
        <v>1443</v>
      </c>
      <c r="C170" s="409"/>
      <c r="D170" s="774" t="s">
        <v>1877</v>
      </c>
      <c r="E170" s="371" t="e">
        <f>INDEX('PY1 Data(H)'!$A$1:$CZ$265,MATCH('Unit Data from Audit Worksheet'!$A170,'PY1 Data(H)'!$A$1:$A$258,0),MATCH('Unit Data from Audit Worksheet'!$D$2,'PY1 Data(H)'!$A$1:$CZ$1,0))</f>
        <v>#N/A</v>
      </c>
      <c r="F170" s="184"/>
      <c r="G170" s="401"/>
      <c r="H170" s="17"/>
      <c r="I170" s="17"/>
      <c r="J170" s="72"/>
      <c r="K170" s="180"/>
      <c r="L170" s="547"/>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73">
        <v>1063</v>
      </c>
      <c r="B171" s="373" t="s">
        <v>1443</v>
      </c>
      <c r="C171" s="409"/>
      <c r="D171" s="774" t="s">
        <v>1878</v>
      </c>
      <c r="E171" s="371" t="e">
        <f>INDEX('PY1 Data(H)'!$A$1:$CZ$265,MATCH('Unit Data from Audit Worksheet'!$A171,'PY1 Data(H)'!$A$1:$A$258,0),MATCH('Unit Data from Audit Worksheet'!$D$2,'PY1 Data(H)'!$A$1:$CZ$1,0))</f>
        <v>#N/A</v>
      </c>
      <c r="F171" s="184"/>
      <c r="G171" s="401"/>
      <c r="H171" s="17"/>
      <c r="I171" s="17"/>
      <c r="J171" s="72"/>
      <c r="K171" s="180"/>
      <c r="L171" s="547"/>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04" t="s">
        <v>70</v>
      </c>
      <c r="C172" s="499"/>
      <c r="D172" s="467"/>
      <c r="E172" s="497"/>
      <c r="F172" s="497"/>
      <c r="G172" s="484"/>
      <c r="H172" s="17"/>
      <c r="I172" s="17"/>
      <c r="J172" s="72"/>
      <c r="K172"/>
      <c r="L172" s="547"/>
    </row>
    <row r="173" spans="1:123" ht="90.6" customHeight="1" x14ac:dyDescent="0.3">
      <c r="A173" s="100">
        <v>512</v>
      </c>
      <c r="B173" s="277"/>
      <c r="C173" s="462" t="s">
        <v>157</v>
      </c>
      <c r="D173" s="21" t="s">
        <v>743</v>
      </c>
      <c r="E173" s="371" t="e">
        <f>INDEX('PY1 Data(H)'!$A$1:$CZ$265,MATCH('Unit Data from Audit Worksheet'!$A173,'PY1 Data(H)'!$A$1:$A$258,0),MATCH('Unit Data from Audit Worksheet'!$D$2,'PY1 Data(H)'!$A$1:$CZ$1,0))</f>
        <v>#N/A</v>
      </c>
      <c r="F173" s="793">
        <v>0</v>
      </c>
      <c r="G173" s="401">
        <f>IF(F173&lt;0,"Error: Enter as positive.",)</f>
        <v>0</v>
      </c>
      <c r="H173" s="17"/>
      <c r="I173" s="17"/>
      <c r="J173" s="72"/>
      <c r="K173"/>
      <c r="L173" s="547"/>
    </row>
    <row r="174" spans="1:123" x14ac:dyDescent="0.3">
      <c r="A174" s="100"/>
      <c r="B174" s="489" t="s">
        <v>414</v>
      </c>
      <c r="C174" s="499"/>
      <c r="D174" s="492"/>
      <c r="E174" s="497"/>
      <c r="F174" s="497"/>
      <c r="G174" s="484"/>
      <c r="H174" s="402"/>
      <c r="I174" s="402"/>
      <c r="J174" s="403"/>
      <c r="K174"/>
      <c r="L174" s="547"/>
    </row>
    <row r="175" spans="1:123" ht="59.25" customHeight="1" x14ac:dyDescent="0.3">
      <c r="A175" s="189">
        <v>656</v>
      </c>
      <c r="B175" s="189"/>
      <c r="C175" s="189"/>
      <c r="D175" s="740" t="s">
        <v>1539</v>
      </c>
      <c r="E175" s="371" t="e">
        <f>INDEX('PY1 Data(H)'!$A$1:$CZ$265,MATCH('Unit Data from Audit Worksheet'!$A175,'PY1 Data(H)'!$A$1:$A$258,0),MATCH('Unit Data from Audit Worksheet'!$D$2,'PY1 Data(H)'!$A$1:$CZ$1,0))</f>
        <v>#N/A</v>
      </c>
      <c r="F175" s="793"/>
      <c r="G175" s="401"/>
      <c r="H175" s="17"/>
      <c r="I175" s="17"/>
      <c r="J175" s="72"/>
      <c r="K175"/>
      <c r="L175" s="547"/>
    </row>
    <row r="176" spans="1:123" x14ac:dyDescent="0.3">
      <c r="A176" s="100"/>
      <c r="B176" s="489" t="s">
        <v>286</v>
      </c>
      <c r="C176" s="499"/>
      <c r="D176" s="492"/>
      <c r="E176" s="497"/>
      <c r="F176" s="497"/>
      <c r="G176" s="484"/>
      <c r="H176" s="402"/>
      <c r="I176" s="402"/>
      <c r="J176" s="403"/>
      <c r="K176"/>
      <c r="L176" s="547"/>
    </row>
    <row r="177" spans="1:12" ht="106.95" customHeight="1" x14ac:dyDescent="0.3">
      <c r="A177" s="100">
        <v>535</v>
      </c>
      <c r="B177" s="373" t="s">
        <v>54</v>
      </c>
      <c r="C177" s="373" t="s">
        <v>158</v>
      </c>
      <c r="D177" s="21" t="s">
        <v>744</v>
      </c>
      <c r="E177" s="371" t="e">
        <f>INDEX('PY1 Data(H)'!$A$1:$CZ$265,MATCH('Unit Data from Audit Worksheet'!$A177,'PY1 Data(H)'!$A$1:$A$258,0),MATCH('Unit Data from Audit Worksheet'!$D$2,'PY1 Data(H)'!$A$1:$CZ$1,0))</f>
        <v>#N/A</v>
      </c>
      <c r="F177" s="793">
        <v>0</v>
      </c>
      <c r="G177" s="752" t="str">
        <f>IF(F177&lt;1,"Reminder: Please make sure you have entered all cash and investments from bond/Debt proceeds, if applicable.",)</f>
        <v>Reminder: Please make sure you have entered all cash and investments from bond/Debt proceeds, if applicable.</v>
      </c>
      <c r="H177" s="402"/>
      <c r="I177" s="402"/>
      <c r="J177" s="403"/>
      <c r="K177"/>
      <c r="L177" s="547"/>
    </row>
    <row r="178" spans="1:12" x14ac:dyDescent="0.3">
      <c r="A178" s="100"/>
      <c r="B178" s="489" t="s">
        <v>29</v>
      </c>
      <c r="C178" s="499"/>
      <c r="D178" s="468"/>
      <c r="E178" s="494"/>
      <c r="F178" s="494"/>
      <c r="G178" s="486"/>
      <c r="H178" s="17"/>
      <c r="I178" s="17"/>
      <c r="J178" s="72"/>
      <c r="K178"/>
      <c r="L178" s="547"/>
    </row>
    <row r="179" spans="1:12" x14ac:dyDescent="0.3">
      <c r="A179" s="100"/>
      <c r="B179" s="277"/>
      <c r="C179" s="277"/>
      <c r="D179" s="415" t="s">
        <v>2</v>
      </c>
      <c r="E179" s="371"/>
      <c r="F179" s="154"/>
      <c r="G179" s="407"/>
      <c r="H179" s="17"/>
      <c r="I179" s="17"/>
      <c r="J179" s="72"/>
      <c r="K179"/>
      <c r="L179" s="547"/>
    </row>
    <row r="180" spans="1:12" ht="36" customHeight="1" x14ac:dyDescent="0.3">
      <c r="A180" s="100"/>
      <c r="B180" s="277"/>
      <c r="C180" s="277"/>
      <c r="D180" s="372" t="s">
        <v>745</v>
      </c>
      <c r="E180" s="371"/>
      <c r="F180" s="154"/>
      <c r="G180" s="407"/>
      <c r="H180" s="17"/>
      <c r="I180" s="17"/>
      <c r="J180" s="72"/>
      <c r="K180"/>
      <c r="L180" s="547"/>
    </row>
    <row r="181" spans="1:12" ht="51" customHeight="1" x14ac:dyDescent="0.3">
      <c r="A181" s="100">
        <v>334</v>
      </c>
      <c r="B181" s="4" t="s">
        <v>55</v>
      </c>
      <c r="C181" s="4" t="s">
        <v>165</v>
      </c>
      <c r="D181" s="21" t="s">
        <v>746</v>
      </c>
      <c r="E181" s="371" t="e">
        <f>INDEX('PY1 Data(H)'!$A$1:$CZ$265,MATCH('Unit Data from Audit Worksheet'!$A181,'PY1 Data(H)'!$A$1:$A$258,0),MATCH('Unit Data from Audit Worksheet'!$D$2,'PY1 Data(H)'!$A$1:$CZ$1,0))</f>
        <v>#N/A</v>
      </c>
      <c r="F181" s="793">
        <v>0</v>
      </c>
      <c r="G181" s="407"/>
      <c r="H181" s="17"/>
      <c r="I181" s="17"/>
      <c r="J181" s="72"/>
      <c r="K181"/>
      <c r="L181" s="547"/>
    </row>
    <row r="182" spans="1:12" ht="45.6" customHeight="1" x14ac:dyDescent="0.3">
      <c r="A182" s="100">
        <v>373</v>
      </c>
      <c r="B182" s="4" t="s">
        <v>55</v>
      </c>
      <c r="C182" s="4" t="s">
        <v>165</v>
      </c>
      <c r="D182" s="26" t="s">
        <v>164</v>
      </c>
      <c r="E182" s="371" t="e">
        <f>INDEX('PY1 Data(H)'!$A$1:$CZ$265,MATCH('Unit Data from Audit Worksheet'!$A182,'PY1 Data(H)'!$A$1:$A$258,0),MATCH('Unit Data from Audit Worksheet'!$D$2,'PY1 Data(H)'!$A$1:$CZ$1,0))</f>
        <v>#N/A</v>
      </c>
      <c r="F182" s="793">
        <v>0</v>
      </c>
      <c r="G182" s="401">
        <f>IF(F182&lt;0,"Error: Enter as positive.",)</f>
        <v>0</v>
      </c>
      <c r="H182" s="17"/>
      <c r="I182" s="17"/>
      <c r="J182" s="72"/>
      <c r="K182"/>
      <c r="L182" s="547"/>
    </row>
    <row r="183" spans="1:12" ht="92.25" customHeight="1" x14ac:dyDescent="0.3">
      <c r="A183" s="100">
        <v>987</v>
      </c>
      <c r="B183" s="373" t="s">
        <v>1936</v>
      </c>
      <c r="C183" s="373"/>
      <c r="D183" s="21" t="s">
        <v>634</v>
      </c>
      <c r="E183" s="371" t="e">
        <f>INDEX('PY1 Data(H)'!$A$1:$CZ$265,MATCH('Unit Data from Audit Worksheet'!$A183,'PY1 Data(H)'!$A$1:$A$258,0),MATCH('Unit Data from Audit Worksheet'!$D$2,'PY1 Data(H)'!$A$1:$CZ$1,0))</f>
        <v>#N/A</v>
      </c>
      <c r="F183" s="793">
        <v>0</v>
      </c>
      <c r="G183" s="416" t="str">
        <f>IF(F183="","If this question is not applicable please place a zero in the cell to the left","")</f>
        <v/>
      </c>
      <c r="H183" s="384"/>
      <c r="I183" s="17"/>
      <c r="J183" s="72"/>
      <c r="K183"/>
      <c r="L183" s="547"/>
    </row>
    <row r="184" spans="1:12" ht="66.75" customHeight="1" x14ac:dyDescent="0.3">
      <c r="A184" s="100">
        <v>988</v>
      </c>
      <c r="B184" s="373" t="s">
        <v>1936</v>
      </c>
      <c r="C184" s="373"/>
      <c r="D184" s="21" t="s">
        <v>633</v>
      </c>
      <c r="E184" s="371" t="e">
        <f>INDEX('PY1 Data(H)'!$A$1:$CZ$265,MATCH('Unit Data from Audit Worksheet'!$A184,'PY1 Data(H)'!$A$1:$A$258,0),MATCH('Unit Data from Audit Worksheet'!$D$2,'PY1 Data(H)'!$A$1:$CZ$1,0))</f>
        <v>#N/A</v>
      </c>
      <c r="F184" s="185"/>
      <c r="G184" s="401"/>
      <c r="H184" s="17"/>
      <c r="I184" s="17"/>
      <c r="J184" s="72"/>
      <c r="K184"/>
      <c r="L184" s="547"/>
    </row>
    <row r="185" spans="1:12" ht="90" customHeight="1" x14ac:dyDescent="0.3">
      <c r="A185" s="100">
        <v>989</v>
      </c>
      <c r="B185" s="373" t="s">
        <v>1936</v>
      </c>
      <c r="C185" s="373"/>
      <c r="D185" s="21" t="s">
        <v>790</v>
      </c>
      <c r="E185" s="371" t="e">
        <f>INDEX('PY1 Data(H)'!$A$1:$CZ$265,MATCH('Unit Data from Audit Worksheet'!$A185,'PY1 Data(H)'!$A$1:$A$258,0),MATCH('Unit Data from Audit Worksheet'!$D$2,'PY1 Data(H)'!$A$1:$CZ$1,0))</f>
        <v>#N/A</v>
      </c>
      <c r="F185" s="185"/>
      <c r="G185" s="401"/>
      <c r="H185" s="17"/>
      <c r="I185" s="17"/>
      <c r="J185" s="72"/>
      <c r="K185"/>
      <c r="L185" s="547"/>
    </row>
    <row r="186" spans="1:12" ht="72" x14ac:dyDescent="0.3">
      <c r="A186" s="100"/>
      <c r="B186" s="499"/>
      <c r="C186" s="499"/>
      <c r="D186" s="500" t="s">
        <v>1559</v>
      </c>
      <c r="E186" s="502"/>
      <c r="F186" s="502"/>
      <c r="G186" s="503"/>
      <c r="H186" s="17"/>
      <c r="I186" s="17"/>
      <c r="J186" s="72"/>
      <c r="K186"/>
      <c r="L186" s="547"/>
    </row>
    <row r="187" spans="1:12" ht="23.4" customHeight="1" x14ac:dyDescent="0.3">
      <c r="A187" s="100"/>
      <c r="B187" s="277"/>
      <c r="C187" s="277"/>
      <c r="D187" s="417" t="s">
        <v>1944</v>
      </c>
      <c r="E187" s="371"/>
      <c r="F187" s="243"/>
      <c r="G187" s="407"/>
      <c r="H187" s="17"/>
      <c r="I187" s="17"/>
      <c r="J187" s="72"/>
      <c r="K187"/>
      <c r="L187" s="547"/>
    </row>
    <row r="188" spans="1:12" ht="48.75" customHeight="1" x14ac:dyDescent="0.3">
      <c r="A188" s="100"/>
      <c r="B188" s="277"/>
      <c r="C188" s="277"/>
      <c r="D188" s="21" t="s">
        <v>747</v>
      </c>
      <c r="E188" s="371"/>
      <c r="F188" s="243"/>
      <c r="G188" s="407"/>
      <c r="H188" s="17"/>
      <c r="I188" s="17"/>
      <c r="J188" s="72"/>
      <c r="K188"/>
      <c r="L188" s="547"/>
    </row>
    <row r="189" spans="1:12" ht="51.75" customHeight="1" x14ac:dyDescent="0.3">
      <c r="A189" s="100">
        <v>327</v>
      </c>
      <c r="B189" s="373" t="s">
        <v>36</v>
      </c>
      <c r="C189" s="373" t="s">
        <v>166</v>
      </c>
      <c r="D189" s="418" t="s">
        <v>748</v>
      </c>
      <c r="E189" s="371" t="e">
        <f>INDEX('PY1 Data(H)'!$A$1:$CZ$265,MATCH('Unit Data from Audit Worksheet'!$A189,'PY1 Data(H)'!$A$1:$A$258,0),MATCH('Unit Data from Audit Worksheet'!$D$2,'PY1 Data(H)'!$A$1:$CZ$1,0))</f>
        <v>#N/A</v>
      </c>
      <c r="F189" s="793">
        <v>0</v>
      </c>
      <c r="G189" s="407"/>
      <c r="H189" s="17"/>
      <c r="I189" s="402"/>
      <c r="J189" s="403"/>
      <c r="K189"/>
      <c r="L189" s="547"/>
    </row>
    <row r="190" spans="1:12" ht="51.75" customHeight="1" x14ac:dyDescent="0.3">
      <c r="A190" s="100">
        <v>328</v>
      </c>
      <c r="B190" s="373" t="s">
        <v>36</v>
      </c>
      <c r="C190" s="373" t="s">
        <v>166</v>
      </c>
      <c r="D190" s="27" t="s">
        <v>7</v>
      </c>
      <c r="E190" s="371" t="e">
        <f>INDEX('PY1 Data(H)'!$A$1:$CZ$265,MATCH('Unit Data from Audit Worksheet'!$A190,'PY1 Data(H)'!$A$1:$A$258,0),MATCH('Unit Data from Audit Worksheet'!$D$2,'PY1 Data(H)'!$A$1:$CZ$1,0))</f>
        <v>#N/A</v>
      </c>
      <c r="F190" s="793">
        <v>0</v>
      </c>
      <c r="G190" s="407"/>
      <c r="H190" s="17"/>
      <c r="I190" s="402"/>
      <c r="J190" s="403"/>
      <c r="K190"/>
      <c r="L190" s="547"/>
    </row>
    <row r="191" spans="1:12" ht="42" customHeight="1" x14ac:dyDescent="0.3">
      <c r="A191" s="100"/>
      <c r="B191" s="277"/>
      <c r="C191" s="277"/>
      <c r="D191" s="28" t="s">
        <v>749</v>
      </c>
      <c r="E191" s="93" t="e">
        <f>E189+E190</f>
        <v>#N/A</v>
      </c>
      <c r="F191" s="93">
        <f>SUM(F189:F190)</f>
        <v>0</v>
      </c>
      <c r="G191" s="407"/>
      <c r="H191" s="17"/>
      <c r="I191" s="17"/>
      <c r="J191" s="72"/>
      <c r="K191"/>
      <c r="L191" s="547"/>
    </row>
    <row r="192" spans="1:12" ht="28.8" x14ac:dyDescent="0.3">
      <c r="A192" s="100"/>
      <c r="B192" s="277"/>
      <c r="C192" s="277"/>
      <c r="D192" s="21" t="s">
        <v>750</v>
      </c>
      <c r="E192" s="1"/>
      <c r="F192" s="243"/>
      <c r="G192" s="407"/>
      <c r="H192" s="17"/>
      <c r="I192" s="17"/>
      <c r="J192" s="72"/>
      <c r="K192"/>
      <c r="L192" s="547"/>
    </row>
    <row r="193" spans="1:20" ht="24" customHeight="1" x14ac:dyDescent="0.3">
      <c r="A193" s="100"/>
      <c r="B193" s="277"/>
      <c r="C193" s="277"/>
      <c r="D193" s="25" t="s">
        <v>9</v>
      </c>
      <c r="F193" s="419"/>
      <c r="G193" s="407"/>
      <c r="H193" s="17"/>
      <c r="I193" s="17"/>
      <c r="J193" s="72"/>
      <c r="K193"/>
      <c r="L193" s="547"/>
    </row>
    <row r="194" spans="1:20" ht="72" customHeight="1" x14ac:dyDescent="0.3">
      <c r="A194" s="100">
        <v>515</v>
      </c>
      <c r="B194" s="948" t="s">
        <v>1889</v>
      </c>
      <c r="C194" s="373" t="s">
        <v>167</v>
      </c>
      <c r="D194" s="29" t="s">
        <v>3</v>
      </c>
      <c r="E194" s="371" t="e">
        <f>INDEX('PY1 Data(H)'!$A$1:$CZ$265,MATCH('Unit Data from Audit Worksheet'!$A194,'PY1 Data(H)'!$A$1:$A$258,0),MATCH('Unit Data from Audit Worksheet'!$D$2,'PY1 Data(H)'!$A$1:$CZ$1,0))</f>
        <v>#N/A</v>
      </c>
      <c r="F194" s="793">
        <v>0</v>
      </c>
      <c r="G194" s="401"/>
      <c r="H194" s="17"/>
      <c r="I194" s="17"/>
      <c r="J194" s="72"/>
      <c r="K194"/>
      <c r="L194" s="547"/>
    </row>
    <row r="195" spans="1:20" ht="75.599999999999994" customHeight="1" x14ac:dyDescent="0.3">
      <c r="A195" s="100">
        <v>516</v>
      </c>
      <c r="B195" s="948" t="s">
        <v>1889</v>
      </c>
      <c r="C195" s="373" t="s">
        <v>167</v>
      </c>
      <c r="D195" s="29" t="s">
        <v>4</v>
      </c>
      <c r="E195" s="371" t="e">
        <f>INDEX('PY1 Data(H)'!$A$1:$CZ$265,MATCH('Unit Data from Audit Worksheet'!$A195,'PY1 Data(H)'!$A$1:$A$258,0),MATCH('Unit Data from Audit Worksheet'!$D$2,'PY1 Data(H)'!$A$1:$CZ$1,0))</f>
        <v>#N/A</v>
      </c>
      <c r="F195" s="793">
        <v>0</v>
      </c>
      <c r="G195" s="401"/>
      <c r="H195" s="17"/>
      <c r="I195" s="17"/>
      <c r="J195" s="72"/>
      <c r="K195"/>
      <c r="L195" s="547"/>
    </row>
    <row r="196" spans="1:20" ht="73.2" customHeight="1" x14ac:dyDescent="0.3">
      <c r="A196" s="100">
        <v>517</v>
      </c>
      <c r="B196" s="948" t="s">
        <v>1889</v>
      </c>
      <c r="C196" s="373" t="s">
        <v>167</v>
      </c>
      <c r="D196" s="29" t="s">
        <v>5</v>
      </c>
      <c r="E196" s="371" t="e">
        <f>INDEX('PY1 Data(H)'!$A$1:$CZ$265,MATCH('Unit Data from Audit Worksheet'!$A196,'PY1 Data(H)'!$A$1:$A$258,0),MATCH('Unit Data from Audit Worksheet'!$D$2,'PY1 Data(H)'!$A$1:$CZ$1,0))</f>
        <v>#N/A</v>
      </c>
      <c r="F196" s="793">
        <v>0</v>
      </c>
      <c r="G196" s="401"/>
      <c r="H196" s="17"/>
      <c r="I196" s="17"/>
      <c r="J196" s="72"/>
      <c r="K196"/>
      <c r="L196" s="547"/>
    </row>
    <row r="197" spans="1:20" ht="78" customHeight="1" x14ac:dyDescent="0.3">
      <c r="A197" s="100">
        <v>518</v>
      </c>
      <c r="B197" s="948" t="s">
        <v>1889</v>
      </c>
      <c r="C197" s="373" t="s">
        <v>167</v>
      </c>
      <c r="D197" s="29" t="s">
        <v>38</v>
      </c>
      <c r="E197" s="371" t="e">
        <f>INDEX('PY1 Data(H)'!$A$1:$CZ$265,MATCH('Unit Data from Audit Worksheet'!$A197,'PY1 Data(H)'!$A$1:$A$258,0),MATCH('Unit Data from Audit Worksheet'!$D$2,'PY1 Data(H)'!$A$1:$CZ$1,0))</f>
        <v>#N/A</v>
      </c>
      <c r="F197" s="793">
        <v>0</v>
      </c>
      <c r="G197" s="401"/>
      <c r="H197" s="17"/>
      <c r="I197" s="17"/>
      <c r="J197" s="72"/>
      <c r="K197"/>
      <c r="L197" s="547"/>
    </row>
    <row r="198" spans="1:20" ht="51" customHeight="1" x14ac:dyDescent="0.3">
      <c r="A198" s="707"/>
      <c r="B198" s="277"/>
      <c r="C198" s="277"/>
      <c r="D198" s="420" t="s">
        <v>751</v>
      </c>
      <c r="E198" s="93" t="e">
        <f>E194+E195+E196+E197</f>
        <v>#N/A</v>
      </c>
      <c r="F198" s="93">
        <f>SUM(F194:F197)</f>
        <v>0</v>
      </c>
      <c r="G198" s="407"/>
      <c r="H198" s="17"/>
      <c r="I198" s="17"/>
      <c r="J198" s="72"/>
      <c r="K198"/>
      <c r="L198" s="547"/>
    </row>
    <row r="199" spans="1:20" ht="30.75" customHeight="1" x14ac:dyDescent="0.3">
      <c r="A199" s="100"/>
      <c r="B199" s="277"/>
      <c r="C199" s="277"/>
      <c r="D199" s="25" t="s">
        <v>47</v>
      </c>
      <c r="E199" s="1"/>
      <c r="F199" s="243"/>
      <c r="G199" s="407"/>
      <c r="H199" s="17"/>
      <c r="I199" s="17"/>
      <c r="J199" s="72"/>
      <c r="K199"/>
      <c r="L199" s="547"/>
    </row>
    <row r="200" spans="1:20" ht="63" customHeight="1" x14ac:dyDescent="0.3">
      <c r="A200" s="100">
        <v>519</v>
      </c>
      <c r="B200" s="373" t="s">
        <v>36</v>
      </c>
      <c r="C200" s="373" t="s">
        <v>168</v>
      </c>
      <c r="D200" s="29" t="s">
        <v>14</v>
      </c>
      <c r="E200" s="371" t="e">
        <f>INDEX('PY1 Data(H)'!$A$1:$CZ$265,MATCH('Unit Data from Audit Worksheet'!$A200,'PY1 Data(H)'!$A$1:$A$258,0),MATCH('Unit Data from Audit Worksheet'!$D$2,'PY1 Data(H)'!$A$1:$CZ$1,0))</f>
        <v>#N/A</v>
      </c>
      <c r="F200" s="793">
        <v>0</v>
      </c>
      <c r="G200" s="401">
        <f>IF(F200&lt;0,"Error: Enter as positive.",)</f>
        <v>0</v>
      </c>
      <c r="H200" s="17"/>
      <c r="I200" s="17"/>
      <c r="J200" s="72"/>
      <c r="K200"/>
      <c r="L200" s="547"/>
    </row>
    <row r="201" spans="1:20" ht="69.75" customHeight="1" x14ac:dyDescent="0.3">
      <c r="A201" s="100">
        <v>520</v>
      </c>
      <c r="B201" s="373" t="s">
        <v>36</v>
      </c>
      <c r="C201" s="373" t="s">
        <v>168</v>
      </c>
      <c r="D201" s="29" t="s">
        <v>16</v>
      </c>
      <c r="E201" s="371" t="e">
        <f>INDEX('PY1 Data(H)'!$A$1:$CZ$265,MATCH('Unit Data from Audit Worksheet'!$A201,'PY1 Data(H)'!$A$1:$A$258,0),MATCH('Unit Data from Audit Worksheet'!$D$2,'PY1 Data(H)'!$A$1:$CZ$1,0))</f>
        <v>#N/A</v>
      </c>
      <c r="F201" s="793">
        <v>0</v>
      </c>
      <c r="G201" s="401">
        <f>IF(F201&lt;0,"Error: Enter as positive.",)</f>
        <v>0</v>
      </c>
      <c r="H201" s="17"/>
      <c r="I201" s="17"/>
      <c r="J201" s="72"/>
      <c r="K201"/>
      <c r="L201" s="547"/>
    </row>
    <row r="202" spans="1:20" ht="72" customHeight="1" x14ac:dyDescent="0.3">
      <c r="A202" s="100">
        <v>521</v>
      </c>
      <c r="B202" s="373" t="s">
        <v>36</v>
      </c>
      <c r="C202" s="373" t="s">
        <v>168</v>
      </c>
      <c r="D202" s="29" t="s">
        <v>18</v>
      </c>
      <c r="E202" s="371" t="e">
        <f>INDEX('PY1 Data(H)'!$A$1:$CZ$265,MATCH('Unit Data from Audit Worksheet'!$A202,'PY1 Data(H)'!$A$1:$A$258,0),MATCH('Unit Data from Audit Worksheet'!$D$2,'PY1 Data(H)'!$A$1:$CZ$1,0))</f>
        <v>#N/A</v>
      </c>
      <c r="F202" s="793">
        <v>0</v>
      </c>
      <c r="G202" s="401">
        <f>IF(F202&lt;0,"Error: Enter as positive.",)</f>
        <v>0</v>
      </c>
      <c r="H202" s="17"/>
      <c r="I202" s="17"/>
      <c r="J202" s="72"/>
      <c r="K202"/>
      <c r="L202" s="547"/>
    </row>
    <row r="203" spans="1:20" ht="74.25" customHeight="1" x14ac:dyDescent="0.3">
      <c r="A203" s="100">
        <v>522</v>
      </c>
      <c r="B203" s="373" t="s">
        <v>36</v>
      </c>
      <c r="C203" s="373" t="s">
        <v>168</v>
      </c>
      <c r="D203" s="29" t="s">
        <v>39</v>
      </c>
      <c r="E203" s="371" t="e">
        <f>INDEX('PY1 Data(H)'!$A$1:$CZ$265,MATCH('Unit Data from Audit Worksheet'!$A203,'PY1 Data(H)'!$A$1:$A$258,0),MATCH('Unit Data from Audit Worksheet'!$D$2,'PY1 Data(H)'!$A$1:$CZ$1,0))</f>
        <v>#N/A</v>
      </c>
      <c r="F203" s="793">
        <v>0</v>
      </c>
      <c r="G203" s="401">
        <f>IF(F203&lt;0,"Error: Enter as positive.",)</f>
        <v>0</v>
      </c>
      <c r="H203" s="17"/>
      <c r="I203" s="17"/>
      <c r="J203" s="72"/>
      <c r="K203"/>
      <c r="L203" s="547"/>
    </row>
    <row r="204" spans="1:20" ht="31.5" customHeight="1" x14ac:dyDescent="0.3">
      <c r="A204" s="705"/>
      <c r="B204" s="277"/>
      <c r="C204" s="277"/>
      <c r="D204" s="421" t="s">
        <v>33</v>
      </c>
      <c r="E204" s="93" t="e">
        <f>E200+E201+E202+E203</f>
        <v>#N/A</v>
      </c>
      <c r="F204" s="93">
        <f>SUM(F200:F203)</f>
        <v>0</v>
      </c>
      <c r="G204" s="123"/>
      <c r="H204" s="17"/>
      <c r="I204" s="17"/>
      <c r="J204" s="72"/>
      <c r="K204"/>
      <c r="L204" s="547"/>
    </row>
    <row r="205" spans="1:20" ht="26.25" customHeight="1" x14ac:dyDescent="0.3">
      <c r="A205" s="705"/>
      <c r="B205" s="277"/>
      <c r="C205" s="277"/>
      <c r="D205" s="25" t="s">
        <v>31</v>
      </c>
      <c r="E205" s="6"/>
      <c r="F205" s="422"/>
      <c r="G205" s="123"/>
      <c r="H205" s="17"/>
      <c r="I205" s="524"/>
      <c r="J205"/>
      <c r="K205"/>
      <c r="L205"/>
      <c r="N205"/>
      <c r="O205"/>
      <c r="P205"/>
      <c r="Q205"/>
      <c r="R205"/>
      <c r="S205"/>
      <c r="T205"/>
    </row>
    <row r="206" spans="1:20" ht="89.25" customHeight="1" x14ac:dyDescent="0.3">
      <c r="A206" s="100">
        <v>523</v>
      </c>
      <c r="B206" s="948" t="s">
        <v>1889</v>
      </c>
      <c r="C206" s="373" t="s">
        <v>169</v>
      </c>
      <c r="D206" s="29" t="s">
        <v>15</v>
      </c>
      <c r="E206" s="371" t="e">
        <f>INDEX('PY1 Data(H)'!$A$1:$CZ$265,MATCH('Unit Data from Audit Worksheet'!$A206,'PY1 Data(H)'!$A$1:$A$258,0),MATCH('Unit Data from Audit Worksheet'!$D$2,'PY1 Data(H)'!$A$1:$CZ$1,0))</f>
        <v>#N/A</v>
      </c>
      <c r="F206" s="793">
        <v>0</v>
      </c>
      <c r="G206" s="401">
        <f>IF(F206&lt;0,"Error: Enter as positive.",)</f>
        <v>0</v>
      </c>
      <c r="H206" s="17"/>
      <c r="I206" s="524"/>
      <c r="J206"/>
      <c r="K206"/>
      <c r="L206"/>
      <c r="N206"/>
      <c r="O206"/>
      <c r="P206"/>
      <c r="Q206"/>
      <c r="R206"/>
      <c r="S206"/>
      <c r="T206"/>
    </row>
    <row r="207" spans="1:20" ht="75" customHeight="1" x14ac:dyDescent="0.3">
      <c r="A207" s="100">
        <v>524</v>
      </c>
      <c r="B207" s="948" t="s">
        <v>1889</v>
      </c>
      <c r="C207" s="373" t="s">
        <v>169</v>
      </c>
      <c r="D207" s="29" t="s">
        <v>17</v>
      </c>
      <c r="E207" s="371" t="e">
        <f>INDEX('PY1 Data(H)'!$A$1:$CZ$265,MATCH('Unit Data from Audit Worksheet'!$A207,'PY1 Data(H)'!$A$1:$A$258,0),MATCH('Unit Data from Audit Worksheet'!$D$2,'PY1 Data(H)'!$A$1:$CZ$1,0))</f>
        <v>#N/A</v>
      </c>
      <c r="F207" s="793">
        <v>0</v>
      </c>
      <c r="G207" s="401">
        <f>IF(F207&lt;0,"Error: Enter as positive.",)</f>
        <v>0</v>
      </c>
      <c r="H207" s="17"/>
      <c r="I207" s="524"/>
      <c r="J207"/>
      <c r="K207"/>
      <c r="L207"/>
      <c r="N207"/>
      <c r="O207"/>
      <c r="P207"/>
      <c r="Q207"/>
      <c r="R207"/>
      <c r="S207"/>
      <c r="T207"/>
    </row>
    <row r="208" spans="1:20" ht="75" customHeight="1" x14ac:dyDescent="0.3">
      <c r="A208" s="100">
        <v>525</v>
      </c>
      <c r="B208" s="948" t="s">
        <v>1889</v>
      </c>
      <c r="C208" s="373" t="s">
        <v>169</v>
      </c>
      <c r="D208" s="29" t="s">
        <v>19</v>
      </c>
      <c r="E208" s="371" t="e">
        <f>INDEX('PY1 Data(H)'!$A$1:$CZ$265,MATCH('Unit Data from Audit Worksheet'!$A208,'PY1 Data(H)'!$A$1:$A$258,0),MATCH('Unit Data from Audit Worksheet'!$D$2,'PY1 Data(H)'!$A$1:$CZ$1,0))</f>
        <v>#N/A</v>
      </c>
      <c r="F208" s="793">
        <v>0</v>
      </c>
      <c r="G208" s="401">
        <f>IF(F208&lt;0,"Error: Enter as positive.",)</f>
        <v>0</v>
      </c>
      <c r="H208" s="17"/>
      <c r="I208" s="524"/>
      <c r="J208"/>
      <c r="K208"/>
      <c r="L208"/>
      <c r="N208"/>
      <c r="O208"/>
      <c r="P208"/>
      <c r="Q208"/>
      <c r="R208"/>
      <c r="S208"/>
      <c r="T208"/>
    </row>
    <row r="209" spans="1:1881" ht="76.5" customHeight="1" x14ac:dyDescent="0.3">
      <c r="A209" s="100">
        <v>526</v>
      </c>
      <c r="B209" s="948" t="s">
        <v>1889</v>
      </c>
      <c r="C209" s="373" t="s">
        <v>169</v>
      </c>
      <c r="D209" s="29" t="s">
        <v>40</v>
      </c>
      <c r="E209" s="371" t="e">
        <f>INDEX('PY1 Data(H)'!$A$1:$CZ$265,MATCH('Unit Data from Audit Worksheet'!$A209,'PY1 Data(H)'!$A$1:$A$258,0),MATCH('Unit Data from Audit Worksheet'!$D$2,'PY1 Data(H)'!$A$1:$CZ$1,0))</f>
        <v>#N/A</v>
      </c>
      <c r="F209" s="793">
        <v>0</v>
      </c>
      <c r="G209" s="401">
        <f>IF(F209&lt;0,"Error: Enter as positive.",)</f>
        <v>0</v>
      </c>
      <c r="H209" s="17"/>
      <c r="I209" s="524"/>
      <c r="J209"/>
      <c r="K209"/>
      <c r="L209"/>
      <c r="N209"/>
      <c r="O209"/>
      <c r="P209"/>
      <c r="Q209"/>
      <c r="R209"/>
      <c r="S209"/>
      <c r="T209"/>
    </row>
    <row r="210" spans="1:1881" ht="24.75" customHeight="1" x14ac:dyDescent="0.3">
      <c r="A210" s="100"/>
      <c r="B210" s="463"/>
      <c r="C210" s="463"/>
      <c r="D210" s="421" t="s">
        <v>32</v>
      </c>
      <c r="E210" s="93" t="e">
        <f>E206+E207+E208+E209</f>
        <v>#N/A</v>
      </c>
      <c r="F210" s="93">
        <f>SUM(F206:F209)</f>
        <v>0</v>
      </c>
      <c r="G210" s="407"/>
      <c r="H210" s="17"/>
      <c r="I210" s="17"/>
      <c r="J210" s="72"/>
      <c r="K210"/>
      <c r="L210" s="547"/>
    </row>
    <row r="211" spans="1:1881" ht="61.5" customHeight="1" x14ac:dyDescent="0.3">
      <c r="A211" s="100"/>
      <c r="B211" s="463"/>
      <c r="C211" s="463"/>
      <c r="D211" s="423" t="s">
        <v>34</v>
      </c>
      <c r="E211" s="93" t="e">
        <f>E191+E198-E210</f>
        <v>#N/A</v>
      </c>
      <c r="F211" s="93">
        <f>F191+F198-F210</f>
        <v>0</v>
      </c>
      <c r="G211" s="407"/>
      <c r="H211" s="17"/>
      <c r="I211" s="17"/>
      <c r="J211" s="72"/>
      <c r="K211"/>
      <c r="L211" s="547"/>
    </row>
    <row r="212" spans="1:1881" ht="21.6" customHeight="1" x14ac:dyDescent="0.3">
      <c r="A212" s="100"/>
      <c r="B212" s="277"/>
      <c r="C212" s="277"/>
      <c r="D212" s="415"/>
      <c r="E212" s="1"/>
      <c r="F212" s="243"/>
      <c r="G212" s="407"/>
      <c r="H212" s="17"/>
      <c r="I212" s="17"/>
      <c r="J212" s="72"/>
      <c r="K212"/>
      <c r="L212" s="547"/>
    </row>
    <row r="213" spans="1:1881" ht="34.5" customHeight="1" x14ac:dyDescent="0.3">
      <c r="A213" s="100"/>
      <c r="B213" s="499"/>
      <c r="C213" s="499"/>
      <c r="D213" s="491" t="s">
        <v>8</v>
      </c>
      <c r="E213" s="501"/>
      <c r="F213" s="502"/>
      <c r="G213" s="503"/>
      <c r="H213" s="17"/>
      <c r="I213" s="17"/>
      <c r="J213" s="72"/>
      <c r="K213"/>
      <c r="L213" s="547"/>
    </row>
    <row r="214" spans="1:1881" ht="55.5" customHeight="1" x14ac:dyDescent="0.3">
      <c r="A214" s="100">
        <v>527</v>
      </c>
      <c r="B214" s="948" t="s">
        <v>1895</v>
      </c>
      <c r="C214" s="373" t="s">
        <v>170</v>
      </c>
      <c r="D214" s="26" t="s">
        <v>752</v>
      </c>
      <c r="E214" s="371" t="e">
        <f>INDEX('PY1 Data(H)'!$A$1:$CZ$265,MATCH('Unit Data from Audit Worksheet'!$A214,'PY1 Data(H)'!$A$1:$A$258,0),MATCH('Unit Data from Audit Worksheet'!$D$2,'PY1 Data(H)'!$A$1:$CZ$1,0))</f>
        <v>#N/A</v>
      </c>
      <c r="F214" s="793">
        <v>0</v>
      </c>
      <c r="G214" s="407"/>
      <c r="H214" s="17"/>
      <c r="I214" s="402"/>
      <c r="J214" s="403"/>
      <c r="K214"/>
      <c r="L214" s="547"/>
    </row>
    <row r="215" spans="1:1881" ht="55.5" customHeight="1" x14ac:dyDescent="0.3">
      <c r="A215" s="100">
        <v>356</v>
      </c>
      <c r="B215" s="948" t="s">
        <v>1894</v>
      </c>
      <c r="C215" s="373" t="s">
        <v>170</v>
      </c>
      <c r="D215" s="99" t="s">
        <v>20</v>
      </c>
      <c r="E215" s="371" t="e">
        <f>INDEX('PY1 Data(H)'!$A$1:$CZ$265,MATCH('Unit Data from Audit Worksheet'!$A215,'PY1 Data(H)'!$A$1:$A$258,0),MATCH('Unit Data from Audit Worksheet'!$D$2,'PY1 Data(H)'!$A$1:$CZ$1,0))</f>
        <v>#N/A</v>
      </c>
      <c r="F215" s="793">
        <v>0</v>
      </c>
      <c r="G215" s="407"/>
      <c r="H215" s="17"/>
      <c r="I215" s="402"/>
      <c r="J215" s="403"/>
      <c r="K215"/>
      <c r="L215" s="547"/>
    </row>
    <row r="216" spans="1:1881" ht="55.5" customHeight="1" x14ac:dyDescent="0.3">
      <c r="A216" s="100">
        <v>357</v>
      </c>
      <c r="B216" s="373" t="s">
        <v>55</v>
      </c>
      <c r="C216" s="373" t="s">
        <v>171</v>
      </c>
      <c r="D216" s="99" t="s">
        <v>21</v>
      </c>
      <c r="E216" s="371" t="e">
        <f>INDEX('PY1 Data(H)'!$A$1:$CZ$265,MATCH('Unit Data from Audit Worksheet'!$A216,'PY1 Data(H)'!$A$1:$A$258,0),MATCH('Unit Data from Audit Worksheet'!$D$2,'PY1 Data(H)'!$A$1:$CZ$1,0))</f>
        <v>#N/A</v>
      </c>
      <c r="F216" s="793">
        <v>0</v>
      </c>
      <c r="G216" s="401">
        <f>IF(F216&lt;0,"Error: Enter as positive.",)</f>
        <v>0</v>
      </c>
      <c r="H216" s="17"/>
      <c r="I216" s="402"/>
      <c r="J216" s="403"/>
      <c r="K216"/>
      <c r="L216" s="547"/>
    </row>
    <row r="217" spans="1:1881" s="18" customFormat="1" ht="35.25" customHeight="1" x14ac:dyDescent="0.3">
      <c r="A217" s="100"/>
      <c r="B217" s="489" t="s">
        <v>10</v>
      </c>
      <c r="C217" s="499"/>
      <c r="D217" s="467"/>
      <c r="E217" s="504"/>
      <c r="F217" s="504"/>
      <c r="G217" s="486"/>
      <c r="H217" s="17"/>
      <c r="I217" s="17"/>
      <c r="J217" s="72"/>
      <c r="K217"/>
      <c r="L217" s="547"/>
      <c r="M217"/>
      <c r="O217" s="186"/>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753</v>
      </c>
      <c r="D218" s="21" t="s">
        <v>635</v>
      </c>
      <c r="E218" s="371" t="e">
        <f>INDEX('PY1 Data(H)'!$A$1:$CZ$265,MATCH('Unit Data from Audit Worksheet'!$A218,'PY1 Data(H)'!$A$1:$A$258,0),MATCH('Unit Data from Audit Worksheet'!$D$2,'PY1 Data(H)'!$A$1:$CZ$1,0))</f>
        <v>#N/A</v>
      </c>
      <c r="F218" s="793">
        <v>0</v>
      </c>
      <c r="G218" s="401">
        <f>IF(F218&lt;0,"Error: Enter as positive.",)</f>
        <v>0</v>
      </c>
      <c r="H218" s="17"/>
      <c r="I218" s="17"/>
      <c r="J218" s="72"/>
      <c r="K218"/>
      <c r="L218" s="547"/>
      <c r="M218"/>
      <c r="O218" s="186"/>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337</v>
      </c>
      <c r="D219" s="26" t="s">
        <v>754</v>
      </c>
      <c r="E219" s="371" t="e">
        <f>INDEX('PY1 Data(H)'!$A$1:$CZ$265,MATCH('Unit Data from Audit Worksheet'!$A219,'PY1 Data(H)'!$A$1:$A$258,0),MATCH('Unit Data from Audit Worksheet'!$D$2,'PY1 Data(H)'!$A$1:$CZ$1,0))</f>
        <v>#N/A</v>
      </c>
      <c r="F219" s="793">
        <v>0</v>
      </c>
      <c r="G219" s="401">
        <f>IF(F219&lt;0,"Error: Enter as positive.",)</f>
        <v>0</v>
      </c>
      <c r="H219" s="17"/>
      <c r="I219" s="17"/>
      <c r="J219" s="72"/>
      <c r="K219"/>
      <c r="L219" s="547"/>
      <c r="M219"/>
      <c r="N219" s="91"/>
      <c r="O219" s="186"/>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755</v>
      </c>
      <c r="D220" s="21" t="s">
        <v>451</v>
      </c>
      <c r="E220" s="371" t="e">
        <f>INDEX('PY1 Data(H)'!$A$1:$CZ$265,MATCH('Unit Data from Audit Worksheet'!$A220,'PY1 Data(H)'!$A$1:$A$258,0),MATCH('Unit Data from Audit Worksheet'!$D$2,'PY1 Data(H)'!$A$1:$CZ$1,0))</f>
        <v>#N/A</v>
      </c>
      <c r="F220" s="802">
        <v>0</v>
      </c>
      <c r="G220" s="401">
        <f>IF(F220&lt;0,"Error: Enter as positive.",)</f>
        <v>0</v>
      </c>
      <c r="H220" s="17"/>
      <c r="I220" s="17"/>
      <c r="J220" s="424"/>
      <c r="K220"/>
      <c r="L220" s="547"/>
    </row>
    <row r="221" spans="1:1881" ht="270.75" customHeight="1" x14ac:dyDescent="0.3">
      <c r="A221" s="100">
        <v>359</v>
      </c>
      <c r="B221" s="4" t="s">
        <v>55</v>
      </c>
      <c r="C221" s="4" t="s">
        <v>756</v>
      </c>
      <c r="D221" s="21" t="s">
        <v>451</v>
      </c>
      <c r="E221" s="371" t="e">
        <f>INDEX('PY1 Data(H)'!$A$1:$CZ$265,MATCH('Unit Data from Audit Worksheet'!$A221,'PY1 Data(H)'!$A$1:$A$258,0),MATCH('Unit Data from Audit Worksheet'!$D$2,'PY1 Data(H)'!$A$1:$CZ$1,0))</f>
        <v>#N/A</v>
      </c>
      <c r="F221" s="793">
        <v>0</v>
      </c>
      <c r="G221" s="401">
        <f>IF(F221&lt;0,"Error: Enter as positive.",)</f>
        <v>0</v>
      </c>
      <c r="H221" s="17"/>
      <c r="I221" s="17"/>
      <c r="J221" s="424"/>
      <c r="K221"/>
      <c r="L221" s="547"/>
    </row>
    <row r="222" spans="1:1881" s="426" customFormat="1" ht="33" customHeight="1" x14ac:dyDescent="0.3">
      <c r="A222" s="100"/>
      <c r="B222" s="737" t="s">
        <v>353</v>
      </c>
      <c r="C222" s="710"/>
      <c r="D222" s="89"/>
      <c r="E222" s="425"/>
      <c r="F222" s="413"/>
      <c r="G222" s="400"/>
      <c r="H222" s="17"/>
      <c r="I222" s="17"/>
      <c r="J222" s="424"/>
      <c r="K222"/>
      <c r="L222" s="547"/>
      <c r="M222"/>
      <c r="N222" s="18"/>
      <c r="O222" s="186"/>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6" customFormat="1" ht="110.25" customHeight="1" x14ac:dyDescent="0.3">
      <c r="A223" s="100">
        <v>622</v>
      </c>
      <c r="B223" s="427" t="s">
        <v>324</v>
      </c>
      <c r="C223" s="117" t="s">
        <v>352</v>
      </c>
      <c r="D223" s="116" t="s">
        <v>658</v>
      </c>
      <c r="E223" s="371" t="e">
        <f>INDEX('PY1 Data(H)'!$A$1:$CZ$265,MATCH('Unit Data from Audit Worksheet'!$A223,'PY1 Data(H)'!$A$1:$A$258,0),MATCH('Unit Data from Audit Worksheet'!$D$2,'PY1 Data(H)'!$A$1:$CZ$1,0))</f>
        <v>#N/A</v>
      </c>
      <c r="F223" s="802">
        <v>0</v>
      </c>
      <c r="G223" s="401"/>
      <c r="H223" s="17"/>
      <c r="I223" s="17"/>
      <c r="J223" s="424"/>
      <c r="K223"/>
      <c r="L223" s="547"/>
      <c r="M223"/>
      <c r="N223" s="18"/>
      <c r="O223" s="186"/>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6" customFormat="1" ht="191.4" customHeight="1" x14ac:dyDescent="0.3">
      <c r="A224" s="100">
        <v>577</v>
      </c>
      <c r="B224" s="427" t="s">
        <v>324</v>
      </c>
      <c r="C224" s="373" t="s">
        <v>296</v>
      </c>
      <c r="D224" s="226" t="s">
        <v>1454</v>
      </c>
      <c r="E224" s="528"/>
      <c r="F224" s="793"/>
      <c r="G224" s="530" t="str">
        <f>IF(F224="Yes","In this cell - Please include the name of the plan, a brief description of the benefit and the population group that received the benefits."," ")</f>
        <v xml:space="preserve"> </v>
      </c>
      <c r="H224" s="17"/>
      <c r="I224" s="17"/>
      <c r="J224" s="424"/>
      <c r="K224"/>
      <c r="L224" s="547"/>
      <c r="M224"/>
      <c r="N224" s="18"/>
      <c r="O224" s="186"/>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6" customFormat="1" ht="30.75" customHeight="1" x14ac:dyDescent="0.3">
      <c r="A225" s="100"/>
      <c r="B225" s="737" t="s">
        <v>284</v>
      </c>
      <c r="C225" s="710"/>
      <c r="D225" s="89"/>
      <c r="E225" s="425"/>
      <c r="F225" s="428"/>
      <c r="G225" s="400"/>
      <c r="H225" s="17"/>
      <c r="I225" s="17"/>
      <c r="J225" s="72"/>
      <c r="K225"/>
      <c r="L225" s="547"/>
      <c r="M225"/>
      <c r="N225" s="18"/>
      <c r="O225" s="186"/>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6" customFormat="1" ht="81.75" customHeight="1" x14ac:dyDescent="0.3">
      <c r="A226" s="100">
        <v>598</v>
      </c>
      <c r="B226" s="373" t="s">
        <v>58</v>
      </c>
      <c r="C226" s="373" t="s">
        <v>285</v>
      </c>
      <c r="D226" s="383" t="s">
        <v>338</v>
      </c>
      <c r="E226" s="371" t="e">
        <f>INDEX('PY1 Data(H)'!$A$1:$CZ$265,MATCH('Unit Data from Audit Worksheet'!$A226,'PY1 Data(H)'!$A$1:$A$258,0),MATCH('Unit Data from Audit Worksheet'!$D$2,'PY1 Data(H)'!$A$1:$CZ$1,0))</f>
        <v>#N/A</v>
      </c>
      <c r="F226" s="793">
        <v>0</v>
      </c>
      <c r="G226" s="401">
        <f>IF(F226&lt;0,"Error: Enter as positive.",)</f>
        <v>0</v>
      </c>
      <c r="H226" s="401"/>
      <c r="I226" s="17"/>
      <c r="J226" s="424"/>
      <c r="K226"/>
      <c r="L226" s="547"/>
      <c r="M226"/>
      <c r="N226" s="18"/>
      <c r="O226" s="186"/>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6" customFormat="1" ht="53.25" customHeight="1" x14ac:dyDescent="0.3">
      <c r="A227" s="100">
        <v>599</v>
      </c>
      <c r="B227" s="373" t="s">
        <v>58</v>
      </c>
      <c r="C227" s="373" t="s">
        <v>285</v>
      </c>
      <c r="D227" s="26" t="s">
        <v>339</v>
      </c>
      <c r="E227" s="371" t="e">
        <f>INDEX('PY1 Data(H)'!$A$1:$CZ$265,MATCH('Unit Data from Audit Worksheet'!$A227,'PY1 Data(H)'!$A$1:$A$258,0),MATCH('Unit Data from Audit Worksheet'!$D$2,'PY1 Data(H)'!$A$1:$CZ$1,0))</f>
        <v>#N/A</v>
      </c>
      <c r="F227" s="793">
        <v>0</v>
      </c>
      <c r="G227" s="430" t="str">
        <f>IF(ISBLANK(F227),"Please do not leave blank","")</f>
        <v/>
      </c>
      <c r="H227" s="401">
        <f>IF(F227&lt;0,"Error: Enter as positive.",)</f>
        <v>0</v>
      </c>
      <c r="I227" s="17"/>
      <c r="J227" s="72"/>
      <c r="K227"/>
      <c r="L227" s="547"/>
      <c r="M227"/>
      <c r="N227" s="18"/>
      <c r="O227" s="186"/>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6" customFormat="1" ht="78.75" customHeight="1" x14ac:dyDescent="0.3">
      <c r="A228" s="100">
        <v>602</v>
      </c>
      <c r="B228" s="373" t="s">
        <v>58</v>
      </c>
      <c r="C228" s="373" t="s">
        <v>285</v>
      </c>
      <c r="D228" s="99" t="s">
        <v>343</v>
      </c>
      <c r="E228" s="371" t="e">
        <f>INDEX('PY1 Data(H)'!$A$1:$CZ$265,MATCH('Unit Data from Audit Worksheet'!$A228,'PY1 Data(H)'!$A$1:$A$258,0),MATCH('Unit Data from Audit Worksheet'!$D$2,'PY1 Data(H)'!$A$1:$CZ$1,0))</f>
        <v>#N/A</v>
      </c>
      <c r="F228" s="793">
        <v>0</v>
      </c>
      <c r="G228" s="430" t="str">
        <f>IF(ISBLANK(F228),"Please do not leave blank","")</f>
        <v/>
      </c>
      <c r="H228" s="401">
        <f>IF(F228&lt;0,"Note: Number is normally positive.",)</f>
        <v>0</v>
      </c>
      <c r="I228" s="17"/>
      <c r="J228" s="72"/>
      <c r="K228"/>
      <c r="L228" s="547"/>
      <c r="M228"/>
      <c r="N228" s="18"/>
      <c r="O228" s="186"/>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6" customFormat="1" ht="90" customHeight="1" x14ac:dyDescent="0.3">
      <c r="A229" s="100">
        <v>619</v>
      </c>
      <c r="B229" s="373" t="s">
        <v>58</v>
      </c>
      <c r="C229" s="373" t="s">
        <v>347</v>
      </c>
      <c r="D229" s="87" t="s">
        <v>350</v>
      </c>
      <c r="E229" s="371" t="e">
        <f>INDEX('PY1 Data(H)'!$A$1:$CZ$265,MATCH('Unit Data from Audit Worksheet'!$A229,'PY1 Data(H)'!$A$1:$A$258,0),MATCH('Unit Data from Audit Worksheet'!$D$2,'PY1 Data(H)'!$A$1:$CZ$1,0))</f>
        <v>#N/A</v>
      </c>
      <c r="F229" s="795">
        <v>0</v>
      </c>
      <c r="G229" s="430" t="str">
        <f>IF(ISBLANK(F229),"Please do not leave blank ",IF(F229=H229,"","Please review percentage"))</f>
        <v/>
      </c>
      <c r="H229" s="985">
        <f>ROUND(IFERROR((F228/F227)*100,0),1)</f>
        <v>0</v>
      </c>
      <c r="I229" s="324"/>
      <c r="J229" s="186"/>
      <c r="K229"/>
      <c r="L229" s="547"/>
      <c r="M229"/>
      <c r="N229" s="18"/>
      <c r="O229" s="186"/>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89" t="s">
        <v>25</v>
      </c>
      <c r="C230" s="499"/>
      <c r="D230" s="492"/>
      <c r="E230" s="506"/>
      <c r="F230" s="506"/>
      <c r="G230" s="474"/>
      <c r="H230" s="17"/>
      <c r="I230" s="17"/>
      <c r="J230" s="72"/>
      <c r="K230"/>
      <c r="L230" s="547"/>
    </row>
    <row r="231" spans="1:1881" ht="151.19999999999999" customHeight="1" x14ac:dyDescent="0.3">
      <c r="A231" s="117">
        <v>621</v>
      </c>
      <c r="B231" s="117" t="s">
        <v>324</v>
      </c>
      <c r="C231" s="117" t="s">
        <v>354</v>
      </c>
      <c r="D231" s="116" t="s">
        <v>659</v>
      </c>
      <c r="E231" s="371" t="e">
        <f>INDEX('PY1 Data(H)'!$A$1:$CZ$265,MATCH('Unit Data from Audit Worksheet'!$A231,'PY1 Data(H)'!$A$1:$A$258,0),MATCH('Unit Data from Audit Worksheet'!$D$2,'PY1 Data(H)'!$A$1:$CZ$1,0))</f>
        <v>#N/A</v>
      </c>
      <c r="F231" s="793">
        <v>0</v>
      </c>
      <c r="G231" s="430" t="s">
        <v>660</v>
      </c>
      <c r="I231" s="309"/>
      <c r="K231"/>
      <c r="L231" s="547"/>
    </row>
    <row r="232" spans="1:1881" ht="178.2" customHeight="1" x14ac:dyDescent="0.3">
      <c r="A232" s="100">
        <v>547</v>
      </c>
      <c r="B232" s="373"/>
      <c r="C232" s="373" t="s">
        <v>159</v>
      </c>
      <c r="D232" s="739" t="s">
        <v>1540</v>
      </c>
      <c r="E232" s="371" t="e">
        <f>INDEX('PY1 Data(H)'!$A$1:$CZ$265,MATCH('Unit Data from Audit Worksheet'!$A232,'PY1 Data(H)'!$A$1:$A$258,0),MATCH('Unit Data from Audit Worksheet'!$D$2,'PY1 Data(H)'!$A$1:$CZ$1,0))</f>
        <v>#N/A</v>
      </c>
      <c r="F232" s="184"/>
      <c r="G232" s="429" t="str">
        <f>IF(F232&lt;1,"Please answer this question","")</f>
        <v>Please answer this question</v>
      </c>
      <c r="H232" s="402"/>
      <c r="I232" s="402"/>
      <c r="J232" s="403"/>
      <c r="K232"/>
      <c r="L232" s="547"/>
    </row>
    <row r="233" spans="1:1881" s="18" customFormat="1" ht="120" customHeight="1" x14ac:dyDescent="0.3">
      <c r="A233" s="189">
        <v>659</v>
      </c>
      <c r="B233" s="460" t="s">
        <v>58</v>
      </c>
      <c r="C233" s="460" t="s">
        <v>344</v>
      </c>
      <c r="D233" s="192" t="s">
        <v>661</v>
      </c>
      <c r="E233" s="371" t="e">
        <f>INDEX('PY1 Data(H)'!$A$1:$CZ$265,MATCH('Unit Data from Audit Worksheet'!$A233,'PY1 Data(H)'!$A$1:$A$258,0),MATCH('Unit Data from Audit Worksheet'!$D$2,'PY1 Data(H)'!$A$1:$CZ$1,0))</f>
        <v>#N/A</v>
      </c>
      <c r="F233" s="793">
        <v>0</v>
      </c>
      <c r="G233" s="430" t="s">
        <v>662</v>
      </c>
      <c r="H233" s="401">
        <f>IF(F230&lt;0,"Error: Enter as positive.",)</f>
        <v>0</v>
      </c>
      <c r="I233" s="242"/>
      <c r="J233" s="242"/>
      <c r="K233"/>
      <c r="L233" s="547"/>
      <c r="M233"/>
      <c r="O233" s="186"/>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89">
        <v>660</v>
      </c>
      <c r="B234" s="460" t="s">
        <v>58</v>
      </c>
      <c r="C234" s="460" t="s">
        <v>344</v>
      </c>
      <c r="D234" s="192" t="s">
        <v>663</v>
      </c>
      <c r="E234" s="371" t="e">
        <f>INDEX('PY1 Data(H)'!$A$1:$CZ$265,MATCH('Unit Data from Audit Worksheet'!$A234,'PY1 Data(H)'!$A$1:$A$258,0),MATCH('Unit Data from Audit Worksheet'!$D$2,'PY1 Data(H)'!$A$1:$CZ$1,0))</f>
        <v>#N/A</v>
      </c>
      <c r="F234" s="793">
        <v>0</v>
      </c>
      <c r="G234" s="430" t="str">
        <f>IF(ISBLANK(F234),"Please do not leave blank","")</f>
        <v/>
      </c>
      <c r="H234" s="401">
        <f>IF(F231&lt;0,"Note: Number is normally positive.",)</f>
        <v>0</v>
      </c>
      <c r="I234" s="17"/>
      <c r="J234" s="17"/>
      <c r="K234"/>
      <c r="L234" s="547"/>
    </row>
    <row r="235" spans="1:1881" ht="94.5" customHeight="1" x14ac:dyDescent="0.3">
      <c r="A235" s="189">
        <v>661</v>
      </c>
      <c r="B235" s="460" t="s">
        <v>58</v>
      </c>
      <c r="C235" s="460" t="s">
        <v>346</v>
      </c>
      <c r="D235" s="343" t="s">
        <v>664</v>
      </c>
      <c r="E235" s="371" t="e">
        <f>INDEX('PY1 Data(H)'!$A$1:$CZ$265,MATCH('Unit Data from Audit Worksheet'!$A235,'PY1 Data(H)'!$A$1:$A$258,0),MATCH('Unit Data from Audit Worksheet'!$D$2,'PY1 Data(H)'!$A$1:$CZ$1,0))</f>
        <v>#N/A</v>
      </c>
      <c r="F235" s="795">
        <v>0</v>
      </c>
      <c r="G235" s="430" t="str">
        <f>IF(ISBLANK(F235),"Please do not leave blank ",IF(F235=H235,"","Please review percentage"))</f>
        <v/>
      </c>
      <c r="H235" s="796">
        <f>ROUND(IFERROR((F234/F233)*100,0),1)</f>
        <v>0</v>
      </c>
      <c r="I235" s="431"/>
      <c r="J235" s="431"/>
      <c r="K235"/>
      <c r="L235" s="547"/>
    </row>
    <row r="236" spans="1:1881" ht="111.75" customHeight="1" x14ac:dyDescent="0.3">
      <c r="A236" s="100"/>
      <c r="B236" s="373"/>
      <c r="C236" s="373"/>
      <c r="D236" s="24" t="s">
        <v>26</v>
      </c>
      <c r="E236" s="371"/>
      <c r="F236" s="375"/>
      <c r="G236" s="430"/>
      <c r="H236" s="431"/>
      <c r="I236" s="1023"/>
      <c r="J236" s="432"/>
      <c r="K236"/>
      <c r="L236" s="547"/>
    </row>
    <row r="237" spans="1:1881" ht="32.25" customHeight="1" x14ac:dyDescent="0.3">
      <c r="A237" s="100"/>
      <c r="B237" s="489" t="s">
        <v>27</v>
      </c>
      <c r="C237" s="499"/>
      <c r="D237" s="492"/>
      <c r="E237" s="505"/>
      <c r="F237" s="505"/>
      <c r="G237" s="474"/>
      <c r="H237" s="17"/>
      <c r="I237" s="17"/>
      <c r="J237" s="72"/>
      <c r="K237"/>
      <c r="L237" s="547"/>
    </row>
    <row r="238" spans="1:1881" ht="63.75" customHeight="1" x14ac:dyDescent="0.3">
      <c r="A238" s="30">
        <v>371</v>
      </c>
      <c r="B238" s="4" t="s">
        <v>55</v>
      </c>
      <c r="C238" s="4" t="s">
        <v>160</v>
      </c>
      <c r="D238" s="21" t="s">
        <v>757</v>
      </c>
      <c r="E238" s="371" t="e">
        <f>INDEX('PY1 Data(H)'!$A$1:$CZ$265,MATCH('Unit Data from Audit Worksheet'!$A238,'PY1 Data(H)'!$A$1:$A$258,0),MATCH('Unit Data from Audit Worksheet'!$D$2,'PY1 Data(H)'!$A$1:$CZ$1,0))</f>
        <v>#N/A</v>
      </c>
      <c r="F238" s="793">
        <v>0</v>
      </c>
      <c r="G238" s="401">
        <f>IF(F238&lt;0,"Error: Enter as positive.",)</f>
        <v>0</v>
      </c>
      <c r="H238" s="17"/>
      <c r="I238" s="17"/>
      <c r="J238" s="72"/>
      <c r="K238"/>
      <c r="L238" s="547"/>
    </row>
    <row r="239" spans="1:1881" ht="63.75" customHeight="1" x14ac:dyDescent="0.3">
      <c r="A239" s="100">
        <v>1075</v>
      </c>
      <c r="B239" s="458" t="s">
        <v>58</v>
      </c>
      <c r="C239" s="373" t="s">
        <v>160</v>
      </c>
      <c r="D239" s="781" t="s">
        <v>1856</v>
      </c>
      <c r="E239" s="371" t="e">
        <f>INDEX('PY1 Data(H)'!$A$1:$CZ$265,MATCH('Unit Data from Audit Worksheet'!$A239,'PY1 Data(H)'!$A$1:$A$258,0),MATCH('Unit Data from Audit Worksheet'!$D$2,'PY1 Data(H)'!$A$1:$CZ$1,0))</f>
        <v>#N/A</v>
      </c>
      <c r="F239" s="793">
        <v>0</v>
      </c>
      <c r="G239" s="401"/>
      <c r="H239" s="17"/>
      <c r="I239" s="17"/>
      <c r="J239" s="72"/>
      <c r="K239" s="180"/>
      <c r="L239" s="547"/>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100">
        <v>1076</v>
      </c>
      <c r="B240" s="458" t="s">
        <v>58</v>
      </c>
      <c r="C240" s="373" t="s">
        <v>160</v>
      </c>
      <c r="D240" s="781" t="s">
        <v>1857</v>
      </c>
      <c r="E240" s="371" t="e">
        <f>INDEX('PY1 Data(H)'!$A$1:$CZ$265,MATCH('Unit Data from Audit Worksheet'!$A240,'PY1 Data(H)'!$A$1:$A$258,0),MATCH('Unit Data from Audit Worksheet'!$D$2,'PY1 Data(H)'!$A$1:$CZ$1,0))</f>
        <v>#N/A</v>
      </c>
      <c r="F240" s="793">
        <v>0</v>
      </c>
      <c r="G240" s="401"/>
      <c r="H240" s="17"/>
      <c r="I240" s="17"/>
      <c r="J240" s="72"/>
      <c r="K240" s="180"/>
      <c r="L240" s="547"/>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100">
        <v>1077</v>
      </c>
      <c r="B241" s="458" t="s">
        <v>58</v>
      </c>
      <c r="C241" s="705" t="s">
        <v>1860</v>
      </c>
      <c r="D241" s="781" t="s">
        <v>1939</v>
      </c>
      <c r="E241" s="371" t="e">
        <f>INDEX('PY1 Data(H)'!$A$1:$CZ$265,MATCH('Unit Data from Audit Worksheet'!$A241,'PY1 Data(H)'!$A$1:$A$258,0),MATCH('Unit Data from Audit Worksheet'!$D$2,'PY1 Data(H)'!$A$1:$CZ$1,0))</f>
        <v>#N/A</v>
      </c>
      <c r="F241" s="793">
        <v>0</v>
      </c>
      <c r="G241" s="401"/>
      <c r="H241" s="17"/>
      <c r="I241" s="17"/>
      <c r="J241" s="72"/>
      <c r="K241" s="180"/>
      <c r="L241" s="547"/>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58" t="s">
        <v>57</v>
      </c>
      <c r="C242" s="4" t="s">
        <v>160</v>
      </c>
      <c r="D242" s="21" t="s">
        <v>758</v>
      </c>
      <c r="E242" s="792" t="e">
        <f>INDEX('PY1 Data(H)'!$A$1:$CZ$265,MATCH('Unit Data from Audit Worksheet'!$A242,'PY1 Data(H)'!$A$1:$A$258,0),MATCH('Unit Data from Audit Worksheet'!$D$2,'PY1 Data(H)'!$A$1:$CZ$1,0))</f>
        <v>#N/A</v>
      </c>
      <c r="F242" s="184">
        <v>0</v>
      </c>
      <c r="G242" s="401">
        <f>IF(F242&lt;0,"Error: Enter as positive.",)</f>
        <v>0</v>
      </c>
      <c r="H242" s="402"/>
      <c r="I242" s="402"/>
      <c r="J242" s="403"/>
      <c r="K242"/>
      <c r="L242" s="547"/>
    </row>
    <row r="243" spans="1:123" ht="80.25" customHeight="1" x14ac:dyDescent="0.3">
      <c r="A243" s="100">
        <v>514</v>
      </c>
      <c r="B243" s="458" t="s">
        <v>57</v>
      </c>
      <c r="C243" s="4" t="s">
        <v>160</v>
      </c>
      <c r="D243" s="21" t="s">
        <v>759</v>
      </c>
      <c r="E243" s="792" t="e">
        <f>INDEX('PY1 Data(H)'!$A$1:$CZ$265,MATCH('Unit Data from Audit Worksheet'!$A243,'PY1 Data(H)'!$A$1:$A$258,0),MATCH('Unit Data from Audit Worksheet'!$D$2,'PY1 Data(H)'!$A$1:$CZ$1,0))</f>
        <v>#N/A</v>
      </c>
      <c r="F243" s="184">
        <v>0</v>
      </c>
      <c r="G243" s="401">
        <f>IF(F243&lt;0,"Error: Enter as positive.",)</f>
        <v>0</v>
      </c>
      <c r="H243" s="17"/>
      <c r="I243" s="402"/>
      <c r="J243" s="403"/>
      <c r="K243"/>
      <c r="L243" s="547"/>
    </row>
    <row r="244" spans="1:123" ht="80.25" customHeight="1" x14ac:dyDescent="0.3">
      <c r="A244" s="100">
        <v>990</v>
      </c>
      <c r="B244" s="949" t="s">
        <v>1903</v>
      </c>
      <c r="C244" s="373" t="s">
        <v>160</v>
      </c>
      <c r="D244" s="21" t="s">
        <v>1428</v>
      </c>
      <c r="E244" s="792" t="e">
        <f>INDEX('PY1 Data(H)'!$A$1:$CZ$265,MATCH('Unit Data from Audit Worksheet'!$A244,'PY1 Data(H)'!$A$1:$A$258,0),MATCH('Unit Data from Audit Worksheet'!$D$2,'PY1 Data(H)'!$A$1:$CZ$1,0))</f>
        <v>#N/A</v>
      </c>
      <c r="F244" s="184">
        <v>0</v>
      </c>
      <c r="G244" s="401">
        <f>IF(F244&lt;0,"Error: Enter as positive.",)</f>
        <v>0</v>
      </c>
      <c r="H244" s="17"/>
      <c r="I244" s="402"/>
      <c r="J244" s="403"/>
      <c r="K244"/>
      <c r="L244" s="547"/>
    </row>
    <row r="245" spans="1:123" ht="96" customHeight="1" x14ac:dyDescent="0.3">
      <c r="A245" s="373">
        <v>1051</v>
      </c>
      <c r="B245" s="951" t="s">
        <v>1899</v>
      </c>
      <c r="C245" s="705" t="s">
        <v>1433</v>
      </c>
      <c r="D245" s="781" t="s">
        <v>1424</v>
      </c>
      <c r="E245" s="792" t="e">
        <f>INDEX('PY1 Data(H)'!$A$1:$CZ$265,MATCH('Unit Data from Audit Worksheet'!$A245,'PY1 Data(H)'!$A$1:$A$258,0),MATCH('Unit Data from Audit Worksheet'!$D$2,'PY1 Data(H)'!$A$1:$CZ$1,0))</f>
        <v>#N/A</v>
      </c>
      <c r="F245" s="184">
        <v>0</v>
      </c>
      <c r="G245" s="401">
        <f>IF(F245&lt;0,"Error: Enter as positive.",)</f>
        <v>0</v>
      </c>
      <c r="H245" s="17"/>
      <c r="I245" s="402"/>
      <c r="J245" s="403"/>
      <c r="K245" s="180"/>
      <c r="L245" s="547"/>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89" t="s">
        <v>28</v>
      </c>
      <c r="C246" s="499"/>
      <c r="D246" s="492"/>
      <c r="E246" s="474"/>
      <c r="F246" s="474"/>
      <c r="G246" s="474"/>
      <c r="H246" s="17"/>
      <c r="I246" s="17"/>
      <c r="J246" s="72"/>
      <c r="K246"/>
      <c r="L246" s="547"/>
    </row>
    <row r="247" spans="1:123" ht="68.25" customHeight="1" x14ac:dyDescent="0.3">
      <c r="A247" s="100">
        <v>6</v>
      </c>
      <c r="B247" s="948" t="s">
        <v>1884</v>
      </c>
      <c r="C247" s="4" t="s">
        <v>161</v>
      </c>
      <c r="D247" s="21" t="s">
        <v>760</v>
      </c>
      <c r="E247" s="371" t="e">
        <f>INDEX('PY1 Data(H)'!$A$1:$CZ$265,MATCH('Unit Data from Audit Worksheet'!$A247,'PY1 Data(H)'!$A$1:$A$258,0),MATCH('Unit Data from Audit Worksheet'!$D$2,'PY1 Data(H)'!$A$1:$CZ$1,0))</f>
        <v>#N/A</v>
      </c>
      <c r="F247" s="793">
        <v>0</v>
      </c>
      <c r="G247" s="401">
        <f>IF(F247&lt;0,"Error: Enter as positive.",)</f>
        <v>0</v>
      </c>
      <c r="H247" s="17"/>
      <c r="I247" s="17"/>
      <c r="J247" s="72"/>
      <c r="K247"/>
      <c r="L247" s="547"/>
    </row>
    <row r="248" spans="1:123" ht="33" customHeight="1" x14ac:dyDescent="0.3">
      <c r="A248" s="100"/>
      <c r="B248" s="489" t="s">
        <v>172</v>
      </c>
      <c r="C248" s="499"/>
      <c r="D248" s="492"/>
      <c r="E248" s="484"/>
      <c r="F248" s="484"/>
      <c r="G248" s="484"/>
      <c r="H248" s="402"/>
      <c r="I248" s="402"/>
      <c r="J248" s="403"/>
      <c r="K248"/>
      <c r="L248" s="547"/>
    </row>
    <row r="249" spans="1:123" ht="141" customHeight="1" x14ac:dyDescent="0.3">
      <c r="A249" s="100">
        <v>541</v>
      </c>
      <c r="B249" s="373" t="s">
        <v>58</v>
      </c>
      <c r="C249" s="373" t="s">
        <v>761</v>
      </c>
      <c r="D249" s="370" t="s">
        <v>762</v>
      </c>
      <c r="E249" s="371" t="e">
        <f>INDEX('PY1 Data(H)'!$A$1:$CZ$265,MATCH('Unit Data from Audit Worksheet'!$A249,'PY1 Data(H)'!$A$1:$A$258,0),MATCH('Unit Data from Audit Worksheet'!$D$2,'PY1 Data(H)'!$A$1:$CZ$1,0))</f>
        <v>#N/A</v>
      </c>
      <c r="F249" s="793">
        <v>0</v>
      </c>
      <c r="G249" s="401"/>
      <c r="H249" s="402"/>
      <c r="I249" s="402"/>
      <c r="J249" s="403"/>
      <c r="K249"/>
      <c r="L249" s="547"/>
    </row>
    <row r="250" spans="1:123" ht="28.5" customHeight="1" x14ac:dyDescent="0.3">
      <c r="A250" s="100"/>
      <c r="B250" s="489" t="s">
        <v>49</v>
      </c>
      <c r="C250" s="499"/>
      <c r="D250" s="492"/>
      <c r="E250" s="503"/>
      <c r="F250" s="503"/>
      <c r="G250" s="503"/>
      <c r="H250" s="402"/>
      <c r="I250" s="402"/>
      <c r="J250" s="403"/>
      <c r="K250"/>
      <c r="L250" s="547"/>
    </row>
    <row r="251" spans="1:123" ht="91.95" customHeight="1" x14ac:dyDescent="0.3">
      <c r="A251" s="100">
        <v>542</v>
      </c>
      <c r="B251" s="373" t="s">
        <v>58</v>
      </c>
      <c r="C251" s="464" t="s">
        <v>763</v>
      </c>
      <c r="D251" s="26" t="s">
        <v>162</v>
      </c>
      <c r="E251" s="371" t="e">
        <f>INDEX('PY1 Data(H)'!$A$1:$CZ$265,MATCH('Unit Data from Audit Worksheet'!$A251,'PY1 Data(H)'!$A$1:$A$258,0),MATCH('Unit Data from Audit Worksheet'!$D$2,'PY1 Data(H)'!$A$1:$CZ$1,0))</f>
        <v>#N/A</v>
      </c>
      <c r="F251" s="793">
        <v>0</v>
      </c>
      <c r="G251" s="401"/>
      <c r="H251" s="402"/>
      <c r="I251" s="433"/>
      <c r="J251" s="433"/>
      <c r="K251"/>
      <c r="L251" s="547"/>
    </row>
    <row r="252" spans="1:123" ht="21.6" customHeight="1" x14ac:dyDescent="0.3">
      <c r="A252" s="100"/>
      <c r="B252" s="489" t="s">
        <v>764</v>
      </c>
      <c r="C252" s="704"/>
      <c r="D252" s="467"/>
      <c r="E252" s="486"/>
      <c r="F252" s="486"/>
      <c r="G252" s="486"/>
      <c r="H252" s="17"/>
      <c r="I252" s="17"/>
      <c r="J252" s="72"/>
      <c r="K252"/>
      <c r="L252" s="547"/>
    </row>
    <row r="253" spans="1:123" ht="12.6" customHeight="1" x14ac:dyDescent="0.3">
      <c r="A253" s="100"/>
      <c r="B253" s="738" t="s">
        <v>12</v>
      </c>
      <c r="C253" s="711"/>
      <c r="D253" s="467"/>
      <c r="E253" s="507"/>
      <c r="F253" s="507"/>
      <c r="G253" s="486"/>
      <c r="H253" s="17"/>
      <c r="I253" s="17"/>
      <c r="J253" s="72"/>
      <c r="K253"/>
      <c r="L253" s="547"/>
    </row>
    <row r="254" spans="1:123" ht="77.25" customHeight="1" x14ac:dyDescent="0.3">
      <c r="A254" s="100">
        <v>528</v>
      </c>
      <c r="B254" s="373" t="s">
        <v>54</v>
      </c>
      <c r="C254" s="4" t="s">
        <v>163</v>
      </c>
      <c r="D254" s="322" t="s">
        <v>1867</v>
      </c>
      <c r="E254" s="371" t="e">
        <f>INDEX('PY1 Data(H)'!$A$1:$CZ$265,MATCH('Unit Data from Audit Worksheet'!$A254,'PY1 Data(H)'!$A$1:$A$258,0),MATCH('Unit Data from Audit Worksheet'!$D$2,'PY1 Data(H)'!$A$1:$CZ$1,0))</f>
        <v>#N/A</v>
      </c>
      <c r="F254" s="793">
        <v>0</v>
      </c>
      <c r="G254" s="401">
        <f>IF(F254="","Error: Unit must enter this information if they levy taxes.",)</f>
        <v>0</v>
      </c>
      <c r="H254" s="434"/>
      <c r="I254" s="17"/>
      <c r="J254" s="72"/>
      <c r="K254"/>
      <c r="L254" s="547"/>
    </row>
    <row r="255" spans="1:123" ht="69" customHeight="1" x14ac:dyDescent="0.3">
      <c r="A255" s="100">
        <v>529</v>
      </c>
      <c r="B255" s="373" t="s">
        <v>54</v>
      </c>
      <c r="C255" s="4" t="s">
        <v>163</v>
      </c>
      <c r="D255" s="322" t="s">
        <v>765</v>
      </c>
      <c r="E255" s="371" t="e">
        <f>INDEX('PY1 Data(H)'!$A$1:$CZ$265,MATCH('Unit Data from Audit Worksheet'!$A255,'PY1 Data(H)'!$A$1:$A$258,0),MATCH('Unit Data from Audit Worksheet'!$D$2,'PY1 Data(H)'!$A$1:$CZ$1,0))</f>
        <v>#N/A</v>
      </c>
      <c r="F255" s="793">
        <v>0</v>
      </c>
      <c r="G255" s="401">
        <f>IF(F255="","Error: Unit must enter this information if they levy taxes.",)</f>
        <v>0</v>
      </c>
      <c r="H255" s="17"/>
      <c r="I255" s="17"/>
      <c r="J255" s="72"/>
      <c r="K255"/>
      <c r="L255" s="547"/>
    </row>
    <row r="256" spans="1:123" ht="69" customHeight="1" x14ac:dyDescent="0.3">
      <c r="A256" s="100">
        <v>530</v>
      </c>
      <c r="B256" s="373" t="s">
        <v>54</v>
      </c>
      <c r="C256" s="4" t="s">
        <v>163</v>
      </c>
      <c r="D256" s="465" t="s">
        <v>766</v>
      </c>
      <c r="E256" s="371" t="e">
        <f>INDEX('PY1 Data(H)'!$A$1:$CZ$265,MATCH('Unit Data from Audit Worksheet'!$A256,'PY1 Data(H)'!$A$1:$A$258,0),MATCH('Unit Data from Audit Worksheet'!$D$2,'PY1 Data(H)'!$A$1:$CZ$1,0))</f>
        <v>#N/A</v>
      </c>
      <c r="F256" s="793">
        <v>0</v>
      </c>
      <c r="G256" s="401">
        <f>IF(F256="","Error: Unit must enter this information if they levy taxes.",)</f>
        <v>0</v>
      </c>
      <c r="H256" s="17"/>
      <c r="I256" s="17"/>
      <c r="J256" s="72"/>
      <c r="K256"/>
      <c r="L256" s="547"/>
    </row>
    <row r="257" spans="1:33" ht="55.5" customHeight="1" x14ac:dyDescent="0.3">
      <c r="A257" s="100">
        <v>531</v>
      </c>
      <c r="B257" s="373" t="s">
        <v>54</v>
      </c>
      <c r="C257" s="4" t="s">
        <v>163</v>
      </c>
      <c r="D257" s="465" t="s">
        <v>767</v>
      </c>
      <c r="E257" s="371" t="e">
        <f>INDEX('PY1 Data(H)'!$A$1:$CZ$265,MATCH('Unit Data from Audit Worksheet'!$A257,'PY1 Data(H)'!$A$1:$A$258,0),MATCH('Unit Data from Audit Worksheet'!$D$2,'PY1 Data(H)'!$A$1:$CZ$1,0))</f>
        <v>#N/A</v>
      </c>
      <c r="F257" s="793">
        <v>0</v>
      </c>
      <c r="G257" s="401">
        <f>IF(F257="","Error: Unit must enter this information if they levy taxes.",)</f>
        <v>0</v>
      </c>
      <c r="H257" s="17"/>
      <c r="I257" s="17"/>
      <c r="J257" s="72"/>
      <c r="K257"/>
      <c r="L257" s="547"/>
    </row>
    <row r="258" spans="1:33" ht="69" customHeight="1" x14ac:dyDescent="0.3">
      <c r="A258" s="100">
        <v>61</v>
      </c>
      <c r="B258" s="4" t="s">
        <v>58</v>
      </c>
      <c r="C258" s="4" t="s">
        <v>163</v>
      </c>
      <c r="D258" s="26" t="s">
        <v>768</v>
      </c>
      <c r="E258" s="800" t="e">
        <f>INDEX('PY1 Data(H)'!$A$1:$CZ$265,MATCH('Unit Data from Audit Worksheet'!$A258,'PY1 Data(H)'!$A$1:$A$258,0),MATCH('Unit Data from Audit Worksheet'!$D$2,'PY1 Data(H)'!$A$1:$CZ$1,0))</f>
        <v>#N/A</v>
      </c>
      <c r="F258" s="801">
        <v>0</v>
      </c>
      <c r="G258" s="401" t="e">
        <f>IF(F258=H258," ","Please check values in account 528, 529, 530 and  531.")</f>
        <v>#DIV/0!</v>
      </c>
      <c r="H258" s="435" t="e">
        <f>ROUND((F254+F255-F256-F257)/(F254+F255)*100,2)</f>
        <v>#DIV/0!</v>
      </c>
      <c r="I258" s="17"/>
      <c r="J258" s="72"/>
      <c r="K258"/>
      <c r="L258" s="547"/>
    </row>
    <row r="259" spans="1:33" ht="69" customHeight="1" x14ac:dyDescent="0.3">
      <c r="A259" s="100">
        <v>102</v>
      </c>
      <c r="B259" s="4" t="s">
        <v>58</v>
      </c>
      <c r="C259" s="4" t="s">
        <v>163</v>
      </c>
      <c r="D259" s="53" t="s">
        <v>769</v>
      </c>
      <c r="E259" s="800" t="e">
        <f>INDEX('PY1 Data(H)'!$A$1:$CZ$265,MATCH('Unit Data from Audit Worksheet'!$A259,'PY1 Data(H)'!$A$1:$A$258,0),MATCH('Unit Data from Audit Worksheet'!$D$2,'PY1 Data(H)'!$A$1:$CZ$1,0))</f>
        <v>#N/A</v>
      </c>
      <c r="F259" s="801">
        <v>0</v>
      </c>
      <c r="G259" s="401" t="e">
        <f>IF(F259=H259," ","Please check values in account 528 and 530.")</f>
        <v>#DIV/0!</v>
      </c>
      <c r="H259" s="435" t="e">
        <f>ROUND((F254-F256)/(F254)*100,2)</f>
        <v>#DIV/0!</v>
      </c>
      <c r="I259" s="17"/>
      <c r="J259" s="72"/>
      <c r="K259"/>
      <c r="L259" s="547"/>
    </row>
    <row r="260" spans="1:33" ht="63.75" customHeight="1" x14ac:dyDescent="0.3">
      <c r="A260" s="100">
        <v>103</v>
      </c>
      <c r="B260" s="4" t="s">
        <v>58</v>
      </c>
      <c r="C260" s="4" t="s">
        <v>163</v>
      </c>
      <c r="D260" s="26" t="s">
        <v>770</v>
      </c>
      <c r="E260" s="800" t="e">
        <f>INDEX('PY1 Data(H)'!$A$1:$CZ$265,MATCH('Unit Data from Audit Worksheet'!$A260,'PY1 Data(H)'!$A$1:$A$258,0),MATCH('Unit Data from Audit Worksheet'!$D$2,'PY1 Data(H)'!$A$1:$CZ$1,0))</f>
        <v>#N/A</v>
      </c>
      <c r="F260" s="801">
        <v>0</v>
      </c>
      <c r="G260" s="401" t="e">
        <f>IF(F260=H260," ","Please check values in account 529 and 531.")</f>
        <v>#DIV/0!</v>
      </c>
      <c r="H260" s="435" t="e">
        <f>ROUND((F255-F257)/F255*100,2)</f>
        <v>#DIV/0!</v>
      </c>
      <c r="I260" s="17"/>
      <c r="J260" s="72"/>
      <c r="K260"/>
      <c r="L260" s="547"/>
      <c r="N260" s="18" t="s">
        <v>555</v>
      </c>
    </row>
    <row r="261" spans="1:33" ht="72" customHeight="1" x14ac:dyDescent="0.3">
      <c r="A261" s="100">
        <v>544</v>
      </c>
      <c r="B261" s="373" t="s">
        <v>58</v>
      </c>
      <c r="C261" s="373" t="s">
        <v>163</v>
      </c>
      <c r="D261" s="21" t="s">
        <v>771</v>
      </c>
      <c r="E261" s="652" t="e">
        <f>INDEX('PY1 Data(H)'!$A$1:$CZ$265,MATCH('Unit Data from Audit Worksheet'!$A261,'PY1 Data(H)'!$A$1:$A$258,0),MATCH('Unit Data from Audit Worksheet'!$D$2,'PY1 Data(H)'!$A$1:$CZ$1,0))</f>
        <v>#N/A</v>
      </c>
      <c r="F261" s="797">
        <v>0</v>
      </c>
      <c r="G261" s="401"/>
      <c r="H261" s="17"/>
      <c r="I261" s="705"/>
      <c r="J261" s="100"/>
      <c r="K261"/>
      <c r="L261" s="547"/>
      <c r="N261" s="18" t="s">
        <v>50</v>
      </c>
    </row>
    <row r="262" spans="1:33" ht="73.5" customHeight="1" x14ac:dyDescent="0.3">
      <c r="A262" s="100">
        <v>545</v>
      </c>
      <c r="B262" s="373" t="s">
        <v>58</v>
      </c>
      <c r="C262" s="373" t="s">
        <v>163</v>
      </c>
      <c r="D262" s="21" t="s">
        <v>772</v>
      </c>
      <c r="E262" s="529"/>
      <c r="F262" s="797">
        <v>0</v>
      </c>
      <c r="G262" s="401"/>
      <c r="H262" s="17"/>
      <c r="I262" s="1024"/>
      <c r="J262" s="127"/>
      <c r="K262"/>
      <c r="L262" s="547"/>
      <c r="N262" s="18" t="s">
        <v>51</v>
      </c>
    </row>
    <row r="263" spans="1:33" ht="66" customHeight="1" x14ac:dyDescent="0.3">
      <c r="A263" s="117">
        <v>624</v>
      </c>
      <c r="B263" s="117" t="s">
        <v>58</v>
      </c>
      <c r="C263" s="117"/>
      <c r="D263" s="116" t="s">
        <v>355</v>
      </c>
      <c r="E263" s="529"/>
      <c r="F263" s="703"/>
      <c r="G263" s="429" t="str">
        <f>IF(+F263&lt;1,"Please answer this question","")</f>
        <v>Please answer this question</v>
      </c>
      <c r="H263" s="17"/>
      <c r="I263" s="705"/>
      <c r="J263" s="100"/>
      <c r="K263"/>
      <c r="L263" s="547"/>
      <c r="N263" s="18" t="s">
        <v>556</v>
      </c>
    </row>
    <row r="264" spans="1:33" ht="70.5" customHeight="1" x14ac:dyDescent="0.3">
      <c r="A264" s="117">
        <v>648</v>
      </c>
      <c r="B264" s="953" t="s">
        <v>1902</v>
      </c>
      <c r="C264" s="117" t="s">
        <v>163</v>
      </c>
      <c r="D264" s="116" t="s">
        <v>657</v>
      </c>
      <c r="E264" s="652" t="e">
        <f>INDEX('PY1 Data(H)'!$A$1:$CZ$265,MATCH('Unit Data from Audit Worksheet'!$A264,'PY1 Data(H)'!$A$1:$A$258,0),MATCH('Unit Data from Audit Worksheet'!$D$2,'PY1 Data(H)'!$A$1:$CZ$1,0))</f>
        <v>#N/A</v>
      </c>
      <c r="F264" s="797">
        <v>0</v>
      </c>
      <c r="G264" s="429"/>
      <c r="H264" s="17"/>
      <c r="I264" s="705"/>
      <c r="J264" s="100"/>
      <c r="K264"/>
      <c r="L264" s="547"/>
    </row>
    <row r="265" spans="1:33" ht="180" customHeight="1" x14ac:dyDescent="0.3">
      <c r="A265" s="117">
        <v>991</v>
      </c>
      <c r="B265" s="953" t="s">
        <v>1899</v>
      </c>
      <c r="C265" s="117"/>
      <c r="D265" s="741" t="s">
        <v>1946</v>
      </c>
      <c r="E265" s="522"/>
      <c r="F265" s="703"/>
      <c r="G265" s="429"/>
      <c r="H265" s="1041" t="s">
        <v>1966</v>
      </c>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27.75" customHeight="1" x14ac:dyDescent="0.3">
      <c r="A266" s="100"/>
      <c r="B266" s="489" t="s">
        <v>348</v>
      </c>
      <c r="C266" s="489"/>
      <c r="D266" s="489"/>
      <c r="E266" s="508"/>
      <c r="F266" s="508"/>
      <c r="G266" s="509"/>
      <c r="H266" s="17"/>
      <c r="I266" s="705"/>
      <c r="J266" s="100"/>
      <c r="K266"/>
      <c r="L266" s="547"/>
      <c r="N266" s="18" t="s">
        <v>576</v>
      </c>
    </row>
    <row r="267" spans="1:33" ht="84.6" customHeight="1" x14ac:dyDescent="0.3">
      <c r="A267" s="100">
        <v>620</v>
      </c>
      <c r="B267" s="373" t="s">
        <v>58</v>
      </c>
      <c r="C267" s="373"/>
      <c r="D267" s="739" t="s">
        <v>1541</v>
      </c>
      <c r="E267" s="522"/>
      <c r="F267" s="703"/>
      <c r="G267" s="429" t="str">
        <f>IF(F267&lt;1,"Please answer this question","")</f>
        <v>Please answer this question</v>
      </c>
      <c r="H267" s="17"/>
      <c r="I267" s="705"/>
      <c r="J267" s="100"/>
      <c r="K267"/>
      <c r="L267" s="547"/>
      <c r="N267" s="18" t="s">
        <v>577</v>
      </c>
    </row>
    <row r="268" spans="1:33" ht="123.75" customHeight="1" x14ac:dyDescent="0.3">
      <c r="A268" s="706"/>
      <c r="B268" s="1069" t="s">
        <v>458</v>
      </c>
      <c r="C268" s="1069"/>
      <c r="D268" s="1069"/>
      <c r="E268" s="519"/>
      <c r="F268" s="519"/>
      <c r="G268" s="519"/>
      <c r="H268" s="17"/>
      <c r="I268" s="705"/>
      <c r="J268" s="100"/>
      <c r="K268"/>
      <c r="N268" s="18" t="s">
        <v>461</v>
      </c>
    </row>
    <row r="269" spans="1:33" ht="63" customHeight="1" x14ac:dyDescent="0.3">
      <c r="A269" s="189">
        <v>947</v>
      </c>
      <c r="B269" s="460"/>
      <c r="C269" s="460"/>
      <c r="D269" s="343" t="s">
        <v>420</v>
      </c>
      <c r="E269" s="567"/>
      <c r="F269" s="798"/>
      <c r="G269" s="429" t="str">
        <f>IF(ISBLANK(F269),"Please do not leave blank","")</f>
        <v>Please do not leave blank</v>
      </c>
      <c r="H269" s="17"/>
      <c r="I269" s="324"/>
      <c r="J269" s="186"/>
      <c r="K269"/>
      <c r="L269" s="186"/>
      <c r="N269" s="186"/>
      <c r="P269" s="186"/>
    </row>
    <row r="270" spans="1:33" ht="65.25" customHeight="1" x14ac:dyDescent="0.3">
      <c r="A270" s="189">
        <v>948</v>
      </c>
      <c r="B270" s="460"/>
      <c r="C270" s="460"/>
      <c r="D270" s="343" t="s">
        <v>421</v>
      </c>
      <c r="E270" s="567"/>
      <c r="F270" s="798"/>
      <c r="G270" s="429" t="str">
        <f t="shared" ref="G270:G272" si="4">IF(ISBLANK(F270),"Please do not leave blank","")</f>
        <v>Please do not leave blank</v>
      </c>
      <c r="H270" s="17"/>
      <c r="I270" s="324"/>
      <c r="J270" s="186"/>
      <c r="K270"/>
      <c r="L270" s="186"/>
      <c r="N270" s="186"/>
      <c r="P270" s="186"/>
    </row>
    <row r="271" spans="1:33" ht="76.5" customHeight="1" x14ac:dyDescent="0.3">
      <c r="A271" s="189">
        <v>949</v>
      </c>
      <c r="B271" s="460"/>
      <c r="C271" s="460"/>
      <c r="D271" s="343" t="s">
        <v>422</v>
      </c>
      <c r="E271" s="567"/>
      <c r="F271" s="798"/>
      <c r="G271" s="429" t="str">
        <f t="shared" si="4"/>
        <v>Please do not leave blank</v>
      </c>
      <c r="H271" s="17"/>
      <c r="I271" s="324"/>
      <c r="J271" s="186"/>
      <c r="K271"/>
      <c r="L271" s="186"/>
      <c r="N271" s="186"/>
      <c r="P271" s="186"/>
    </row>
    <row r="272" spans="1:33" ht="60" customHeight="1" x14ac:dyDescent="0.3">
      <c r="A272" s="189">
        <v>950</v>
      </c>
      <c r="B272" s="460"/>
      <c r="C272" s="460"/>
      <c r="D272" s="343" t="s">
        <v>1561</v>
      </c>
      <c r="E272" s="567"/>
      <c r="F272" s="798"/>
      <c r="G272" s="429" t="str">
        <f t="shared" si="4"/>
        <v>Please do not leave blank</v>
      </c>
      <c r="H272" s="17"/>
      <c r="I272" s="324"/>
      <c r="J272" s="186"/>
      <c r="K272"/>
      <c r="L272" s="186"/>
      <c r="N272" s="186"/>
      <c r="P272" s="186"/>
    </row>
    <row r="273" spans="1:16" ht="80.400000000000006" customHeight="1" x14ac:dyDescent="0.3">
      <c r="A273" s="189">
        <v>952</v>
      </c>
      <c r="B273" s="460"/>
      <c r="C273" s="460"/>
      <c r="D273" s="414" t="s">
        <v>1537</v>
      </c>
      <c r="E273" s="567"/>
      <c r="F273" s="799"/>
      <c r="G273" s="429" t="s">
        <v>791</v>
      </c>
      <c r="H273" s="17"/>
      <c r="I273" s="1025"/>
      <c r="J273" s="436"/>
      <c r="K273"/>
      <c r="L273" s="186"/>
      <c r="N273" s="186"/>
      <c r="P273" s="186"/>
    </row>
    <row r="274" spans="1:16" ht="33" customHeight="1" thickBot="1" x14ac:dyDescent="0.35">
      <c r="A274" s="100"/>
      <c r="B274" s="510"/>
      <c r="C274" s="511"/>
      <c r="D274" s="512" t="s">
        <v>411</v>
      </c>
      <c r="E274" s="498"/>
      <c r="F274" s="513"/>
      <c r="G274" s="514"/>
      <c r="H274" s="515"/>
      <c r="I274" s="324"/>
      <c r="J274" s="186"/>
      <c r="K274"/>
      <c r="L274" s="186"/>
      <c r="N274" s="186"/>
      <c r="P274" s="186"/>
    </row>
    <row r="275" spans="1:16" ht="15" thickBot="1" x14ac:dyDescent="0.35">
      <c r="B275" s="1066" t="s">
        <v>459</v>
      </c>
      <c r="C275" s="1067"/>
      <c r="D275" s="1067"/>
      <c r="E275" s="1068"/>
      <c r="F275" s="72"/>
      <c r="G275" s="429"/>
      <c r="H275" s="17"/>
      <c r="I275" s="705"/>
      <c r="J275" s="100"/>
      <c r="K275"/>
    </row>
    <row r="276" spans="1:16" ht="75.75" customHeight="1" x14ac:dyDescent="0.3">
      <c r="B276" s="1073" t="s">
        <v>460</v>
      </c>
      <c r="C276" s="1073"/>
      <c r="D276" s="1073"/>
      <c r="E276" s="1073"/>
      <c r="F276" s="72"/>
      <c r="G276" s="429"/>
      <c r="H276" s="17"/>
      <c r="I276" s="705"/>
      <c r="J276" s="100"/>
      <c r="K276"/>
    </row>
    <row r="277" spans="1:16" ht="15" thickBot="1" x14ac:dyDescent="0.35">
      <c r="A277" s="708"/>
      <c r="B277" s="437"/>
      <c r="C277" s="437"/>
      <c r="D277" s="438"/>
      <c r="E277" s="371"/>
      <c r="F277" s="72"/>
      <c r="G277" s="429"/>
      <c r="H277" s="17"/>
      <c r="I277" s="705"/>
      <c r="J277" s="100"/>
      <c r="K277"/>
    </row>
    <row r="278" spans="1:16" ht="15" thickBot="1" x14ac:dyDescent="0.35">
      <c r="B278" s="149" t="s">
        <v>400</v>
      </c>
      <c r="C278" s="150" t="s">
        <v>401</v>
      </c>
      <c r="D278" s="439"/>
      <c r="E278" s="440"/>
      <c r="F278" s="92"/>
      <c r="G278" s="429"/>
      <c r="H278" s="17"/>
      <c r="I278" s="705"/>
      <c r="J278" s="100"/>
      <c r="K278"/>
    </row>
    <row r="279" spans="1:16" ht="44.25" customHeight="1" thickBot="1" x14ac:dyDescent="0.35">
      <c r="B279" s="153" t="s">
        <v>425</v>
      </c>
      <c r="C279" s="152"/>
      <c r="D279" s="151"/>
      <c r="E279" s="374"/>
      <c r="F279" s="441"/>
      <c r="G279" s="429"/>
      <c r="H279" s="17"/>
      <c r="I279" s="705"/>
      <c r="J279" s="100"/>
      <c r="K279"/>
    </row>
    <row r="280" spans="1:16" ht="44.25" customHeight="1" thickBot="1" x14ac:dyDescent="0.35">
      <c r="B280" s="153"/>
      <c r="C280" s="159"/>
      <c r="D280" s="442" t="s">
        <v>449</v>
      </c>
      <c r="E280" s="443"/>
      <c r="F280" s="444"/>
      <c r="G280" s="444"/>
      <c r="H280" s="17"/>
      <c r="I280" s="705"/>
      <c r="J280" s="100"/>
    </row>
    <row r="281" spans="1:16" ht="32.4" customHeight="1" thickBot="1" x14ac:dyDescent="0.35">
      <c r="A281" s="277">
        <v>960</v>
      </c>
      <c r="B281" s="1080" t="s">
        <v>426</v>
      </c>
      <c r="C281" s="1081"/>
      <c r="D281" s="1031"/>
      <c r="E281" s="642" t="str">
        <f>IF(ISBLANK($D281),"&lt;&lt;&lt;&lt;&lt;&lt;&lt;&lt;&lt;&lt;&lt;&lt;&lt;&lt;&lt;","")</f>
        <v>&lt;&lt;&lt;&lt;&lt;&lt;&lt;&lt;&lt;&lt;&lt;&lt;&lt;&lt;&lt;</v>
      </c>
      <c r="F281" s="643" t="str">
        <f>IF(ISBLANK($D281),"Required","")</f>
        <v>Required</v>
      </c>
      <c r="G281" s="520"/>
      <c r="H281" s="402"/>
      <c r="I281" s="705"/>
      <c r="J281" s="100"/>
    </row>
    <row r="282" spans="1:16" ht="32.4" customHeight="1" thickBot="1" x14ac:dyDescent="0.35">
      <c r="A282" s="277">
        <v>962</v>
      </c>
      <c r="B282" s="1078" t="s">
        <v>402</v>
      </c>
      <c r="C282" s="1079"/>
      <c r="D282" s="1031"/>
      <c r="E282" s="642" t="str">
        <f>IF(ISBLANK($D282),"&lt;&lt;&lt;&lt;&lt;&lt;&lt;&lt;&lt;&lt;&lt;&lt;&lt;&lt;&lt;","")</f>
        <v>&lt;&lt;&lt;&lt;&lt;&lt;&lt;&lt;&lt;&lt;&lt;&lt;&lt;&lt;&lt;</v>
      </c>
      <c r="F282" s="643" t="str">
        <f>IF(ISBLANK($D282),"Required","")</f>
        <v>Required</v>
      </c>
      <c r="H282" s="17"/>
      <c r="I282" s="705"/>
      <c r="J282" s="100"/>
    </row>
    <row r="283" spans="1:16" ht="32.4" customHeight="1" thickBot="1" x14ac:dyDescent="0.35">
      <c r="A283" s="277">
        <v>964</v>
      </c>
      <c r="B283" s="1078" t="s">
        <v>403</v>
      </c>
      <c r="C283" s="1079"/>
      <c r="D283" s="1032"/>
      <c r="E283" s="642" t="str">
        <f>IF(ISBLANK($D283),"&lt;&lt;&lt;&lt;&lt;&lt;&lt;&lt;&lt;&lt;&lt;&lt;&lt;&lt;&lt;","")</f>
        <v>&lt;&lt;&lt;&lt;&lt;&lt;&lt;&lt;&lt;&lt;&lt;&lt;&lt;&lt;&lt;</v>
      </c>
      <c r="F283" s="643" t="str">
        <f>IF(ISBLANK($D283),"Required","")</f>
        <v>Required</v>
      </c>
      <c r="H283" s="17"/>
      <c r="I283" s="1026"/>
      <c r="J283" s="234"/>
    </row>
    <row r="284" spans="1:16" ht="32.4" customHeight="1" thickBot="1" x14ac:dyDescent="0.35">
      <c r="A284" s="641">
        <v>966</v>
      </c>
      <c r="B284" s="1074" t="s">
        <v>1535</v>
      </c>
      <c r="C284" s="1075"/>
      <c r="D284" s="1033"/>
      <c r="E284" s="642" t="str">
        <f>IF(ISBLANK($D284),"&lt;&lt;&lt;&lt;&lt;&lt;&lt;&lt;&lt;&lt;&lt;&lt;&lt;&lt;&lt;","")</f>
        <v>&lt;&lt;&lt;&lt;&lt;&lt;&lt;&lt;&lt;&lt;&lt;&lt;&lt;&lt;&lt;</v>
      </c>
      <c r="F284" s="643" t="str">
        <f>IF(ISBLANK($D284),"Required","")</f>
        <v>Required</v>
      </c>
      <c r="G284"/>
      <c r="H284" s="17"/>
      <c r="I284" s="705"/>
      <c r="J284" s="100"/>
    </row>
    <row r="285" spans="1:16" ht="32.4" customHeight="1" thickBot="1" x14ac:dyDescent="0.35">
      <c r="A285" s="641"/>
      <c r="B285" s="1074" t="s">
        <v>1536</v>
      </c>
      <c r="C285" s="1075"/>
      <c r="D285" s="1031"/>
      <c r="E285" s="644"/>
      <c r="F285" s="643"/>
      <c r="G285"/>
      <c r="H285" s="17"/>
      <c r="I285" s="705"/>
      <c r="J285" s="100"/>
    </row>
    <row r="286" spans="1:16" ht="32.4" customHeight="1" thickBot="1" x14ac:dyDescent="0.35">
      <c r="A286" s="277">
        <v>968</v>
      </c>
      <c r="B286" s="1076" t="s">
        <v>405</v>
      </c>
      <c r="C286" s="1077"/>
      <c r="D286" s="1034"/>
      <c r="E286" s="645" t="str">
        <f>IF(ISBLANK($D286),"&lt;&lt;&lt;&lt;&lt;&lt;&lt;&lt;&lt;&lt;&lt;&lt;&lt;&lt;&lt;","")</f>
        <v>&lt;&lt;&lt;&lt;&lt;&lt;&lt;&lt;&lt;&lt;&lt;&lt;&lt;&lt;&lt;</v>
      </c>
      <c r="F286" s="643" t="str">
        <f>IF(ISBLANK($D286),"Required","")</f>
        <v>Required</v>
      </c>
      <c r="H286" s="17"/>
      <c r="I286" s="705"/>
      <c r="J286" s="100"/>
    </row>
    <row r="287" spans="1:16" ht="17.399999999999999" customHeight="1" x14ac:dyDescent="0.3">
      <c r="A287" s="100"/>
      <c r="B287" s="516"/>
      <c r="C287" s="516"/>
      <c r="D287" s="521" t="s">
        <v>45</v>
      </c>
      <c r="E287" s="517"/>
      <c r="F287" s="517"/>
      <c r="G287" s="517"/>
      <c r="H287" s="518"/>
      <c r="I287" s="100"/>
      <c r="J287" s="100"/>
    </row>
    <row r="288" spans="1:16" x14ac:dyDescent="0.3">
      <c r="A288" s="100"/>
      <c r="B288" s="373"/>
      <c r="C288" s="373"/>
      <c r="D288" s="157"/>
      <c r="E288" s="187"/>
      <c r="F288" s="445"/>
      <c r="G288" s="445"/>
      <c r="H288" s="17"/>
      <c r="I288" s="100"/>
      <c r="J288" s="100"/>
    </row>
    <row r="289" spans="1:10" x14ac:dyDescent="0.3">
      <c r="A289" s="100"/>
      <c r="B289" s="373"/>
      <c r="C289" s="373"/>
      <c r="D289" s="21"/>
      <c r="E289" s="371"/>
      <c r="F289" s="445"/>
      <c r="G289" s="445"/>
      <c r="H289" s="17"/>
      <c r="I289" s="100"/>
      <c r="J289" s="100"/>
    </row>
    <row r="290" spans="1:10" x14ac:dyDescent="0.3">
      <c r="A290" s="709">
        <f>SUBTOTAL(109,A9:A286)</f>
        <v>106600</v>
      </c>
      <c r="E290" s="547"/>
    </row>
    <row r="291" spans="1:10" x14ac:dyDescent="0.3">
      <c r="A291" s="100"/>
      <c r="B291" s="466"/>
      <c r="C291" s="466"/>
      <c r="D291" s="446"/>
      <c r="E291" s="250"/>
      <c r="F291" s="18"/>
      <c r="G291" s="447"/>
      <c r="H291" s="17"/>
      <c r="I291" s="100"/>
      <c r="J291" s="100"/>
    </row>
    <row r="292" spans="1:10" x14ac:dyDescent="0.3">
      <c r="B292" s="277"/>
      <c r="C292" s="277"/>
      <c r="D292" s="446" t="s">
        <v>1661</v>
      </c>
      <c r="E292" s="250" t="e">
        <f>SUM(E9:E267)</f>
        <v>#N/A</v>
      </c>
      <c r="F292" s="186"/>
      <c r="G292" s="447"/>
      <c r="H292" s="17"/>
      <c r="I292" s="100"/>
      <c r="J292" s="100"/>
    </row>
    <row r="293" spans="1:10" x14ac:dyDescent="0.3">
      <c r="B293" s="277"/>
      <c r="C293" s="277"/>
      <c r="D293" s="448"/>
      <c r="E293" s="250" t="e">
        <f>E191</f>
        <v>#N/A</v>
      </c>
      <c r="F293" s="186"/>
      <c r="G293" s="447"/>
      <c r="H293" s="17"/>
      <c r="I293" s="100"/>
      <c r="J293" s="100"/>
    </row>
    <row r="294" spans="1:10" x14ac:dyDescent="0.3">
      <c r="B294" s="277"/>
      <c r="C294" s="277"/>
      <c r="D294" s="448"/>
      <c r="E294" s="250" t="e">
        <f>E198</f>
        <v>#N/A</v>
      </c>
      <c r="F294" s="186"/>
      <c r="G294" s="447"/>
      <c r="H294" s="17"/>
      <c r="I294" s="100"/>
      <c r="J294" s="100"/>
    </row>
    <row r="295" spans="1:10" x14ac:dyDescent="0.3">
      <c r="B295" s="277"/>
      <c r="C295" s="277"/>
      <c r="D295" s="448"/>
      <c r="E295" s="250" t="e">
        <f>E204</f>
        <v>#N/A</v>
      </c>
      <c r="F295" s="186"/>
      <c r="G295" s="447"/>
      <c r="H295" s="17"/>
      <c r="I295" s="100"/>
      <c r="J295" s="100"/>
    </row>
    <row r="296" spans="1:10" x14ac:dyDescent="0.3">
      <c r="B296" s="277"/>
      <c r="C296" s="277"/>
      <c r="D296" s="448"/>
      <c r="E296" s="250" t="e">
        <f>E210</f>
        <v>#N/A</v>
      </c>
      <c r="F296" s="186"/>
      <c r="G296" s="447"/>
      <c r="H296" s="17"/>
      <c r="I296" s="100"/>
      <c r="J296" s="100"/>
    </row>
    <row r="297" spans="1:10" x14ac:dyDescent="0.3">
      <c r="D297" s="314"/>
      <c r="E297" s="250" t="e">
        <f>E211</f>
        <v>#N/A</v>
      </c>
      <c r="F297" s="186"/>
      <c r="H297" s="17"/>
      <c r="I297" s="100"/>
      <c r="J297" s="100"/>
    </row>
    <row r="298" spans="1:10" x14ac:dyDescent="0.3">
      <c r="D298" s="314"/>
      <c r="E298" s="251"/>
      <c r="F298" s="186"/>
      <c r="H298" s="17"/>
      <c r="I298" s="100"/>
      <c r="J298" s="100"/>
    </row>
    <row r="299" spans="1:10" x14ac:dyDescent="0.3">
      <c r="D299" s="314"/>
      <c r="E299" s="250" t="e">
        <f>E292-E293-E294-E295-E296-E297</f>
        <v>#N/A</v>
      </c>
      <c r="F299" s="186"/>
      <c r="H299" s="17"/>
      <c r="I299" s="100"/>
      <c r="J299" s="100"/>
    </row>
    <row r="300" spans="1:10" x14ac:dyDescent="0.3">
      <c r="D300" s="314"/>
      <c r="E300" s="187"/>
      <c r="F300" s="186"/>
      <c r="I300" s="100"/>
      <c r="J300" s="100"/>
    </row>
    <row r="301" spans="1:10" x14ac:dyDescent="0.3">
      <c r="E301" s="249"/>
      <c r="F301" s="186"/>
      <c r="G301" s="450"/>
      <c r="I301" s="100"/>
      <c r="J301" s="100"/>
    </row>
    <row r="302" spans="1:10" x14ac:dyDescent="0.3">
      <c r="E302" s="187"/>
      <c r="F302" s="186"/>
      <c r="I302" s="100"/>
      <c r="J302" s="100"/>
    </row>
    <row r="303" spans="1:10" x14ac:dyDescent="0.3">
      <c r="E303" s="187"/>
      <c r="F303" s="186"/>
      <c r="I303" s="100"/>
      <c r="J303" s="100"/>
    </row>
    <row r="304" spans="1:10" x14ac:dyDescent="0.3">
      <c r="E304" s="187"/>
      <c r="F304" s="186"/>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6"/>
      <c r="J312" s="186"/>
    </row>
    <row r="313" spans="9:12" x14ac:dyDescent="0.3">
      <c r="I313" s="186"/>
      <c r="J313" s="186"/>
      <c r="L313" s="187"/>
    </row>
    <row r="314" spans="9:12" x14ac:dyDescent="0.3">
      <c r="I314" s="186"/>
      <c r="J314" s="186"/>
      <c r="L314" s="187"/>
    </row>
    <row r="315" spans="9:12" x14ac:dyDescent="0.3">
      <c r="I315" s="186"/>
      <c r="J315" s="186"/>
      <c r="L315" s="187"/>
    </row>
    <row r="316" spans="9:12" x14ac:dyDescent="0.3">
      <c r="I316" s="186"/>
      <c r="J316" s="186"/>
      <c r="L316" s="187"/>
    </row>
    <row r="317" spans="9:12" x14ac:dyDescent="0.3">
      <c r="I317" s="186"/>
      <c r="J317" s="186"/>
      <c r="L317" s="187"/>
    </row>
    <row r="318" spans="9:12" x14ac:dyDescent="0.3">
      <c r="I318" s="186"/>
      <c r="J318" s="186"/>
      <c r="L318" s="187"/>
    </row>
    <row r="319" spans="9:12" x14ac:dyDescent="0.3">
      <c r="I319" s="100"/>
      <c r="J319" s="100"/>
      <c r="L319" s="187"/>
    </row>
    <row r="320" spans="9:12" x14ac:dyDescent="0.3">
      <c r="I320" s="100"/>
      <c r="J320" s="100"/>
      <c r="K320" s="187"/>
      <c r="L320" s="187"/>
    </row>
    <row r="321" spans="9:12" x14ac:dyDescent="0.3">
      <c r="I321" s="100"/>
      <c r="J321" s="100"/>
      <c r="K321" s="187"/>
      <c r="L321" s="187"/>
    </row>
    <row r="322" spans="9:12" x14ac:dyDescent="0.3">
      <c r="I322" s="100"/>
      <c r="J322" s="100"/>
      <c r="K322" s="187"/>
      <c r="L322" s="187"/>
    </row>
    <row r="323" spans="9:12" x14ac:dyDescent="0.3">
      <c r="I323" s="100"/>
      <c r="J323" s="100"/>
      <c r="K323" s="187"/>
      <c r="L323" s="187"/>
    </row>
    <row r="324" spans="9:12" x14ac:dyDescent="0.3">
      <c r="I324" s="100"/>
      <c r="J324" s="100"/>
      <c r="K324" s="187"/>
      <c r="L324" s="187"/>
    </row>
    <row r="325" spans="9:12" x14ac:dyDescent="0.3">
      <c r="I325" s="100"/>
      <c r="J325" s="100"/>
      <c r="K325" s="187"/>
      <c r="L325" s="187"/>
    </row>
    <row r="326" spans="9:12" x14ac:dyDescent="0.3">
      <c r="I326" s="100"/>
      <c r="J326" s="100"/>
      <c r="K326" s="187"/>
      <c r="L326" s="187"/>
    </row>
    <row r="327" spans="9:12" x14ac:dyDescent="0.3">
      <c r="I327" s="100"/>
      <c r="J327" s="100"/>
      <c r="K327" s="187"/>
      <c r="L327" s="187"/>
    </row>
    <row r="328" spans="9:12" x14ac:dyDescent="0.3">
      <c r="I328" s="186"/>
      <c r="J328" s="186"/>
      <c r="K328" s="187"/>
      <c r="L328" s="187"/>
    </row>
    <row r="329" spans="9:12" x14ac:dyDescent="0.3">
      <c r="I329" s="186"/>
      <c r="J329" s="186"/>
      <c r="K329" s="187"/>
      <c r="L329" s="187"/>
    </row>
    <row r="330" spans="9:12" x14ac:dyDescent="0.3">
      <c r="I330" s="186"/>
      <c r="J330" s="186"/>
      <c r="K330" s="187"/>
      <c r="L330" s="187"/>
    </row>
    <row r="331" spans="9:12" x14ac:dyDescent="0.3">
      <c r="I331" s="186"/>
      <c r="J331" s="186"/>
      <c r="K331" s="187"/>
      <c r="L331" s="187"/>
    </row>
    <row r="332" spans="9:12" x14ac:dyDescent="0.3">
      <c r="I332" s="186"/>
      <c r="J332" s="186"/>
      <c r="K332" s="187"/>
      <c r="L332" s="187"/>
    </row>
    <row r="333" spans="9:12" x14ac:dyDescent="0.3">
      <c r="I333" s="186"/>
      <c r="J333" s="186"/>
      <c r="K333" s="187"/>
      <c r="L333" s="187"/>
    </row>
    <row r="334" spans="9:12" x14ac:dyDescent="0.3">
      <c r="I334" s="186"/>
      <c r="J334" s="186"/>
      <c r="K334" s="187"/>
      <c r="L334" s="187"/>
    </row>
    <row r="335" spans="9:12" x14ac:dyDescent="0.3">
      <c r="I335" s="186"/>
      <c r="J335" s="186"/>
      <c r="K335" s="187"/>
      <c r="L335" s="187"/>
    </row>
    <row r="336" spans="9:12" x14ac:dyDescent="0.3">
      <c r="I336" s="186"/>
      <c r="J336" s="186"/>
      <c r="K336" s="187"/>
      <c r="L336" s="187"/>
    </row>
    <row r="337" spans="8:12" x14ac:dyDescent="0.3">
      <c r="I337" s="186"/>
      <c r="J337" s="186"/>
      <c r="K337" s="187"/>
      <c r="L337" s="187"/>
    </row>
    <row r="338" spans="8:12" x14ac:dyDescent="0.3">
      <c r="I338" s="186"/>
      <c r="J338" s="186"/>
      <c r="K338" s="187"/>
      <c r="L338" s="187"/>
    </row>
    <row r="339" spans="8:12" x14ac:dyDescent="0.3">
      <c r="I339" s="186"/>
      <c r="J339" s="186"/>
      <c r="K339" s="187"/>
      <c r="L339" s="187"/>
    </row>
    <row r="340" spans="8:12" x14ac:dyDescent="0.3">
      <c r="I340" s="186"/>
      <c r="J340" s="186"/>
      <c r="K340" s="187"/>
      <c r="L340" s="187"/>
    </row>
    <row r="341" spans="8:12" x14ac:dyDescent="0.3">
      <c r="I341" s="186"/>
      <c r="J341" s="186"/>
      <c r="K341" s="187"/>
      <c r="L341" s="187"/>
    </row>
    <row r="342" spans="8:12" x14ac:dyDescent="0.3">
      <c r="I342" s="186"/>
      <c r="J342" s="186"/>
      <c r="K342" s="187"/>
      <c r="L342" s="187"/>
    </row>
    <row r="343" spans="8:12" x14ac:dyDescent="0.3">
      <c r="I343" s="186"/>
      <c r="J343" s="186"/>
      <c r="K343" s="187"/>
      <c r="L343" s="187"/>
    </row>
    <row r="344" spans="8:12" x14ac:dyDescent="0.3">
      <c r="I344" s="186"/>
      <c r="J344" s="186"/>
      <c r="K344" s="187"/>
      <c r="L344" s="187"/>
    </row>
    <row r="345" spans="8:12" x14ac:dyDescent="0.3">
      <c r="I345" s="186"/>
      <c r="J345" s="186"/>
      <c r="K345" s="187"/>
      <c r="L345" s="187"/>
    </row>
    <row r="346" spans="8:12" x14ac:dyDescent="0.3">
      <c r="H346" s="309" t="s">
        <v>1855</v>
      </c>
      <c r="I346" s="186"/>
      <c r="J346" s="186"/>
      <c r="K346" s="187"/>
      <c r="L346" s="187"/>
    </row>
    <row r="347" spans="8:12" x14ac:dyDescent="0.3">
      <c r="I347" s="186"/>
      <c r="J347" s="186"/>
      <c r="K347" s="187"/>
      <c r="L347" s="187"/>
    </row>
    <row r="348" spans="8:12" x14ac:dyDescent="0.3">
      <c r="I348" s="186"/>
      <c r="J348" s="186"/>
      <c r="K348" s="187"/>
      <c r="L348" s="187"/>
    </row>
    <row r="349" spans="8:12" x14ac:dyDescent="0.3">
      <c r="I349" s="186"/>
      <c r="J349" s="186"/>
      <c r="K349" s="187"/>
      <c r="L349" s="187"/>
    </row>
    <row r="350" spans="8:12" x14ac:dyDescent="0.3">
      <c r="I350" s="186"/>
      <c r="J350" s="186"/>
      <c r="K350" s="187"/>
      <c r="L350" s="187"/>
    </row>
    <row r="351" spans="8:12" x14ac:dyDescent="0.3">
      <c r="I351" s="186"/>
      <c r="J351" s="186"/>
      <c r="K351" s="187"/>
      <c r="L351" s="187"/>
    </row>
    <row r="352" spans="8:12" x14ac:dyDescent="0.3">
      <c r="I352" s="186"/>
      <c r="J352" s="186"/>
      <c r="K352" s="187"/>
      <c r="L352" s="187"/>
    </row>
    <row r="353" spans="9:12" x14ac:dyDescent="0.3">
      <c r="I353" s="186"/>
      <c r="J353" s="186"/>
      <c r="K353" s="187"/>
      <c r="L353" s="187"/>
    </row>
    <row r="354" spans="9:12" x14ac:dyDescent="0.3">
      <c r="I354" s="186"/>
      <c r="J354" s="186"/>
      <c r="K354" s="187"/>
      <c r="L354" s="187"/>
    </row>
    <row r="355" spans="9:12" x14ac:dyDescent="0.3">
      <c r="I355" s="186"/>
      <c r="J355" s="186"/>
      <c r="K355" s="187"/>
      <c r="L355" s="187"/>
    </row>
    <row r="356" spans="9:12" x14ac:dyDescent="0.3">
      <c r="I356" s="186"/>
      <c r="J356" s="186"/>
      <c r="K356" s="187"/>
      <c r="L356" s="187"/>
    </row>
    <row r="357" spans="9:12" x14ac:dyDescent="0.3">
      <c r="I357" s="186"/>
      <c r="J357" s="186"/>
      <c r="K357" s="187"/>
      <c r="L357" s="187"/>
    </row>
    <row r="358" spans="9:12" x14ac:dyDescent="0.3">
      <c r="I358" s="186"/>
      <c r="J358" s="186"/>
      <c r="K358" s="187"/>
      <c r="L358" s="187"/>
    </row>
    <row r="359" spans="9:12" x14ac:dyDescent="0.3">
      <c r="I359" s="186"/>
      <c r="J359" s="186"/>
      <c r="K359" s="187"/>
      <c r="L359" s="187"/>
    </row>
    <row r="360" spans="9:12" x14ac:dyDescent="0.3">
      <c r="I360" s="186"/>
      <c r="J360" s="186"/>
      <c r="K360" s="187"/>
      <c r="L360" s="187"/>
    </row>
    <row r="361" spans="9:12" x14ac:dyDescent="0.3">
      <c r="I361" s="186"/>
      <c r="J361" s="186"/>
      <c r="K361" s="187"/>
      <c r="L361" s="187"/>
    </row>
    <row r="362" spans="9:12" x14ac:dyDescent="0.3">
      <c r="I362" s="186"/>
      <c r="J362" s="186"/>
      <c r="K362" s="187"/>
      <c r="L362" s="187"/>
    </row>
    <row r="363" spans="9:12" x14ac:dyDescent="0.3">
      <c r="I363" s="186"/>
      <c r="J363" s="186"/>
      <c r="K363" s="187"/>
      <c r="L363" s="187"/>
    </row>
    <row r="364" spans="9:12" x14ac:dyDescent="0.3">
      <c r="I364" s="186"/>
      <c r="J364" s="186"/>
      <c r="K364" s="187"/>
      <c r="L364" s="187"/>
    </row>
    <row r="365" spans="9:12" x14ac:dyDescent="0.3">
      <c r="I365" s="186"/>
      <c r="J365" s="186"/>
      <c r="K365" s="187"/>
      <c r="L365" s="187"/>
    </row>
    <row r="366" spans="9:12" x14ac:dyDescent="0.3">
      <c r="I366" s="186"/>
      <c r="J366" s="186"/>
      <c r="K366" s="187"/>
      <c r="L366" s="187"/>
    </row>
    <row r="367" spans="9:12" x14ac:dyDescent="0.3">
      <c r="I367" s="186"/>
      <c r="J367" s="186"/>
      <c r="K367" s="187"/>
      <c r="L367" s="187"/>
    </row>
    <row r="368" spans="9:12" x14ac:dyDescent="0.3">
      <c r="I368" s="186"/>
      <c r="J368" s="186"/>
      <c r="K368" s="187"/>
      <c r="L368" s="187"/>
    </row>
    <row r="369" spans="9:12" x14ac:dyDescent="0.3">
      <c r="I369" s="186"/>
      <c r="J369" s="186"/>
      <c r="K369" s="187"/>
      <c r="L369" s="187"/>
    </row>
    <row r="370" spans="9:12" x14ac:dyDescent="0.3">
      <c r="I370" s="186"/>
      <c r="J370" s="186"/>
      <c r="K370" s="187"/>
      <c r="L370" s="187"/>
    </row>
    <row r="371" spans="9:12" x14ac:dyDescent="0.3">
      <c r="I371" s="186"/>
      <c r="J371" s="186"/>
      <c r="K371" s="187"/>
      <c r="L371" s="187"/>
    </row>
    <row r="372" spans="9:12" x14ac:dyDescent="0.3">
      <c r="I372" s="186"/>
      <c r="J372" s="186"/>
      <c r="K372" s="187"/>
      <c r="L372" s="187"/>
    </row>
    <row r="373" spans="9:12" x14ac:dyDescent="0.3">
      <c r="I373" s="186"/>
      <c r="J373" s="186"/>
      <c r="K373" s="187"/>
      <c r="L373" s="187"/>
    </row>
    <row r="374" spans="9:12" x14ac:dyDescent="0.3">
      <c r="I374" s="186"/>
      <c r="J374" s="186"/>
      <c r="K374" s="187"/>
      <c r="L374" s="187"/>
    </row>
    <row r="375" spans="9:12" x14ac:dyDescent="0.3">
      <c r="I375" s="186"/>
      <c r="J375" s="186"/>
      <c r="K375" s="187"/>
      <c r="L375" s="187"/>
    </row>
    <row r="376" spans="9:12" x14ac:dyDescent="0.3">
      <c r="I376" s="186"/>
      <c r="J376" s="186"/>
      <c r="K376" s="187"/>
      <c r="L376" s="187"/>
    </row>
    <row r="377" spans="9:12" x14ac:dyDescent="0.3">
      <c r="I377" s="186"/>
      <c r="J377" s="186"/>
      <c r="K377" s="187"/>
      <c r="L377" s="187"/>
    </row>
    <row r="378" spans="9:12" x14ac:dyDescent="0.3">
      <c r="I378" s="186"/>
      <c r="J378" s="186"/>
      <c r="K378" s="187"/>
      <c r="L378" s="187"/>
    </row>
    <row r="379" spans="9:12" x14ac:dyDescent="0.3">
      <c r="I379" s="186"/>
      <c r="J379" s="186"/>
      <c r="K379" s="187"/>
      <c r="L379" s="187"/>
    </row>
    <row r="380" spans="9:12" x14ac:dyDescent="0.3">
      <c r="I380" s="186"/>
      <c r="J380" s="186"/>
      <c r="K380" s="187"/>
      <c r="L380" s="187"/>
    </row>
    <row r="381" spans="9:12" x14ac:dyDescent="0.3">
      <c r="I381" s="186"/>
      <c r="J381" s="186"/>
      <c r="K381" s="187"/>
      <c r="L381" s="187"/>
    </row>
    <row r="382" spans="9:12" x14ac:dyDescent="0.3">
      <c r="I382" s="186"/>
      <c r="J382" s="186"/>
      <c r="K382" s="187"/>
    </row>
    <row r="383" spans="9:12" x14ac:dyDescent="0.3">
      <c r="I383" s="186"/>
      <c r="J383" s="186"/>
      <c r="K383" s="187"/>
    </row>
    <row r="384" spans="9:12" x14ac:dyDescent="0.3">
      <c r="I384" s="186"/>
      <c r="J384" s="186"/>
      <c r="K384" s="187"/>
    </row>
    <row r="385" spans="9:11" x14ac:dyDescent="0.3">
      <c r="I385" s="186"/>
      <c r="J385" s="186"/>
      <c r="K385" s="187"/>
    </row>
    <row r="386" spans="9:11" x14ac:dyDescent="0.3">
      <c r="I386" s="186"/>
      <c r="J386" s="186"/>
      <c r="K386" s="187"/>
    </row>
    <row r="387" spans="9:11" x14ac:dyDescent="0.3">
      <c r="I387" s="186"/>
      <c r="J387" s="186"/>
      <c r="K387" s="187"/>
    </row>
    <row r="388" spans="9:11" x14ac:dyDescent="0.3">
      <c r="I388" s="186"/>
      <c r="J388" s="186"/>
      <c r="K388" s="187"/>
    </row>
    <row r="389" spans="9:11" x14ac:dyDescent="0.3">
      <c r="I389" s="186"/>
      <c r="J389" s="186"/>
    </row>
    <row r="390" spans="9:11" x14ac:dyDescent="0.3">
      <c r="I390" s="186"/>
      <c r="J390" s="186"/>
    </row>
    <row r="391" spans="9:11" x14ac:dyDescent="0.3">
      <c r="I391" s="186"/>
      <c r="J391" s="186"/>
    </row>
    <row r="392" spans="9:11" x14ac:dyDescent="0.3">
      <c r="I392" s="186"/>
      <c r="J392" s="186"/>
    </row>
    <row r="393" spans="9:11" x14ac:dyDescent="0.3">
      <c r="I393" s="186"/>
      <c r="J393" s="186"/>
    </row>
    <row r="394" spans="9:11" x14ac:dyDescent="0.3">
      <c r="I394" s="186"/>
      <c r="J394" s="186"/>
    </row>
    <row r="395" spans="9:11" x14ac:dyDescent="0.3">
      <c r="I395" s="186"/>
      <c r="J395" s="186"/>
    </row>
    <row r="396" spans="9:11" x14ac:dyDescent="0.3">
      <c r="I396" s="186"/>
      <c r="J396" s="186"/>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O01impv8IHpLWFriI+6EvZ5WQ9JPyn4ZbLoGbo2yy4MSFARbW8IvWCGjbXux241OvhTSiBqX7vcuIaoBJ7BtkA==" saltValue="QHFTlBrSJ5apBJB/AWILOg==" spinCount="100000" sheet="1" formatCells="0"/>
  <dataConsolidate link="1"/>
  <mergeCells count="14">
    <mergeCell ref="B276:E276"/>
    <mergeCell ref="B284:C284"/>
    <mergeCell ref="B286:C286"/>
    <mergeCell ref="B283:C283"/>
    <mergeCell ref="B281:C281"/>
    <mergeCell ref="B282:C282"/>
    <mergeCell ref="B285:C285"/>
    <mergeCell ref="E2:G2"/>
    <mergeCell ref="B2:C2"/>
    <mergeCell ref="B124:D124"/>
    <mergeCell ref="B275:E275"/>
    <mergeCell ref="B268:D268"/>
    <mergeCell ref="B6:G6"/>
    <mergeCell ref="B7:G7"/>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Names(H)'!$A$1:$A$77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4" customWidth="1"/>
    <col min="5" max="5" width="25.5546875" customWidth="1"/>
    <col min="6" max="6" width="23" customWidth="1"/>
    <col min="7" max="7" width="32.109375" customWidth="1"/>
    <col min="8" max="9" width="8.88671875" style="624"/>
    <col min="10" max="10" width="1.6640625" style="624" customWidth="1"/>
    <col min="11" max="12" width="8.88671875" style="624" hidden="1" customWidth="1"/>
    <col min="13" max="13" width="13" style="624" customWidth="1"/>
  </cols>
  <sheetData>
    <row r="1" spans="1:13" s="558" customFormat="1" ht="12" customHeight="1" thickBot="1" x14ac:dyDescent="0.35">
      <c r="A1" s="557"/>
      <c r="D1" s="617"/>
      <c r="E1"/>
      <c r="F1"/>
      <c r="G1"/>
      <c r="H1" s="623"/>
      <c r="I1" s="623"/>
      <c r="J1" s="623"/>
      <c r="K1" s="623"/>
      <c r="L1" s="623"/>
      <c r="M1" s="623"/>
    </row>
    <row r="2" spans="1:13" ht="34.950000000000003" customHeight="1" thickBot="1" x14ac:dyDescent="0.35">
      <c r="A2" s="1084" t="s">
        <v>1457</v>
      </c>
      <c r="B2" s="1085"/>
      <c r="C2" s="1085"/>
      <c r="D2" s="1086"/>
    </row>
    <row r="3" spans="1:13" s="558" customFormat="1" ht="8.4" customHeight="1" thickBot="1" x14ac:dyDescent="0.35">
      <c r="A3" s="616"/>
      <c r="D3" s="617"/>
      <c r="E3"/>
      <c r="F3"/>
      <c r="G3"/>
      <c r="H3" s="623"/>
      <c r="I3" s="623"/>
      <c r="J3" s="623"/>
      <c r="K3" s="623"/>
      <c r="L3" s="623"/>
      <c r="M3" s="623"/>
    </row>
    <row r="4" spans="1:13" ht="16.95" customHeight="1" thickBot="1" x14ac:dyDescent="0.35">
      <c r="A4" s="1087" t="s">
        <v>1458</v>
      </c>
      <c r="B4" s="1088"/>
      <c r="C4" s="1088"/>
      <c r="D4" s="1089"/>
    </row>
    <row r="5" spans="1:13" ht="9" customHeight="1" thickBot="1" x14ac:dyDescent="0.35">
      <c r="A5"/>
      <c r="D5"/>
      <c r="H5"/>
      <c r="I5"/>
      <c r="J5"/>
      <c r="K5"/>
      <c r="L5"/>
      <c r="M5"/>
    </row>
    <row r="6" spans="1:13" ht="18.600000000000001" customHeight="1" thickBot="1" x14ac:dyDescent="0.35">
      <c r="A6" s="1090" t="s">
        <v>859</v>
      </c>
      <c r="B6" s="1091"/>
      <c r="C6" s="1091"/>
      <c r="D6" s="1092"/>
    </row>
    <row r="7" spans="1:13" s="180" customFormat="1" ht="7.95" customHeight="1" thickBot="1" x14ac:dyDescent="0.35"/>
    <row r="8" spans="1:13" s="180" customFormat="1" ht="36.6" customHeight="1" thickBot="1" x14ac:dyDescent="0.4">
      <c r="A8" s="1093" t="s">
        <v>1872</v>
      </c>
      <c r="B8" s="1094"/>
      <c r="C8" s="1094"/>
      <c r="D8" s="1095"/>
    </row>
    <row r="9" spans="1:13" s="558" customFormat="1" ht="13.95" customHeight="1" thickBot="1" x14ac:dyDescent="0.35">
      <c r="A9" s="618"/>
      <c r="B9" s="619"/>
      <c r="C9" s="619"/>
      <c r="D9" s="622"/>
      <c r="E9" s="1082" t="s">
        <v>1883</v>
      </c>
      <c r="F9"/>
      <c r="G9"/>
      <c r="H9" s="623"/>
      <c r="I9" s="623"/>
      <c r="J9" s="623"/>
      <c r="K9" s="623"/>
      <c r="L9" s="623"/>
      <c r="M9" s="623"/>
    </row>
    <row r="10" spans="1:13" ht="47.25" customHeight="1" x14ac:dyDescent="0.3">
      <c r="A10" s="756" t="s">
        <v>799</v>
      </c>
      <c r="B10" s="757"/>
      <c r="C10" s="757"/>
      <c r="D10" s="758"/>
      <c r="E10" s="1083"/>
    </row>
    <row r="11" spans="1:13" s="535" customFormat="1" ht="40.200000000000003" customHeight="1" x14ac:dyDescent="0.3">
      <c r="A11" s="648">
        <v>906</v>
      </c>
      <c r="B11" s="649" t="s">
        <v>462</v>
      </c>
      <c r="C11" s="742"/>
      <c r="D11" s="929" t="str">
        <f t="shared" ref="D11:D32" si="0">IF(C11="","This Question must be answered before uploading, the report will not be processed if left blank","")</f>
        <v>This Question must be answered before uploading, the report will not be processed if left blank</v>
      </c>
      <c r="E11" s="1019"/>
      <c r="F11"/>
      <c r="G11"/>
      <c r="H11" s="625"/>
      <c r="I11" s="625"/>
      <c r="J11" s="625"/>
      <c r="K11" s="625"/>
      <c r="L11" s="625"/>
      <c r="M11" s="625"/>
    </row>
    <row r="12" spans="1:13" ht="40.200000000000003" customHeight="1" x14ac:dyDescent="0.3">
      <c r="A12" s="648">
        <v>907</v>
      </c>
      <c r="B12" s="649" t="s">
        <v>1440</v>
      </c>
      <c r="C12" s="742"/>
      <c r="D12" s="929" t="str">
        <f t="shared" si="0"/>
        <v>This Question must be answered before uploading, the report will not be processed if left blank</v>
      </c>
      <c r="E12" s="1020"/>
      <c r="H12" s="625"/>
      <c r="I12" s="625"/>
      <c r="J12" s="625"/>
      <c r="K12" s="625"/>
      <c r="L12" s="625"/>
    </row>
    <row r="13" spans="1:13" s="180" customFormat="1" ht="51.6" customHeight="1" x14ac:dyDescent="0.3">
      <c r="A13" s="777">
        <v>1055</v>
      </c>
      <c r="B13" s="649" t="s">
        <v>1868</v>
      </c>
      <c r="C13" s="742"/>
      <c r="D13" s="712"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21"/>
      <c r="F13"/>
      <c r="G13"/>
      <c r="H13" s="625"/>
      <c r="I13" s="625"/>
      <c r="J13" s="625"/>
      <c r="K13" s="625"/>
      <c r="L13" s="625"/>
      <c r="M13" s="624"/>
    </row>
    <row r="14" spans="1:13" s="180" customFormat="1" ht="48.6" customHeight="1" x14ac:dyDescent="0.3">
      <c r="A14" s="777">
        <v>1056</v>
      </c>
      <c r="B14" s="649" t="s">
        <v>1437</v>
      </c>
      <c r="C14" s="742"/>
      <c r="D14" s="929"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21"/>
      <c r="F14"/>
      <c r="G14"/>
      <c r="H14" s="625"/>
      <c r="I14" s="625"/>
      <c r="J14" s="625"/>
      <c r="K14" s="625"/>
      <c r="L14" s="625"/>
      <c r="M14" s="624"/>
    </row>
    <row r="15" spans="1:13" s="180" customFormat="1" ht="55.2" customHeight="1" x14ac:dyDescent="0.3">
      <c r="A15" s="648">
        <v>1057</v>
      </c>
      <c r="B15" s="620" t="s">
        <v>1879</v>
      </c>
      <c r="C15" s="742"/>
      <c r="D15" s="929"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20"/>
      <c r="F15"/>
      <c r="G15"/>
      <c r="H15" s="625"/>
      <c r="I15" s="625"/>
      <c r="J15" s="625"/>
      <c r="K15" s="625"/>
      <c r="L15" s="625"/>
      <c r="M15" s="624"/>
    </row>
    <row r="16" spans="1:13" ht="57" customHeight="1" x14ac:dyDescent="0.3">
      <c r="A16" s="777">
        <v>1058</v>
      </c>
      <c r="B16" s="649" t="s">
        <v>1880</v>
      </c>
      <c r="C16" s="742"/>
      <c r="D16" s="929"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20"/>
    </row>
    <row r="17" spans="1:13" ht="113.4" customHeight="1" x14ac:dyDescent="0.3">
      <c r="A17" s="648">
        <v>1059</v>
      </c>
      <c r="B17" s="620" t="s">
        <v>1904</v>
      </c>
      <c r="C17" s="742"/>
      <c r="D17" s="929"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20"/>
      <c r="H17" s="625"/>
      <c r="I17" s="625"/>
      <c r="J17" s="625"/>
      <c r="K17" s="625"/>
      <c r="L17" s="625"/>
    </row>
    <row r="18" spans="1:13" s="180" customFormat="1" ht="113.4" customHeight="1" x14ac:dyDescent="0.3">
      <c r="A18" s="648">
        <v>1078</v>
      </c>
      <c r="B18" s="620" t="s">
        <v>1920</v>
      </c>
      <c r="C18" s="742"/>
      <c r="D18" s="929"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20"/>
      <c r="F18"/>
      <c r="H18" s="625"/>
      <c r="I18" s="625"/>
      <c r="J18" s="625"/>
      <c r="K18" s="625"/>
      <c r="L18" s="625"/>
      <c r="M18" s="624"/>
    </row>
    <row r="19" spans="1:13" s="180" customFormat="1" ht="78.599999999999994" customHeight="1" x14ac:dyDescent="0.3">
      <c r="A19" s="764">
        <v>1067</v>
      </c>
      <c r="B19" s="621" t="s">
        <v>1664</v>
      </c>
      <c r="C19" s="742"/>
      <c r="D19" s="929"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20"/>
      <c r="G19"/>
      <c r="H19" s="625"/>
      <c r="I19" s="625"/>
      <c r="J19" s="625"/>
      <c r="K19" s="625"/>
      <c r="L19" s="625"/>
      <c r="M19" s="624"/>
    </row>
    <row r="20" spans="1:13" ht="40.200000000000003" customHeight="1" x14ac:dyDescent="0.3">
      <c r="A20" s="648">
        <v>951</v>
      </c>
      <c r="B20" s="649" t="s">
        <v>1441</v>
      </c>
      <c r="C20" s="742"/>
      <c r="D20" s="929" t="str">
        <f t="shared" si="0"/>
        <v>This Question must be answered before uploading, the report will not be processed if left blank</v>
      </c>
      <c r="E20" s="1020"/>
      <c r="H20" s="625"/>
      <c r="I20" s="625"/>
      <c r="J20" s="625"/>
      <c r="K20" s="625"/>
      <c r="L20" s="625"/>
    </row>
    <row r="21" spans="1:13" ht="40.200000000000003" customHeight="1" x14ac:dyDescent="0.3">
      <c r="A21" s="648">
        <v>953</v>
      </c>
      <c r="B21" s="620" t="s">
        <v>1568</v>
      </c>
      <c r="C21" s="742"/>
      <c r="D21" s="929" t="str">
        <f t="shared" si="0"/>
        <v>This Question must be answered before uploading, the report will not be processed if left blank</v>
      </c>
      <c r="E21" s="1020"/>
      <c r="H21" s="625"/>
      <c r="I21" s="625"/>
      <c r="J21" s="625"/>
      <c r="K21" s="625"/>
      <c r="L21" s="625"/>
    </row>
    <row r="22" spans="1:13" ht="52.95" customHeight="1" x14ac:dyDescent="0.3">
      <c r="A22" s="777">
        <v>955</v>
      </c>
      <c r="B22" s="620" t="s">
        <v>1569</v>
      </c>
      <c r="C22" s="742"/>
      <c r="D22" s="929"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20"/>
      <c r="H22" s="625"/>
      <c r="I22" s="625"/>
      <c r="J22" s="625"/>
      <c r="K22" s="625"/>
      <c r="L22" s="625"/>
    </row>
    <row r="23" spans="1:13" ht="48" customHeight="1" x14ac:dyDescent="0.3">
      <c r="A23" s="777">
        <v>957</v>
      </c>
      <c r="B23" s="620" t="s">
        <v>1572</v>
      </c>
      <c r="C23" s="742"/>
      <c r="D23" s="929"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20"/>
      <c r="H23" s="625"/>
      <c r="I23" s="625"/>
      <c r="J23" s="625"/>
      <c r="K23" s="625"/>
      <c r="L23" s="625"/>
    </row>
    <row r="24" spans="1:13" s="180" customFormat="1" ht="115.8" customHeight="1" x14ac:dyDescent="0.3">
      <c r="A24" s="648">
        <v>973</v>
      </c>
      <c r="B24" s="620" t="s">
        <v>1881</v>
      </c>
      <c r="C24" s="742"/>
      <c r="D24" s="929"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20"/>
      <c r="F24"/>
      <c r="G24"/>
      <c r="H24" s="625"/>
      <c r="I24" s="625"/>
      <c r="J24" s="625"/>
      <c r="K24" s="625"/>
      <c r="L24" s="625"/>
      <c r="M24" s="624"/>
    </row>
    <row r="25" spans="1:13" s="180" customFormat="1" ht="52.8" customHeight="1" x14ac:dyDescent="0.3">
      <c r="A25" s="648">
        <v>959</v>
      </c>
      <c r="B25" s="649" t="s">
        <v>645</v>
      </c>
      <c r="C25" s="742"/>
      <c r="D25" s="929"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20"/>
      <c r="F25"/>
      <c r="G25"/>
      <c r="H25" s="625"/>
      <c r="I25" s="625"/>
      <c r="J25" s="625"/>
      <c r="K25" s="625"/>
      <c r="L25" s="625"/>
      <c r="M25" s="624"/>
    </row>
    <row r="26" spans="1:13" ht="93" customHeight="1" x14ac:dyDescent="0.3">
      <c r="A26" s="648">
        <v>974</v>
      </c>
      <c r="B26" s="649" t="s">
        <v>648</v>
      </c>
      <c r="C26" s="742"/>
      <c r="D26" s="929"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20"/>
      <c r="H26" s="625"/>
      <c r="I26" s="625"/>
      <c r="J26" s="625"/>
      <c r="K26" s="625"/>
      <c r="L26" s="625"/>
    </row>
    <row r="27" spans="1:13" ht="40.200000000000003" customHeight="1" x14ac:dyDescent="0.3">
      <c r="A27" s="648" t="s">
        <v>599</v>
      </c>
      <c r="B27" s="649" t="s">
        <v>2035</v>
      </c>
      <c r="C27" s="742"/>
      <c r="D27" s="929" t="str">
        <f>IF(C27="","This Question must be answered before uploading, the report will not be processed if left blank",IF(C27="Yes","Please submit copy via LGC File Portal.",""))</f>
        <v>This Question must be answered before uploading, the report will not be processed if left blank</v>
      </c>
      <c r="E27" s="1020"/>
      <c r="H27" s="625"/>
      <c r="I27" s="625"/>
      <c r="J27" s="625"/>
      <c r="K27" s="625"/>
      <c r="L27" s="625"/>
    </row>
    <row r="28" spans="1:13" ht="40.200000000000003" customHeight="1" x14ac:dyDescent="0.3">
      <c r="A28" s="648" t="s">
        <v>600</v>
      </c>
      <c r="B28" s="649" t="s">
        <v>1858</v>
      </c>
      <c r="C28" s="742"/>
      <c r="D28" s="929"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20"/>
      <c r="H28" s="625"/>
      <c r="I28" s="625"/>
      <c r="J28" s="625"/>
      <c r="K28" s="625"/>
      <c r="L28" s="625"/>
    </row>
    <row r="29" spans="1:13" ht="40.200000000000003" customHeight="1" x14ac:dyDescent="0.3">
      <c r="A29" s="648" t="s">
        <v>601</v>
      </c>
      <c r="B29" s="649" t="s">
        <v>1861</v>
      </c>
      <c r="C29" s="742"/>
      <c r="D29" s="929" t="str">
        <f t="shared" si="1"/>
        <v>This Question must be answered before uploading, the report will not be processed if left blank</v>
      </c>
      <c r="E29" s="1020"/>
      <c r="H29" s="625"/>
      <c r="I29" s="625"/>
      <c r="J29" s="625"/>
      <c r="K29" s="625"/>
      <c r="L29" s="625"/>
    </row>
    <row r="30" spans="1:13" s="180" customFormat="1" ht="40.200000000000003" customHeight="1" x14ac:dyDescent="0.3">
      <c r="A30" s="648" t="s">
        <v>1933</v>
      </c>
      <c r="B30" s="998" t="s">
        <v>1960</v>
      </c>
      <c r="C30" s="743">
        <v>45473</v>
      </c>
      <c r="D30" s="997" t="s">
        <v>1967</v>
      </c>
      <c r="E30" s="1020"/>
      <c r="H30" s="625"/>
      <c r="I30" s="625"/>
      <c r="J30" s="625"/>
      <c r="K30" s="625"/>
      <c r="L30" s="625"/>
      <c r="M30" s="624"/>
    </row>
    <row r="31" spans="1:13" ht="40.200000000000003" customHeight="1" x14ac:dyDescent="0.3">
      <c r="A31" s="648">
        <v>1079</v>
      </c>
      <c r="B31" s="649" t="s">
        <v>1943</v>
      </c>
      <c r="C31" s="743"/>
      <c r="D31" s="929"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21"/>
      <c r="F31" s="180"/>
      <c r="H31" s="625"/>
      <c r="I31" s="625"/>
      <c r="J31" s="625"/>
      <c r="K31" s="625"/>
      <c r="L31" s="625"/>
    </row>
    <row r="32" spans="1:13" ht="52.95" customHeight="1" x14ac:dyDescent="0.3">
      <c r="A32" s="648">
        <v>980</v>
      </c>
      <c r="B32" s="649" t="s">
        <v>1947</v>
      </c>
      <c r="C32" s="743"/>
      <c r="D32" s="929" t="str">
        <f t="shared" si="0"/>
        <v>This Question must be answered before uploading, the report will not be processed if left blank</v>
      </c>
      <c r="E32" s="1020"/>
      <c r="H32"/>
      <c r="I32"/>
      <c r="J32"/>
      <c r="K32"/>
      <c r="L32"/>
      <c r="M32"/>
    </row>
    <row r="33" spans="1:13" ht="40.200000000000003" customHeight="1" x14ac:dyDescent="0.3">
      <c r="A33" s="1011">
        <v>975</v>
      </c>
      <c r="B33" s="1027" t="s">
        <v>1882</v>
      </c>
      <c r="C33" s="1012"/>
      <c r="D33" s="1013"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20"/>
      <c r="H33" s="625"/>
      <c r="I33" s="625"/>
      <c r="J33" s="625"/>
      <c r="K33" s="625"/>
      <c r="L33" s="625"/>
    </row>
    <row r="34" spans="1:13" ht="25.95" customHeight="1" x14ac:dyDescent="0.3">
      <c r="A34" s="1015" t="s">
        <v>1563</v>
      </c>
      <c r="B34" s="1016"/>
      <c r="C34" s="1017"/>
      <c r="D34" s="1018"/>
      <c r="E34" s="1022"/>
      <c r="H34"/>
      <c r="I34"/>
      <c r="J34"/>
      <c r="K34"/>
      <c r="L34"/>
      <c r="M34"/>
    </row>
    <row r="35" spans="1:13" ht="43.2" customHeight="1" x14ac:dyDescent="0.3">
      <c r="A35" s="1037">
        <v>1068</v>
      </c>
      <c r="B35" s="1038" t="s">
        <v>1564</v>
      </c>
      <c r="C35" s="1014"/>
      <c r="D35" s="1028" t="str">
        <f>IF(C35="","This Question must be answered before uploading, the report will not be processed if left blank","")</f>
        <v>This Question must be answered before uploading, the report will not be processed if left blank</v>
      </c>
      <c r="E35" s="1022"/>
      <c r="H35"/>
      <c r="I35"/>
      <c r="J35"/>
      <c r="K35"/>
      <c r="L35"/>
      <c r="M35"/>
    </row>
    <row r="36" spans="1:13" ht="43.2" customHeight="1" x14ac:dyDescent="0.3">
      <c r="A36" s="648">
        <v>1069</v>
      </c>
      <c r="B36" s="649" t="s">
        <v>1570</v>
      </c>
      <c r="C36" s="742"/>
      <c r="D36" s="712" t="str">
        <f t="shared" ref="D36:D38" si="2">IF(C36="","This Question must be answered before uploading, the report will not be processed if left blank","")</f>
        <v>This Question must be answered before uploading, the report will not be processed if left blank</v>
      </c>
      <c r="E36" s="1022"/>
      <c r="H36"/>
      <c r="I36"/>
      <c r="J36"/>
      <c r="K36"/>
      <c r="L36"/>
      <c r="M36"/>
    </row>
    <row r="37" spans="1:13" ht="43.2" customHeight="1" x14ac:dyDescent="0.3">
      <c r="A37" s="648">
        <v>1070</v>
      </c>
      <c r="B37" s="649" t="s">
        <v>1870</v>
      </c>
      <c r="C37" s="742"/>
      <c r="D37" s="712" t="str">
        <f t="shared" si="2"/>
        <v>This Question must be answered before uploading, the report will not be processed if left blank</v>
      </c>
      <c r="E37" s="1022"/>
      <c r="H37"/>
      <c r="I37"/>
      <c r="J37"/>
      <c r="K37"/>
      <c r="L37"/>
      <c r="M37"/>
    </row>
    <row r="38" spans="1:13" ht="43.2" customHeight="1" x14ac:dyDescent="0.3">
      <c r="A38" s="648">
        <v>1071</v>
      </c>
      <c r="B38" s="649" t="s">
        <v>1945</v>
      </c>
      <c r="C38" s="771"/>
      <c r="D38" s="712" t="str">
        <f t="shared" si="2"/>
        <v>This Question must be answered before uploading, the report will not be processed if left blank</v>
      </c>
      <c r="E38" s="1022"/>
      <c r="H38"/>
      <c r="I38"/>
      <c r="J38"/>
      <c r="K38"/>
      <c r="L38"/>
      <c r="M38"/>
    </row>
    <row r="39" spans="1:13" x14ac:dyDescent="0.3">
      <c r="A39"/>
      <c r="D39"/>
      <c r="E39" s="524"/>
      <c r="H39"/>
      <c r="I39"/>
      <c r="J39"/>
      <c r="K39"/>
      <c r="L39"/>
      <c r="M39"/>
    </row>
    <row r="40" spans="1:13" s="180" customFormat="1" ht="40.200000000000003" customHeight="1" x14ac:dyDescent="0.3">
      <c r="A40" s="648" t="s">
        <v>602</v>
      </c>
      <c r="B40" s="712" t="str">
        <f>IF(D40="","This Question must be answered before uploading, the report will not be processed if left blank","")</f>
        <v>This Question must be answered before uploading, the report will not be processed if left blank</v>
      </c>
      <c r="C40" s="653" t="s">
        <v>463</v>
      </c>
      <c r="D40" s="1029"/>
      <c r="E40" s="524"/>
      <c r="F40"/>
      <c r="G40"/>
      <c r="H40" s="624"/>
      <c r="I40" s="624"/>
      <c r="J40" s="624"/>
      <c r="K40" s="624"/>
      <c r="L40" s="624"/>
      <c r="M40" s="624"/>
    </row>
    <row r="41" spans="1:13" ht="14.4" customHeight="1" x14ac:dyDescent="0.3">
      <c r="A41" s="557"/>
      <c r="B41" s="617"/>
      <c r="C41" s="558"/>
      <c r="D41" s="1030"/>
      <c r="E41" s="524"/>
    </row>
    <row r="42" spans="1:13" ht="40.200000000000003" customHeight="1" x14ac:dyDescent="0.3">
      <c r="A42" s="648" t="s">
        <v>603</v>
      </c>
      <c r="B42" s="712" t="str">
        <f>IF(D42="","This Question must be answered before uploading, the report will not be processed if left blank","")</f>
        <v>This Question must be answered before uploading, the report will not be processed if left blank</v>
      </c>
      <c r="C42" s="653" t="s">
        <v>464</v>
      </c>
      <c r="D42" s="1029"/>
      <c r="E42" s="524"/>
    </row>
    <row r="43" spans="1:13" ht="14.4" customHeight="1" x14ac:dyDescent="0.3">
      <c r="A43" s="557"/>
      <c r="B43" s="617"/>
      <c r="C43" s="558"/>
      <c r="D43" s="1030"/>
      <c r="E43" s="524"/>
    </row>
    <row r="44" spans="1:13" s="180" customFormat="1" ht="40.200000000000003" customHeight="1" x14ac:dyDescent="0.3">
      <c r="A44" s="648" t="s">
        <v>857</v>
      </c>
      <c r="B44" s="712" t="str">
        <f>IF(D44="","This Question must be answered before uploading, the report will not be processed if left blank","")</f>
        <v>This Question must be answered before uploading, the report will not be processed if left blank</v>
      </c>
      <c r="C44" s="653" t="s">
        <v>1442</v>
      </c>
      <c r="D44" s="759"/>
      <c r="E44" s="524"/>
      <c r="F44"/>
      <c r="G44"/>
      <c r="H44" s="624"/>
      <c r="I44" s="624"/>
      <c r="J44" s="624"/>
      <c r="K44" s="624"/>
      <c r="L44" s="624"/>
      <c r="M44" s="624"/>
    </row>
    <row r="48" spans="1:13" x14ac:dyDescent="0.3">
      <c r="A48" s="744"/>
      <c r="B48" s="745" t="s">
        <v>465</v>
      </c>
      <c r="C48" s="746">
        <v>1</v>
      </c>
      <c r="D48" s="747"/>
    </row>
    <row r="50" spans="1:4" x14ac:dyDescent="0.3">
      <c r="A50" s="748"/>
      <c r="B50" s="749" t="s">
        <v>466</v>
      </c>
      <c r="C50" s="750">
        <v>45535</v>
      </c>
      <c r="D50" s="751"/>
    </row>
    <row r="51" spans="1:4" x14ac:dyDescent="0.3">
      <c r="B51" s="558"/>
      <c r="C51" s="617"/>
    </row>
    <row r="52" spans="1:4" x14ac:dyDescent="0.3">
      <c r="B52" s="558"/>
      <c r="C52" s="617"/>
    </row>
  </sheetData>
  <sheetProtection algorithmName="SHA-512" hashValue="2oMWr/vMcE1a8LE/5MJCqTxUM6l6cEC1cHieyt5nXEbWVoc0WW8w8iNptBx8F2IpTS7ov+1qPSXVVZ8BeCgd1g==" saltValue="iIR2sd8tzvk2CcWxmTUfDA=="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80" zoomScaleNormal="80" workbookViewId="0">
      <selection activeCell="C5" sqref="C5:E5"/>
    </sheetView>
  </sheetViews>
  <sheetFormatPr defaultColWidth="9.109375" defaultRowHeight="14.4" x14ac:dyDescent="0.3"/>
  <cols>
    <col min="1" max="1" width="6.33203125" style="813" customWidth="1"/>
    <col min="2" max="2" width="57.6640625" style="813" customWidth="1"/>
    <col min="3" max="4" width="14.33203125" style="813" customWidth="1"/>
    <col min="5" max="7" width="17.33203125" style="813" customWidth="1"/>
    <col min="8" max="8" width="71.44140625" style="813" customWidth="1"/>
    <col min="9" max="9" width="56.77734375" style="923" customWidth="1"/>
    <col min="10" max="10" width="46.109375" style="923" customWidth="1"/>
    <col min="11" max="11" width="9.109375" style="922" customWidth="1"/>
    <col min="12" max="12" width="23.6640625" style="810" hidden="1" customWidth="1"/>
    <col min="13" max="13" width="21.109375" style="810" hidden="1" customWidth="1"/>
    <col min="14" max="14" width="24" style="810" hidden="1" customWidth="1"/>
    <col min="15" max="15" width="21" style="810" hidden="1" customWidth="1"/>
    <col min="16" max="16" width="25" style="811" hidden="1" customWidth="1"/>
    <col min="17" max="17" width="25.6640625" style="812" hidden="1" customWidth="1"/>
    <col min="18" max="18" width="33.77734375" style="812" customWidth="1"/>
    <col min="19" max="19" width="9.109375" style="812" customWidth="1"/>
    <col min="20" max="59" width="9.109375" style="812"/>
    <col min="60" max="16384" width="9.109375" style="813"/>
  </cols>
  <sheetData>
    <row r="1" spans="1:78" ht="40.5" customHeight="1" thickBot="1" x14ac:dyDescent="0.35">
      <c r="A1" s="808"/>
      <c r="B1" s="1126" t="s">
        <v>1060</v>
      </c>
      <c r="C1" s="1126"/>
      <c r="D1" s="1126"/>
      <c r="E1" s="1126"/>
      <c r="F1" s="1126"/>
      <c r="G1" s="1126"/>
      <c r="H1" s="1127"/>
      <c r="I1" s="1124"/>
      <c r="J1" s="1125"/>
      <c r="K1" s="809"/>
    </row>
    <row r="2" spans="1:78" ht="72" customHeight="1" thickBot="1" x14ac:dyDescent="0.35">
      <c r="A2" s="814"/>
      <c r="B2" s="1128" t="s">
        <v>1061</v>
      </c>
      <c r="C2" s="1129"/>
      <c r="D2" s="1129"/>
      <c r="E2" s="1129"/>
      <c r="F2" s="1129"/>
      <c r="G2" s="1129"/>
      <c r="H2" s="1130"/>
      <c r="I2" s="1143" t="s">
        <v>1062</v>
      </c>
      <c r="J2" s="1146" t="s">
        <v>1469</v>
      </c>
      <c r="K2" s="815"/>
    </row>
    <row r="3" spans="1:78" ht="15" customHeight="1" thickBot="1" x14ac:dyDescent="0.35">
      <c r="A3" s="816"/>
      <c r="B3" s="817"/>
      <c r="C3" s="818"/>
      <c r="D3" s="818"/>
      <c r="E3" s="818"/>
      <c r="F3" s="818"/>
      <c r="G3" s="819"/>
      <c r="H3" s="820"/>
      <c r="I3" s="1144"/>
      <c r="J3" s="1147"/>
      <c r="K3" s="815"/>
    </row>
    <row r="4" spans="1:78" ht="21.75" customHeight="1" thickBot="1" x14ac:dyDescent="0.35">
      <c r="A4" s="821"/>
      <c r="B4" s="822" t="s">
        <v>598</v>
      </c>
      <c r="C4" s="1131" t="str">
        <f>'Unit Data from Audit Worksheet'!D2</f>
        <v>Select Unit Name from Drop Down List</v>
      </c>
      <c r="D4" s="1132"/>
      <c r="E4" s="1133"/>
      <c r="F4" s="1134" t="s">
        <v>1961</v>
      </c>
      <c r="G4" s="1135"/>
      <c r="H4" s="1138" t="s">
        <v>1466</v>
      </c>
      <c r="I4" s="1144"/>
      <c r="J4" s="1147"/>
      <c r="K4" s="823"/>
      <c r="L4" s="824"/>
    </row>
    <row r="5" spans="1:78" ht="21.6" thickBot="1" x14ac:dyDescent="0.35">
      <c r="A5" s="825"/>
      <c r="B5" s="826" t="s">
        <v>579</v>
      </c>
      <c r="C5" s="1140" t="e">
        <f>'Unit Data from Audit Worksheet'!D3</f>
        <v>#N/A</v>
      </c>
      <c r="D5" s="1141"/>
      <c r="E5" s="1142"/>
      <c r="F5" s="1136"/>
      <c r="G5" s="1137"/>
      <c r="H5" s="1139"/>
      <c r="I5" s="1144"/>
      <c r="J5" s="1147"/>
      <c r="K5" s="827"/>
      <c r="L5" s="828" t="s">
        <v>588</v>
      </c>
    </row>
    <row r="6" spans="1:78" ht="18.75" customHeight="1" x14ac:dyDescent="0.3">
      <c r="A6" s="816"/>
      <c r="B6" s="1149" t="s">
        <v>1419</v>
      </c>
      <c r="C6" s="1149"/>
      <c r="D6" s="1149"/>
      <c r="E6" s="1149"/>
      <c r="F6" s="1149"/>
      <c r="G6" s="1149"/>
      <c r="H6" s="1150"/>
      <c r="I6" s="1144"/>
      <c r="J6" s="1147"/>
      <c r="K6" s="827"/>
      <c r="L6" s="828"/>
    </row>
    <row r="7" spans="1:78" ht="116.25" customHeight="1" thickBot="1" x14ac:dyDescent="0.35">
      <c r="A7" s="829"/>
      <c r="B7" s="1151"/>
      <c r="C7" s="1151"/>
      <c r="D7" s="1151"/>
      <c r="E7" s="1151"/>
      <c r="F7" s="1151"/>
      <c r="G7" s="1151"/>
      <c r="H7" s="1152"/>
      <c r="I7" s="1145"/>
      <c r="J7" s="1148"/>
      <c r="K7" s="827"/>
      <c r="L7" s="828"/>
    </row>
    <row r="8" spans="1:78" ht="185.1" customHeight="1" thickBot="1" x14ac:dyDescent="0.35">
      <c r="A8" s="830"/>
      <c r="B8" s="1118"/>
      <c r="C8" s="1118"/>
      <c r="D8" s="1118"/>
      <c r="E8" s="1118"/>
      <c r="F8" s="1118"/>
      <c r="G8" s="1119"/>
      <c r="H8" s="1155" t="s">
        <v>1065</v>
      </c>
      <c r="I8" s="831"/>
      <c r="J8" s="1153"/>
      <c r="K8" s="827"/>
      <c r="L8" s="832" t="b">
        <f>IF($L$9&gt;10000000,"25%",IF($L$9&gt;999999,"34%",IF($L$9&gt;99999,"71%",IF($L$9&gt;1,"100%"))))</f>
        <v>0</v>
      </c>
      <c r="N8" s="833"/>
    </row>
    <row r="9" spans="1:78" ht="132" customHeight="1" thickBot="1" x14ac:dyDescent="0.35">
      <c r="A9" s="830"/>
      <c r="B9" s="1120"/>
      <c r="C9" s="1120"/>
      <c r="D9" s="1120"/>
      <c r="E9" s="1120"/>
      <c r="F9" s="1120"/>
      <c r="G9" s="1121"/>
      <c r="H9" s="1156"/>
      <c r="I9" s="831"/>
      <c r="J9" s="1154"/>
      <c r="K9" s="827"/>
      <c r="L9" s="832">
        <f>Import!L59+Import!L65+Import!L62-Import!L63-Import!L64-Import!L60</f>
        <v>0</v>
      </c>
      <c r="N9" s="833"/>
    </row>
    <row r="10" spans="1:78" ht="91.8" customHeight="1" thickBot="1" x14ac:dyDescent="0.35">
      <c r="A10" s="834"/>
      <c r="B10" s="1104" t="s">
        <v>1910</v>
      </c>
      <c r="C10" s="1105"/>
      <c r="D10" s="1105"/>
      <c r="E10" s="1105"/>
      <c r="F10" s="835" t="s">
        <v>651</v>
      </c>
      <c r="G10" s="835" t="s">
        <v>847</v>
      </c>
      <c r="H10" s="836"/>
      <c r="I10" s="837"/>
      <c r="J10" s="837"/>
      <c r="K10" s="838"/>
      <c r="L10" s="810">
        <v>2022</v>
      </c>
      <c r="M10" s="824">
        <v>2023</v>
      </c>
      <c r="N10" s="810">
        <v>2024</v>
      </c>
      <c r="O10" s="839"/>
      <c r="P10" s="840"/>
    </row>
    <row r="11" spans="1:78" ht="261.60000000000002" customHeight="1" thickBot="1" x14ac:dyDescent="0.35">
      <c r="A11" s="830" t="s">
        <v>1063</v>
      </c>
      <c r="B11" s="1098"/>
      <c r="C11" s="1099"/>
      <c r="D11" s="1099"/>
      <c r="E11" s="1100"/>
      <c r="F11" s="803" t="b">
        <f>IF($L$9&gt;10000000,"25% -- Average of similar units is 46%",IF($L$9&gt;999999,"34% -- Average of similar units is 63%",IF($L$9&gt;99999,"71% -- Average of similar units is 132%",IF($L$9&gt;1,"100 %-- Average of similar units is 260%"))))</f>
        <v>0</v>
      </c>
      <c r="G11" s="954" t="str">
        <f>N11</f>
        <v/>
      </c>
      <c r="H11" s="936" t="s">
        <v>1665</v>
      </c>
      <c r="I11" s="842" t="s">
        <v>1526</v>
      </c>
      <c r="J11" s="805"/>
      <c r="K11" s="827"/>
      <c r="L11" s="960" t="e">
        <f>IFERROR(HLOOKUP(C5,'PY2 Data(H)'!$D$2:$CZ$278,275,FALSE),#N/A)</f>
        <v>#N/A</v>
      </c>
      <c r="M11" s="844" t="e">
        <f>IFERROR(HLOOKUP(C5,'PY1 Data(H)'!$D$2:$CZ$279,277,FALSE),#N/A)</f>
        <v>#N/A</v>
      </c>
      <c r="N11" s="845" t="str">
        <f>IFERROR((Import!L38+Import!L39-Import!L43-Import!L44-Import!L196-Import!L48+Import!L69)/(Import!L59+Import!L65+Import!L62-Import!L63-Import!L64-Import!L60),"")</f>
        <v/>
      </c>
      <c r="O11" s="846" t="e">
        <f>IF(N11&lt;VALUE(L8),1,0)</f>
        <v>#VALUE!</v>
      </c>
      <c r="P11" s="840"/>
    </row>
    <row r="12" spans="1:78" ht="27.75" customHeight="1" thickBot="1" x14ac:dyDescent="0.35">
      <c r="A12" s="830"/>
      <c r="B12" s="1122" t="s">
        <v>846</v>
      </c>
      <c r="C12" s="1123"/>
      <c r="D12" s="1123"/>
      <c r="E12" s="1123"/>
      <c r="F12" s="835" t="s">
        <v>651</v>
      </c>
      <c r="G12" s="835" t="s">
        <v>847</v>
      </c>
      <c r="H12" s="847"/>
      <c r="I12" s="842"/>
      <c r="J12" s="848"/>
      <c r="K12" s="827"/>
      <c r="L12" s="843"/>
      <c r="M12" s="845"/>
      <c r="N12" s="845"/>
      <c r="P12" s="840"/>
    </row>
    <row r="13" spans="1:78" ht="95.25" customHeight="1" thickBot="1" x14ac:dyDescent="0.35">
      <c r="A13" s="830" t="s">
        <v>1064</v>
      </c>
      <c r="B13" s="1101" t="s">
        <v>1876</v>
      </c>
      <c r="C13" s="1102"/>
      <c r="D13" s="1102"/>
      <c r="E13" s="1103"/>
      <c r="F13" s="803" t="s">
        <v>1461</v>
      </c>
      <c r="G13" s="971" t="b">
        <f>IF(AND(L13="Operations",M13&lt;0),"Operations",IF(AND(L13="Capital",M13&lt;0),"Capital",IF(L13="N/A","N/A")))</f>
        <v>0</v>
      </c>
      <c r="H13" s="847" t="s">
        <v>1467</v>
      </c>
      <c r="I13" s="849" t="s">
        <v>1909</v>
      </c>
      <c r="J13" s="805"/>
      <c r="K13" s="827"/>
      <c r="L13" s="934">
        <f>'Unit Data from Audit Worksheet'!F77</f>
        <v>0</v>
      </c>
      <c r="M13" s="935">
        <f>'Unit Data from Audit Worksheet'!F76</f>
        <v>0</v>
      </c>
      <c r="N13" s="845"/>
      <c r="O13" s="839"/>
      <c r="P13" s="840"/>
    </row>
    <row r="14" spans="1:78" ht="177" customHeight="1" thickBot="1" x14ac:dyDescent="0.35">
      <c r="A14" s="830" t="s">
        <v>1066</v>
      </c>
      <c r="B14" s="1101" t="s">
        <v>1462</v>
      </c>
      <c r="C14" s="1102"/>
      <c r="D14" s="1102"/>
      <c r="E14" s="1103"/>
      <c r="F14" s="803" t="s">
        <v>1459</v>
      </c>
      <c r="G14" s="850">
        <f>Import!L51</f>
        <v>0</v>
      </c>
      <c r="H14" s="847" t="s">
        <v>1460</v>
      </c>
      <c r="I14" s="849" t="s">
        <v>1475</v>
      </c>
      <c r="J14" s="805"/>
      <c r="K14" s="827"/>
      <c r="L14" s="845"/>
      <c r="M14" s="845"/>
      <c r="N14" s="845"/>
      <c r="O14" s="839"/>
      <c r="P14" s="840"/>
    </row>
    <row r="15" spans="1:78" ht="81" customHeight="1" thickBot="1" x14ac:dyDescent="0.35">
      <c r="A15" s="851"/>
      <c r="B15" s="1157" t="s">
        <v>1911</v>
      </c>
      <c r="C15" s="1157"/>
      <c r="D15" s="1157"/>
      <c r="E15" s="1104"/>
      <c r="F15" s="835" t="s">
        <v>651</v>
      </c>
      <c r="G15" s="835" t="s">
        <v>847</v>
      </c>
      <c r="H15" s="852" t="s">
        <v>1068</v>
      </c>
      <c r="I15" s="853"/>
      <c r="J15" s="854"/>
      <c r="K15" s="827"/>
      <c r="L15" s="979" t="e">
        <f>HLOOKUP($C$5,'PY2 Data(H)'!$D$2:$CZ$276,236,FALSE)</f>
        <v>#N/A</v>
      </c>
      <c r="M15" s="856" t="e">
        <f>HLOOKUP($C$5,'PY1 Data(H)'!$D$2:$CZ$279,230,FALSE)</f>
        <v>#N/A</v>
      </c>
      <c r="N15" s="857" t="e">
        <f>Import!L240</f>
        <v>#N/A</v>
      </c>
      <c r="O15" s="858"/>
      <c r="P15" s="962"/>
      <c r="Q15" s="963"/>
      <c r="R15" s="859"/>
      <c r="S15" s="859"/>
      <c r="T15" s="859"/>
      <c r="U15" s="859"/>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59"/>
      <c r="AW15" s="859"/>
      <c r="AX15" s="859"/>
      <c r="AY15" s="859"/>
      <c r="AZ15" s="859"/>
      <c r="BA15" s="859"/>
      <c r="BB15" s="859"/>
      <c r="BC15" s="859"/>
      <c r="BD15" s="859"/>
      <c r="BE15" s="859"/>
      <c r="BF15" s="859"/>
      <c r="BG15" s="859"/>
      <c r="BH15" s="860"/>
      <c r="BI15" s="860"/>
      <c r="BJ15" s="860"/>
      <c r="BK15" s="860"/>
      <c r="BL15" s="860"/>
      <c r="BM15" s="860"/>
      <c r="BN15" s="860"/>
      <c r="BO15" s="860"/>
      <c r="BP15" s="860"/>
      <c r="BQ15" s="860"/>
      <c r="BR15" s="860"/>
      <c r="BS15" s="860"/>
      <c r="BT15" s="860"/>
      <c r="BU15" s="860"/>
      <c r="BV15" s="860"/>
      <c r="BW15" s="860"/>
      <c r="BX15" s="860"/>
      <c r="BY15" s="860"/>
      <c r="BZ15" s="860"/>
    </row>
    <row r="16" spans="1:78" ht="202.5" customHeight="1" thickBot="1" x14ac:dyDescent="0.35">
      <c r="A16" s="830" t="s">
        <v>1067</v>
      </c>
      <c r="B16" s="861"/>
      <c r="C16" s="862"/>
      <c r="D16" s="862"/>
      <c r="E16" s="863"/>
      <c r="F16" s="864" t="s">
        <v>580</v>
      </c>
      <c r="G16" s="955" t="e">
        <f>N16</f>
        <v>#DIV/0!</v>
      </c>
      <c r="H16" s="841" t="s">
        <v>848</v>
      </c>
      <c r="I16" s="849" t="s">
        <v>582</v>
      </c>
      <c r="J16" s="805"/>
      <c r="K16" s="827"/>
      <c r="L16" s="967" t="e">
        <f>IF(AND(HLOOKUP($C$5,'PY2 Data(H)'!$D$2:$CZ$277,236,FALSE)=0.01,(HLOOKUP($C$5,'PY2 Data(H)'!$D$2:$CZ$277,265,FALSE)&gt;0)),P16,#N/A)</f>
        <v>#N/A</v>
      </c>
      <c r="M16" s="968" t="e">
        <f>IF(AND(HLOOKUP($C$5,'PY1 Data(H)'!$D$2:$CZ$279,230,FALSE)=0.01,(HLOOKUP($C$5,'PY1 Data(H)'!$D$2:$CZ$279,267,FALSE)&gt;0)),Q16,#N/A)</f>
        <v>#N/A</v>
      </c>
      <c r="N16" s="857" t="e">
        <f>(+Import!L76-Import!L77-Import!L74-Import!L75)/(Import!L80-Import!L81-Import!L82-Import!L83-Import!L$84-Import!L85-Import!L79)</f>
        <v>#DIV/0!</v>
      </c>
      <c r="O16" s="961"/>
      <c r="P16" s="969" t="e">
        <f>HLOOKUP($C$5,'PY2 Data(H)'!$D$2:$CZ$276,265,FALSE)</f>
        <v>#N/A</v>
      </c>
      <c r="Q16" s="966" t="e">
        <f>HLOOKUP($C$5,'PY1 Data(H)'!$D$2:$CZ$279,267,FALSE)</f>
        <v>#N/A</v>
      </c>
      <c r="R16"/>
    </row>
    <row r="17" spans="1:81" ht="27.75" customHeight="1" thickBot="1" x14ac:dyDescent="0.35">
      <c r="A17" s="834"/>
      <c r="B17" s="865" t="s">
        <v>1070</v>
      </c>
      <c r="C17" s="866">
        <v>2022</v>
      </c>
      <c r="D17" s="866">
        <v>2023</v>
      </c>
      <c r="E17" s="866">
        <v>2024</v>
      </c>
      <c r="F17" s="835" t="s">
        <v>651</v>
      </c>
      <c r="G17" s="835" t="s">
        <v>847</v>
      </c>
      <c r="H17" s="867"/>
      <c r="I17" s="853"/>
      <c r="J17" s="854"/>
      <c r="K17" s="827"/>
      <c r="L17" s="857"/>
      <c r="M17" s="857"/>
      <c r="N17" s="857"/>
      <c r="P17" s="964"/>
      <c r="Q17" s="965"/>
    </row>
    <row r="18" spans="1:81" ht="93.6" customHeight="1" thickBot="1" x14ac:dyDescent="0.35">
      <c r="A18" s="830" t="s">
        <v>1069</v>
      </c>
      <c r="B18" s="868" t="s">
        <v>1477</v>
      </c>
      <c r="C18" s="850" t="e">
        <f>IF(L15=0,"N/A",L18)</f>
        <v>#N/A</v>
      </c>
      <c r="D18" s="850" t="e">
        <f>IF(M15=0,"N/A",M18)</f>
        <v>#N/A</v>
      </c>
      <c r="E18" s="869" t="e">
        <f>IF(N15=0,"N/A",N18)</f>
        <v>#N/A</v>
      </c>
      <c r="F18" s="803" t="s">
        <v>849</v>
      </c>
      <c r="G18" s="956" t="e">
        <f>E18</f>
        <v>#N/A</v>
      </c>
      <c r="H18" s="841" t="s">
        <v>1553</v>
      </c>
      <c r="I18" s="849" t="s">
        <v>1555</v>
      </c>
      <c r="J18" s="805"/>
      <c r="K18" s="827"/>
      <c r="L18" s="975" t="e">
        <f>IF(HLOOKUP($C$5,'PY2 Data(H)'!$D$2:$CZ$277,266,FALSE)=0,"Prior year data not submitted as of workbook published date.",(HLOOKUP($C$5,'PY2 Data(H)'!$D$2:$CZ$277,266,FALSE)))</f>
        <v>#N/A</v>
      </c>
      <c r="M18" s="1046" t="e">
        <f>IF(HLOOKUP($C$5,'PY1 Data(H)'!$D$2:$CZ$279,268,FALSE)=0,"Prior year data not submitted as of workbook published date.",(HLOOKUP($C$5,'PY1 Data(H)'!$D$2:$CZ$279,268,FALSE)))</f>
        <v>#N/A</v>
      </c>
      <c r="N18" s="870">
        <f>+Import!L109-Import!L111+Import!L110-Import!L140-Import!L112</f>
        <v>0</v>
      </c>
      <c r="P18" s="1059"/>
      <c r="Q18" s="1057"/>
    </row>
    <row r="19" spans="1:81" ht="124.2" customHeight="1" thickBot="1" x14ac:dyDescent="0.35">
      <c r="A19" s="830" t="s">
        <v>1071</v>
      </c>
      <c r="B19" s="871" t="s">
        <v>1567</v>
      </c>
      <c r="C19" s="931" t="e">
        <f>IF(L15=0,"N/A",L19)</f>
        <v>#N/A</v>
      </c>
      <c r="D19" s="931" t="e">
        <f>IF(M15=0,"N/A",M19)</f>
        <v>#N/A</v>
      </c>
      <c r="E19" s="872" t="e">
        <f>IF(N15=0,"N/A",N19)</f>
        <v>#N/A</v>
      </c>
      <c r="F19" s="803" t="s">
        <v>795</v>
      </c>
      <c r="G19" s="957" t="e">
        <f>E19</f>
        <v>#N/A</v>
      </c>
      <c r="H19" s="841" t="s">
        <v>1859</v>
      </c>
      <c r="I19" s="849" t="s">
        <v>1558</v>
      </c>
      <c r="J19" s="806"/>
      <c r="K19" s="827"/>
      <c r="L19" s="978" t="e">
        <f>IF(P19="Blank","Prior year data not submitted as of workbook published date.",(HLOOKUP($C$5,'PY2 Data(H)'!$D$2:$CZ$279,267,FALSE)))</f>
        <v>#N/A</v>
      </c>
      <c r="M19" s="930" t="e">
        <f>IF(Q19="Blank","Prior year data not submitted as of workbook published date.",(HLOOKUP($C$5,'PY1 Data(H)'!$D$2:$CZ$279,269,FALSE)))</f>
        <v>#N/A</v>
      </c>
      <c r="N19" s="873" t="e">
        <f>Import!L72/(Import!L111+Import!L114-Import!L110+Import!L140)</f>
        <v>#DIV/0!</v>
      </c>
      <c r="O19" s="874"/>
      <c r="P19" s="1060" t="str">
        <f>IF(ISBLANK(HLOOKUP($C$5,'PY2 Data(H)'!$D$2:$CZ$279,24,FALSE)),"Blank","Not Blank")</f>
        <v>Not Blank</v>
      </c>
      <c r="Q19" s="1058" t="str">
        <f>IF(ISBLANK(HLOOKUP($C$5,'PY1 Data(H)'!$D$2:$CZ$279,24,FALSE)),"Blank","Not Blank")</f>
        <v>Not Blank</v>
      </c>
      <c r="R19" s="811"/>
    </row>
    <row r="20" spans="1:81" ht="75" customHeight="1" thickBot="1" x14ac:dyDescent="0.35">
      <c r="A20" s="830" t="s">
        <v>1072</v>
      </c>
      <c r="B20" s="1116" t="s">
        <v>1908</v>
      </c>
      <c r="C20" s="1116"/>
      <c r="D20" s="1117"/>
      <c r="E20" s="875" t="str">
        <f>IF(N20&lt;0,"Yes","No")</f>
        <v>No</v>
      </c>
      <c r="F20" s="876"/>
      <c r="G20" s="877" t="str">
        <f>E20</f>
        <v>No</v>
      </c>
      <c r="H20" s="841" t="s">
        <v>1073</v>
      </c>
      <c r="I20" s="849" t="s">
        <v>796</v>
      </c>
      <c r="J20" s="805"/>
      <c r="K20" s="827"/>
      <c r="L20" s="878"/>
      <c r="M20" s="879">
        <f>((Import!L114+Import!L111)*0.03)-Import!L118</f>
        <v>0</v>
      </c>
      <c r="N20" s="880">
        <f>M20*0.03</f>
        <v>0</v>
      </c>
      <c r="P20" s="964"/>
      <c r="Q20" s="965"/>
    </row>
    <row r="21" spans="1:81" ht="75" customHeight="1" thickBot="1" x14ac:dyDescent="0.35">
      <c r="A21" s="914">
        <v>8</v>
      </c>
      <c r="B21" s="938" t="s">
        <v>1927</v>
      </c>
      <c r="C21" s="943" t="e">
        <f>L21</f>
        <v>#N/A</v>
      </c>
      <c r="D21" s="943" t="e">
        <f>M21</f>
        <v>#N/A</v>
      </c>
      <c r="E21" s="987" t="e">
        <f>N21</f>
        <v>#DIV/0!</v>
      </c>
      <c r="F21" s="974" t="s">
        <v>1930</v>
      </c>
      <c r="G21" s="944" t="e">
        <f>E21</f>
        <v>#DIV/0!</v>
      </c>
      <c r="H21" s="986" t="s">
        <v>1928</v>
      </c>
      <c r="I21" s="939" t="s">
        <v>1905</v>
      </c>
      <c r="J21" s="806"/>
      <c r="K21" s="827"/>
      <c r="L21" s="940" t="e">
        <f>IF(HLOOKUP($C$5,'PY2 Data(H)'!$D$2:$CZ$277,276,FALSE)=0,"Prior year data not submitted as of workbook published date.",(HLOOKUP($C$5,'PY2 Data(H)'!$D$2:$CZ$277,276,FALSE)))</f>
        <v>#N/A</v>
      </c>
      <c r="M21" s="941" t="e">
        <f>IF(HLOOKUP($C$5,'PY1 Data(H)'!$D$2:$CZ$279,278,FALSE)=0,"Prior year data not submitted as of workbook published date.",(HLOOKUP($C$5,'PY1 Data(H)'!$D$2:$CZ$279,278,FALSE)))</f>
        <v>#N/A</v>
      </c>
      <c r="N21" s="942" t="e">
        <f>1-(Import!L166+Import!L167+Import!L168+Import!L169)/(Import!L158+Import!L159+Import!L160+Import!L161)</f>
        <v>#DIV/0!</v>
      </c>
    </row>
    <row r="23" spans="1:81" ht="15" thickBot="1" x14ac:dyDescent="0.35"/>
    <row r="24" spans="1:81" ht="87" customHeight="1" thickBot="1" x14ac:dyDescent="0.35">
      <c r="A24" s="851"/>
      <c r="B24" s="1157" t="s">
        <v>1912</v>
      </c>
      <c r="C24" s="1157"/>
      <c r="D24" s="1157"/>
      <c r="E24" s="1157"/>
      <c r="F24" s="835" t="s">
        <v>651</v>
      </c>
      <c r="G24" s="835" t="s">
        <v>847</v>
      </c>
      <c r="H24" s="852" t="s">
        <v>1074</v>
      </c>
      <c r="I24" s="881"/>
      <c r="J24" s="882"/>
      <c r="K24" s="827"/>
      <c r="L24" s="855" t="e">
        <f>HLOOKUP($C$5,'PY2 Data(H)'!$D$2:$CZ$277,235,FALSE)</f>
        <v>#N/A</v>
      </c>
      <c r="M24" s="856" t="e">
        <f>HLOOKUP($C$5,'PY1 Data(H)'!$D$2:$CZ$279,229,FALSE)</f>
        <v>#N/A</v>
      </c>
      <c r="N24" s="883" t="e">
        <f>Import!L239</f>
        <v>#N/A</v>
      </c>
    </row>
    <row r="25" spans="1:81" ht="202.5" customHeight="1" thickBot="1" x14ac:dyDescent="0.35">
      <c r="A25" s="830">
        <v>9</v>
      </c>
      <c r="B25" s="1159"/>
      <c r="C25" s="1159"/>
      <c r="D25" s="1159"/>
      <c r="E25" s="1160"/>
      <c r="F25" s="803" t="s">
        <v>580</v>
      </c>
      <c r="G25" s="958" t="e">
        <f>N25</f>
        <v>#DIV/0!</v>
      </c>
      <c r="H25" s="841" t="s">
        <v>850</v>
      </c>
      <c r="I25" s="849" t="s">
        <v>589</v>
      </c>
      <c r="J25" s="805"/>
      <c r="K25" s="827"/>
      <c r="L25" s="967" t="e">
        <f>IF(AND(HLOOKUP($C$5,'PY2 Data(H)'!$D$2:$CZ$277,235,FALSE)&gt;0,(HLOOKUP($C$5,'PY2 Data(H)'!$D$2:$CZ$277,269,FALSE)&gt;0)),P25,#N/A)</f>
        <v>#N/A</v>
      </c>
      <c r="M25" s="968" t="e">
        <f>IF(AND(HLOOKUP($C$5,'PY1 Data(H)'!$D$2:$CZ$279,229,FALSE)&gt;0,(HLOOKUP($C$5,'PY1 Data(H)'!$D$2:$CZ$279,271,FALSE)&gt;0)),Q25,#N/A)</f>
        <v>#N/A</v>
      </c>
      <c r="N25" s="857" t="e">
        <f>+(Import!L94-Import!L95-Import!L93-Import!L92)/(Import!L99-Import!L100-Import!L101-Import!L102-Import!L103-Import!L104-Import!L98)</f>
        <v>#DIV/0!</v>
      </c>
      <c r="P25" s="967" t="e">
        <f>HLOOKUP($C$5,'PY2 Data(H)'!$D$2:$CZ$277,269,FALSE)</f>
        <v>#N/A</v>
      </c>
      <c r="Q25" s="968" t="e">
        <f>HLOOKUP($C$5,'PY1 Data(H)'!$D$2:$CZ$279,271,FALSE)</f>
        <v>#N/A</v>
      </c>
    </row>
    <row r="26" spans="1:81" ht="27.75" customHeight="1" thickBot="1" x14ac:dyDescent="0.35">
      <c r="A26" s="834"/>
      <c r="B26" s="884" t="s">
        <v>1070</v>
      </c>
      <c r="C26" s="866">
        <v>2022</v>
      </c>
      <c r="D26" s="866">
        <v>2023</v>
      </c>
      <c r="E26" s="866">
        <v>2024</v>
      </c>
      <c r="F26" s="835" t="s">
        <v>651</v>
      </c>
      <c r="G26" s="835" t="s">
        <v>847</v>
      </c>
      <c r="H26" s="885"/>
      <c r="I26" s="886"/>
      <c r="J26" s="887"/>
      <c r="K26" s="827"/>
      <c r="L26" s="888"/>
      <c r="M26" s="857"/>
      <c r="N26" s="857"/>
    </row>
    <row r="27" spans="1:81" ht="96.6" customHeight="1" thickBot="1" x14ac:dyDescent="0.35">
      <c r="A27" s="830">
        <v>10</v>
      </c>
      <c r="B27" s="868" t="s">
        <v>1477</v>
      </c>
      <c r="C27" s="933" t="e">
        <f>IF(L24=0,"N/A",L27)</f>
        <v>#N/A</v>
      </c>
      <c r="D27" s="933" t="e">
        <f>IF(M24=0,"N/A",M27)</f>
        <v>#N/A</v>
      </c>
      <c r="E27" s="889" t="e">
        <f>IF(N24=0,"N/A",N27)</f>
        <v>#N/A</v>
      </c>
      <c r="F27" s="803" t="s">
        <v>849</v>
      </c>
      <c r="G27" s="959" t="e">
        <f>E27</f>
        <v>#N/A</v>
      </c>
      <c r="H27" s="841" t="s">
        <v>1554</v>
      </c>
      <c r="I27" s="890" t="s">
        <v>1556</v>
      </c>
      <c r="J27" s="805"/>
      <c r="K27" s="827"/>
      <c r="L27" s="976" t="e">
        <f>IF(HLOOKUP($C$5,'PY2 Data(H)'!$D$2:$CZ$277,270,FALSE)=0,"Prior year data not submitted as of workbook published date.",(HLOOKUP($C$5,'PY2 Data(H)'!$D$2:$CZ$277,270,FALSE)))</f>
        <v>#N/A</v>
      </c>
      <c r="M27" s="932" t="e">
        <f>IF(HLOOKUP($C$5,'PY1 Data(H)'!$D$2:$CZ$279,272,FALSE)=0,"Prior year data not submitted as of workbook published date.",(HLOOKUP($C$5,'PY1 Data(H)'!$D$2:$CZ$279,272,FALSE)))</f>
        <v>#N/A</v>
      </c>
      <c r="N27" s="891">
        <f>+Import!L125-Import!L128+Import!L127-Import!L143-Import!L129</f>
        <v>0</v>
      </c>
      <c r="P27" s="1059"/>
      <c r="Q27" s="1057"/>
    </row>
    <row r="28" spans="1:81" s="855" customFormat="1" ht="120" customHeight="1" thickBot="1" x14ac:dyDescent="0.35">
      <c r="A28" s="830">
        <v>11</v>
      </c>
      <c r="B28" s="871" t="s">
        <v>1567</v>
      </c>
      <c r="C28" s="931" t="e">
        <f>IF(L24=0,"N/A",L28)</f>
        <v>#N/A</v>
      </c>
      <c r="D28" s="931" t="e">
        <f>IF(M24=0,"N/A",M28)</f>
        <v>#N/A</v>
      </c>
      <c r="E28" s="872" t="e">
        <f>IF(N24=0,"N/A",N28)</f>
        <v>#N/A</v>
      </c>
      <c r="F28" s="803" t="s">
        <v>795</v>
      </c>
      <c r="G28" s="957" t="e">
        <f>E28</f>
        <v>#N/A</v>
      </c>
      <c r="H28" s="841" t="s">
        <v>1859</v>
      </c>
      <c r="I28" s="890" t="s">
        <v>1557</v>
      </c>
      <c r="J28" s="806"/>
      <c r="K28" s="827"/>
      <c r="L28" s="977" t="e">
        <f>IF(P28="Blank","Prior year data not submitted as of workbook published date.",(HLOOKUP($C$5,'PY2 Data(H)'!$D$2:$CZ$279,271,FALSE)))</f>
        <v>#N/A</v>
      </c>
      <c r="M28" s="930" t="e">
        <f>IF(Q28="Blank","Prior year data not submitted as of workbook published date.",(HLOOKUP($C$5,'PY1 Data(H)'!$D$2:$CZ$279,273,FALSE)))</f>
        <v>#N/A</v>
      </c>
      <c r="N28" s="873" t="e">
        <f>+Import!L90/(Import!L131+Import!L128-Import!L127+Import!L143)</f>
        <v>#DIV/0!</v>
      </c>
      <c r="O28" s="810"/>
      <c r="P28" s="1060" t="str">
        <f>IF(ISBLANK(HLOOKUP($C$5,'PY2 Data(H)'!$D$2:$CZ$279,32,FALSE)),"Blank","Not Blank")</f>
        <v>Not Blank</v>
      </c>
      <c r="Q28" s="1058" t="str">
        <f>IF(ISBLANK(HLOOKUP($C$5,'PY1 Data(H)'!$D$2:$CZ$279,32,FALSE)),"Blank","Not Blank")</f>
        <v>Not Blank</v>
      </c>
      <c r="R28" s="811"/>
      <c r="S28" s="812"/>
      <c r="T28" s="812"/>
      <c r="U28" s="812"/>
      <c r="V28" s="812"/>
      <c r="W28" s="812"/>
      <c r="X28" s="812"/>
      <c r="Y28" s="812"/>
      <c r="Z28" s="812"/>
      <c r="AA28" s="812"/>
      <c r="AB28" s="812"/>
      <c r="AC28" s="812"/>
      <c r="AD28" s="812"/>
      <c r="AE28" s="812"/>
      <c r="AF28" s="812"/>
      <c r="AG28" s="812"/>
      <c r="AH28" s="812"/>
      <c r="AI28" s="812"/>
      <c r="AJ28" s="812"/>
      <c r="AK28" s="812"/>
      <c r="AL28" s="812"/>
      <c r="AM28" s="812"/>
      <c r="AN28" s="812"/>
      <c r="AO28" s="812"/>
      <c r="AP28" s="812"/>
      <c r="AQ28" s="812"/>
      <c r="AR28" s="812"/>
      <c r="AS28" s="812"/>
      <c r="AT28" s="812"/>
      <c r="AU28" s="812"/>
      <c r="AV28" s="812"/>
      <c r="AW28" s="812"/>
      <c r="AX28" s="812"/>
      <c r="AY28" s="812"/>
      <c r="AZ28" s="812"/>
      <c r="BA28" s="812"/>
      <c r="BB28" s="812"/>
      <c r="BC28" s="812"/>
      <c r="BD28" s="812"/>
      <c r="BE28" s="812"/>
      <c r="BF28" s="812"/>
      <c r="BG28" s="812"/>
      <c r="BH28" s="813"/>
      <c r="BI28" s="813"/>
      <c r="BJ28" s="813"/>
      <c r="BK28" s="813"/>
      <c r="BL28" s="813"/>
      <c r="BM28" s="813"/>
      <c r="BN28" s="813"/>
      <c r="BO28" s="813"/>
      <c r="BP28" s="813"/>
      <c r="BQ28" s="813"/>
      <c r="BR28" s="813"/>
      <c r="BS28" s="813"/>
      <c r="BT28" s="813"/>
      <c r="BU28" s="813"/>
      <c r="BV28" s="813"/>
      <c r="BW28" s="813"/>
      <c r="BX28" s="813"/>
      <c r="BY28" s="813"/>
      <c r="BZ28" s="813"/>
      <c r="CA28" s="813"/>
      <c r="CB28" s="813"/>
      <c r="CC28" s="813"/>
    </row>
    <row r="29" spans="1:81" s="855" customFormat="1" ht="18.600000000000001" thickBot="1" x14ac:dyDescent="0.35">
      <c r="A29" s="892"/>
      <c r="B29" s="1114" t="s">
        <v>851</v>
      </c>
      <c r="C29" s="1114"/>
      <c r="D29" s="1114"/>
      <c r="E29" s="866">
        <v>2024</v>
      </c>
      <c r="F29" s="893" t="s">
        <v>852</v>
      </c>
      <c r="G29" s="894"/>
      <c r="H29" s="895"/>
      <c r="I29" s="896"/>
      <c r="J29" s="897"/>
      <c r="K29" s="827"/>
      <c r="L29" s="810"/>
      <c r="M29" s="810"/>
      <c r="N29" s="810"/>
      <c r="O29" s="810"/>
      <c r="Q29" s="965"/>
      <c r="R29" s="812"/>
      <c r="S29" s="812"/>
      <c r="T29" s="812"/>
      <c r="U29" s="812"/>
      <c r="V29" s="812"/>
      <c r="W29" s="812"/>
      <c r="X29" s="812"/>
      <c r="Y29" s="812"/>
      <c r="Z29" s="812"/>
      <c r="AA29" s="812"/>
      <c r="AB29" s="812"/>
      <c r="AC29" s="812"/>
      <c r="AD29" s="812"/>
      <c r="AE29" s="812"/>
      <c r="AF29" s="812"/>
      <c r="AG29" s="812"/>
      <c r="AH29" s="81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c r="BH29" s="813"/>
      <c r="BI29" s="813"/>
      <c r="BJ29" s="813"/>
      <c r="BK29" s="813"/>
      <c r="BL29" s="813"/>
      <c r="BM29" s="813"/>
      <c r="BN29" s="813"/>
      <c r="BO29" s="813"/>
      <c r="BP29" s="813"/>
      <c r="BQ29" s="813"/>
      <c r="BR29" s="813"/>
      <c r="BS29" s="813"/>
      <c r="BT29" s="813"/>
      <c r="BU29" s="813"/>
      <c r="BV29" s="813"/>
      <c r="BW29" s="813"/>
      <c r="BX29" s="813"/>
      <c r="BY29" s="813"/>
      <c r="BZ29" s="813"/>
      <c r="CA29" s="813"/>
      <c r="CB29" s="813"/>
      <c r="CC29" s="813"/>
    </row>
    <row r="30" spans="1:81" s="855" customFormat="1" ht="119.4" customHeight="1" thickBot="1" x14ac:dyDescent="0.35">
      <c r="A30" s="898" t="s">
        <v>1913</v>
      </c>
      <c r="B30" s="1161" t="s">
        <v>1931</v>
      </c>
      <c r="C30" s="1162"/>
      <c r="D30" s="1162"/>
      <c r="E30" s="994">
        <f>Import!L259</f>
        <v>0</v>
      </c>
      <c r="F30" s="992"/>
      <c r="G30" s="994" t="str">
        <f>IF('TD Info Completed by Auditor'!C31&gt;N30,"Late","Response Not Required")</f>
        <v>Response Not Required</v>
      </c>
      <c r="H30" s="899" t="s">
        <v>853</v>
      </c>
      <c r="I30" s="1048" t="s">
        <v>1925</v>
      </c>
      <c r="J30" s="807"/>
      <c r="K30" s="827"/>
      <c r="L30" s="999">
        <f>'TD Info Completed by Auditor'!C31</f>
        <v>0</v>
      </c>
      <c r="M30" s="1000">
        <f>'TD Info Completed by Auditor'!C30</f>
        <v>45473</v>
      </c>
      <c r="N30" s="1001">
        <f>IF(M30=DATEVALUE("6/30/2024"),N32,IF(M30=DATEVALUE("9/30/2024"),N33,IF(M30=DATEVALUE("12/31/2024"),N34,IF(M30=DATEVALUE("3/31/2025"),N35))))</f>
        <v>45657</v>
      </c>
      <c r="P30" s="996"/>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3"/>
      <c r="BI30" s="813"/>
      <c r="BJ30" s="813"/>
      <c r="BK30" s="813"/>
      <c r="BL30" s="813"/>
      <c r="BM30" s="813"/>
      <c r="BN30" s="813"/>
      <c r="BO30" s="813"/>
      <c r="BP30" s="813"/>
      <c r="BQ30" s="813"/>
      <c r="BR30" s="813"/>
      <c r="BS30" s="813"/>
      <c r="BT30" s="813"/>
      <c r="BU30" s="813"/>
      <c r="BV30" s="813"/>
      <c r="BW30" s="813"/>
      <c r="BX30" s="813"/>
      <c r="BY30" s="813"/>
      <c r="BZ30" s="813"/>
      <c r="CA30" s="813"/>
      <c r="CB30" s="813"/>
      <c r="CC30" s="813"/>
    </row>
    <row r="31" spans="1:81" s="855" customFormat="1" ht="18" customHeight="1" thickBot="1" x14ac:dyDescent="0.35">
      <c r="A31" s="900"/>
      <c r="B31" s="1106"/>
      <c r="C31" s="1106"/>
      <c r="D31" s="1107"/>
      <c r="E31" s="866">
        <v>2024</v>
      </c>
      <c r="F31" s="901" t="s">
        <v>852</v>
      </c>
      <c r="G31" s="902"/>
      <c r="H31" s="902"/>
      <c r="I31" s="903"/>
      <c r="J31" s="904"/>
      <c r="K31" s="827"/>
      <c r="L31" s="1002" t="s">
        <v>1934</v>
      </c>
      <c r="M31" s="1003" t="s">
        <v>1935</v>
      </c>
      <c r="N31" s="1004"/>
      <c r="P31" s="811"/>
      <c r="Q31" s="812"/>
      <c r="R31" s="812"/>
      <c r="S31" s="812"/>
      <c r="T31" s="812"/>
      <c r="U31" s="812"/>
      <c r="V31" s="812"/>
      <c r="W31" s="812"/>
      <c r="X31" s="812"/>
      <c r="Y31" s="812"/>
      <c r="Z31" s="812"/>
      <c r="AA31" s="812"/>
      <c r="AB31" s="812"/>
      <c r="AC31" s="812"/>
      <c r="AD31" s="812"/>
      <c r="AE31" s="812"/>
      <c r="AF31" s="812"/>
      <c r="AG31" s="812"/>
      <c r="AH31" s="812"/>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c r="BH31" s="813"/>
      <c r="BI31" s="813"/>
      <c r="BJ31" s="813"/>
      <c r="BK31" s="813"/>
      <c r="BL31" s="813"/>
      <c r="BM31" s="813"/>
      <c r="BN31" s="813"/>
      <c r="BO31" s="813"/>
      <c r="BP31" s="813"/>
      <c r="BQ31" s="813"/>
      <c r="BR31" s="813"/>
      <c r="BS31" s="813"/>
      <c r="BT31" s="813"/>
      <c r="BU31" s="813"/>
      <c r="BV31" s="813"/>
      <c r="BW31" s="813"/>
      <c r="BX31" s="813"/>
      <c r="BY31" s="813"/>
      <c r="BZ31" s="813"/>
      <c r="CA31" s="813"/>
      <c r="CB31" s="813"/>
      <c r="CC31" s="813"/>
    </row>
    <row r="32" spans="1:81" s="855" customFormat="1" ht="114.6" customHeight="1" thickBot="1" x14ac:dyDescent="0.35">
      <c r="A32" s="830">
        <v>13</v>
      </c>
      <c r="B32" s="1097" t="s">
        <v>1476</v>
      </c>
      <c r="C32" s="1108"/>
      <c r="D32" s="1108"/>
      <c r="E32" s="905"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03" t="s">
        <v>581</v>
      </c>
      <c r="G32" s="906" t="str">
        <f>+E32</f>
        <v>This question must be answered unless the unit does not levy ad valorem taxes. See cells F63 &amp; F64 on Unit Data from Audit</v>
      </c>
      <c r="H32" s="841" t="s">
        <v>1420</v>
      </c>
      <c r="I32" s="890" t="s">
        <v>585</v>
      </c>
      <c r="J32" s="807"/>
      <c r="K32" s="827"/>
      <c r="L32" s="1002"/>
      <c r="M32" s="1005">
        <v>45473</v>
      </c>
      <c r="N32" s="1006">
        <v>45657</v>
      </c>
      <c r="O32" s="810"/>
      <c r="P32" s="811"/>
      <c r="Q32" s="812"/>
      <c r="R32" s="812"/>
      <c r="S32" s="812"/>
      <c r="T32" s="812"/>
      <c r="U32" s="812"/>
      <c r="V32" s="812"/>
      <c r="W32" s="812"/>
      <c r="X32" s="812"/>
      <c r="Y32" s="812"/>
      <c r="Z32" s="812"/>
      <c r="AA32" s="812"/>
      <c r="AB32" s="812"/>
      <c r="AC32" s="812"/>
      <c r="AD32" s="812"/>
      <c r="AE32" s="812"/>
      <c r="AF32" s="812"/>
      <c r="AG32" s="812"/>
      <c r="AH32" s="812"/>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c r="BH32" s="813"/>
      <c r="BI32" s="813"/>
      <c r="BJ32" s="813"/>
      <c r="BK32" s="813"/>
      <c r="BL32" s="813"/>
      <c r="BM32" s="813"/>
      <c r="BN32" s="813"/>
      <c r="BO32" s="813"/>
      <c r="BP32" s="813"/>
      <c r="BQ32" s="813"/>
      <c r="BR32" s="813"/>
      <c r="BS32" s="813"/>
      <c r="BT32" s="813"/>
      <c r="BU32" s="813"/>
      <c r="BV32" s="813"/>
      <c r="BW32" s="813"/>
      <c r="BX32" s="813"/>
      <c r="BY32" s="813"/>
      <c r="BZ32" s="813"/>
      <c r="CA32" s="813"/>
      <c r="CB32" s="813"/>
      <c r="CC32" s="813"/>
    </row>
    <row r="33" spans="1:81" s="855" customFormat="1" ht="18" customHeight="1" thickBot="1" x14ac:dyDescent="0.35">
      <c r="A33" s="907"/>
      <c r="B33" s="1106"/>
      <c r="C33" s="1106"/>
      <c r="D33" s="1107"/>
      <c r="E33" s="866">
        <v>2024</v>
      </c>
      <c r="F33" s="901" t="s">
        <v>852</v>
      </c>
      <c r="G33" s="902"/>
      <c r="H33" s="902"/>
      <c r="I33" s="903"/>
      <c r="J33" s="904"/>
      <c r="K33" s="809"/>
      <c r="L33" s="1002"/>
      <c r="M33" s="1005">
        <v>45565</v>
      </c>
      <c r="N33" s="1006">
        <v>45747</v>
      </c>
      <c r="O33" s="810"/>
      <c r="P33" s="811"/>
      <c r="Q33" s="812"/>
      <c r="R33" s="812"/>
      <c r="S33" s="812"/>
      <c r="T33" s="812"/>
      <c r="U33" s="812"/>
      <c r="V33" s="812"/>
      <c r="W33" s="812"/>
      <c r="X33" s="812"/>
      <c r="Y33" s="812"/>
      <c r="Z33" s="812"/>
      <c r="AA33" s="812"/>
      <c r="AB33" s="812"/>
      <c r="AC33" s="812"/>
      <c r="AD33" s="812"/>
      <c r="AE33" s="812"/>
      <c r="AF33" s="812"/>
      <c r="AG33" s="812"/>
      <c r="AH33" s="812"/>
      <c r="AI33" s="812"/>
      <c r="AJ33" s="812"/>
      <c r="AK33" s="812"/>
      <c r="AL33" s="812"/>
      <c r="AM33" s="812"/>
      <c r="AN33" s="812"/>
      <c r="AO33" s="812"/>
      <c r="AP33" s="812"/>
      <c r="AQ33" s="812"/>
      <c r="AR33" s="812"/>
      <c r="AS33" s="812"/>
      <c r="AT33" s="812"/>
      <c r="AU33" s="812"/>
      <c r="AV33" s="812"/>
      <c r="AW33" s="812"/>
      <c r="AX33" s="812"/>
      <c r="AY33" s="812"/>
      <c r="AZ33" s="812"/>
      <c r="BA33" s="812"/>
      <c r="BB33" s="812"/>
      <c r="BC33" s="812"/>
      <c r="BD33" s="812"/>
      <c r="BE33" s="812"/>
      <c r="BF33" s="812"/>
      <c r="BG33" s="812"/>
      <c r="BH33" s="813"/>
      <c r="BI33" s="813"/>
      <c r="BJ33" s="813"/>
      <c r="BK33" s="813"/>
      <c r="BL33" s="813"/>
      <c r="BM33" s="813"/>
      <c r="BN33" s="813"/>
      <c r="BO33" s="813"/>
      <c r="BP33" s="813"/>
      <c r="BQ33" s="813"/>
      <c r="BR33" s="813"/>
      <c r="BS33" s="813"/>
      <c r="BT33" s="813"/>
      <c r="BU33" s="813"/>
      <c r="BV33" s="813"/>
      <c r="BW33" s="813"/>
      <c r="BX33" s="813"/>
      <c r="BY33" s="813"/>
      <c r="BZ33" s="813"/>
      <c r="CA33" s="813"/>
      <c r="CB33" s="813"/>
      <c r="CC33" s="813"/>
    </row>
    <row r="34" spans="1:81" s="855" customFormat="1" ht="97.5" customHeight="1" thickBot="1" x14ac:dyDescent="0.35">
      <c r="A34" s="830">
        <v>14</v>
      </c>
      <c r="B34" s="1117" t="s">
        <v>1076</v>
      </c>
      <c r="C34" s="1158"/>
      <c r="D34" s="1158"/>
      <c r="E34" s="908" t="str">
        <f>IF(Import!L210=20,"Increase",IF(Import!L210=21,"Decrease",IF(Import!L210=22,"No Change",IF(Import!L210=23,"N/A","This question must be answered. See cell F265 on Unit Data from Audit"))))</f>
        <v>This question must be answered. See cell F265 on Unit Data from Audit</v>
      </c>
      <c r="F34" s="803" t="s">
        <v>854</v>
      </c>
      <c r="G34" s="908" t="str">
        <f>E34</f>
        <v>This question must be answered. See cell F265 on Unit Data from Audit</v>
      </c>
      <c r="H34" s="841" t="s">
        <v>855</v>
      </c>
      <c r="I34" s="890" t="s">
        <v>586</v>
      </c>
      <c r="J34" s="807"/>
      <c r="K34" s="909"/>
      <c r="L34" s="1002"/>
      <c r="M34" s="1005">
        <v>45657</v>
      </c>
      <c r="N34" s="1006">
        <v>45838</v>
      </c>
      <c r="O34" s="810"/>
      <c r="P34" s="811"/>
      <c r="Q34" s="812"/>
      <c r="R34" s="812"/>
      <c r="S34" s="812"/>
      <c r="T34" s="812"/>
      <c r="U34" s="812"/>
      <c r="V34" s="812"/>
      <c r="W34" s="812"/>
      <c r="X34" s="812"/>
      <c r="Y34" s="812"/>
      <c r="Z34" s="812"/>
      <c r="AA34" s="812"/>
      <c r="AB34" s="812"/>
      <c r="AC34" s="812"/>
      <c r="AD34" s="812"/>
      <c r="AE34" s="812"/>
      <c r="AF34" s="812"/>
      <c r="AG34" s="812"/>
      <c r="AH34" s="812"/>
      <c r="AI34" s="812"/>
      <c r="AJ34" s="812"/>
      <c r="AK34" s="812"/>
      <c r="AL34" s="812"/>
      <c r="AM34" s="812"/>
      <c r="AN34" s="812"/>
      <c r="AO34" s="812"/>
      <c r="AP34" s="812"/>
      <c r="AQ34" s="812"/>
      <c r="AR34" s="812"/>
      <c r="AS34" s="812"/>
      <c r="AT34" s="812"/>
      <c r="AU34" s="812"/>
      <c r="AV34" s="812"/>
      <c r="AW34" s="812"/>
      <c r="AX34" s="812"/>
      <c r="AY34" s="812"/>
      <c r="AZ34" s="812"/>
      <c r="BA34" s="812"/>
      <c r="BB34" s="812"/>
      <c r="BC34" s="812"/>
      <c r="BD34" s="812"/>
      <c r="BE34" s="812"/>
      <c r="BF34" s="812"/>
      <c r="BG34" s="812"/>
      <c r="BH34" s="813"/>
      <c r="BI34" s="813"/>
      <c r="BJ34" s="813"/>
      <c r="BK34" s="813"/>
      <c r="BL34" s="813"/>
      <c r="BM34" s="813"/>
      <c r="BN34" s="813"/>
      <c r="BO34" s="813"/>
      <c r="BP34" s="813"/>
      <c r="BQ34" s="813"/>
      <c r="BR34" s="813"/>
      <c r="BS34" s="813"/>
      <c r="BT34" s="813"/>
      <c r="BU34" s="813"/>
      <c r="BV34" s="813"/>
      <c r="BW34" s="813"/>
      <c r="BX34" s="813"/>
      <c r="BY34" s="813"/>
      <c r="BZ34" s="813"/>
      <c r="CA34" s="813"/>
      <c r="CB34" s="813"/>
      <c r="CC34" s="813"/>
    </row>
    <row r="35" spans="1:81" s="855" customFormat="1" ht="18" customHeight="1" thickBot="1" x14ac:dyDescent="0.35">
      <c r="A35" s="907"/>
      <c r="B35" s="1106"/>
      <c r="C35" s="1106"/>
      <c r="D35" s="1107"/>
      <c r="E35" s="866">
        <v>2024</v>
      </c>
      <c r="F35" s="901" t="s">
        <v>852</v>
      </c>
      <c r="G35" s="902"/>
      <c r="H35" s="910"/>
      <c r="I35" s="903"/>
      <c r="J35" s="904"/>
      <c r="K35" s="911"/>
      <c r="L35" s="1007"/>
      <c r="M35" s="1008">
        <v>45747</v>
      </c>
      <c r="N35" s="1009">
        <v>45930</v>
      </c>
      <c r="O35" s="810"/>
      <c r="P35" s="811"/>
      <c r="Q35" s="812"/>
      <c r="R35" s="812"/>
      <c r="S35" s="812"/>
      <c r="T35" s="812"/>
      <c r="U35" s="812"/>
      <c r="V35" s="812"/>
      <c r="W35" s="812"/>
      <c r="X35" s="812"/>
      <c r="Y35" s="812"/>
      <c r="Z35" s="812"/>
      <c r="AA35" s="812"/>
      <c r="AB35" s="812"/>
      <c r="AC35" s="812"/>
      <c r="AD35" s="812"/>
      <c r="AE35" s="812"/>
      <c r="AF35" s="812"/>
      <c r="AG35" s="812"/>
      <c r="AH35" s="812"/>
      <c r="AI35" s="812"/>
      <c r="AJ35" s="812"/>
      <c r="AK35" s="812"/>
      <c r="AL35" s="812"/>
      <c r="AM35" s="812"/>
      <c r="AN35" s="812"/>
      <c r="AO35" s="812"/>
      <c r="AP35" s="812"/>
      <c r="AQ35" s="812"/>
      <c r="AR35" s="812"/>
      <c r="AS35" s="812"/>
      <c r="AT35" s="812"/>
      <c r="AU35" s="812"/>
      <c r="AV35" s="812"/>
      <c r="AW35" s="812"/>
      <c r="AX35" s="812"/>
      <c r="AY35" s="812"/>
      <c r="AZ35" s="812"/>
      <c r="BA35" s="812"/>
      <c r="BB35" s="812"/>
      <c r="BC35" s="812"/>
      <c r="BD35" s="812"/>
      <c r="BE35" s="812"/>
      <c r="BF35" s="812"/>
      <c r="BG35" s="812"/>
      <c r="BH35" s="813"/>
      <c r="BI35" s="813"/>
      <c r="BJ35" s="813"/>
      <c r="BK35" s="813"/>
      <c r="BL35" s="813"/>
      <c r="BM35" s="813"/>
      <c r="BN35" s="813"/>
      <c r="BO35" s="813"/>
      <c r="BP35" s="813"/>
      <c r="BQ35" s="813"/>
      <c r="BR35" s="813"/>
      <c r="BS35" s="813"/>
      <c r="BT35" s="813"/>
      <c r="BU35" s="813"/>
      <c r="BV35" s="813"/>
      <c r="BW35" s="813"/>
      <c r="BX35" s="813"/>
      <c r="BY35" s="813"/>
      <c r="BZ35" s="813"/>
      <c r="CA35" s="813"/>
      <c r="CB35" s="813"/>
      <c r="CC35" s="813"/>
    </row>
    <row r="36" spans="1:81" s="855" customFormat="1" ht="88.2" customHeight="1" thickBot="1" x14ac:dyDescent="0.35">
      <c r="A36" s="830">
        <v>15</v>
      </c>
      <c r="B36" s="1111" t="s">
        <v>1879</v>
      </c>
      <c r="C36" s="1112"/>
      <c r="D36" s="1113"/>
      <c r="E36" s="803" t="str">
        <f>IF(Import!L216=1,"Yes",IF(Import!L216=2,"No",IF(Import!L216=0,"This question must be answered.  See cell C15 on TD")))</f>
        <v>This question must be answered.  See cell C15 on TD</v>
      </c>
      <c r="F36" s="803" t="s">
        <v>587</v>
      </c>
      <c r="G36" s="803" t="str">
        <f>+E36</f>
        <v>This question must be answered.  See cell C15 on TD</v>
      </c>
      <c r="H36" s="912" t="s">
        <v>1077</v>
      </c>
      <c r="I36" s="890" t="s">
        <v>1456</v>
      </c>
      <c r="J36" s="807"/>
      <c r="K36" s="827"/>
      <c r="L36" s="810"/>
      <c r="M36" s="810"/>
      <c r="N36" s="995"/>
      <c r="O36" s="810"/>
      <c r="P36" s="811"/>
      <c r="Q36" s="812"/>
      <c r="R36" s="812"/>
      <c r="S36" s="812"/>
      <c r="T36" s="812"/>
      <c r="U36" s="812"/>
      <c r="V36" s="812"/>
      <c r="W36" s="812"/>
      <c r="X36" s="812"/>
      <c r="Y36" s="812"/>
      <c r="Z36" s="812"/>
      <c r="AA36" s="812"/>
      <c r="AB36" s="812"/>
      <c r="AC36" s="812"/>
      <c r="AD36" s="812"/>
      <c r="AE36" s="812"/>
      <c r="AF36" s="812"/>
      <c r="AG36" s="812"/>
      <c r="AH36" s="812"/>
      <c r="AI36" s="812"/>
      <c r="AJ36" s="812"/>
      <c r="AK36" s="812"/>
      <c r="AL36" s="812"/>
      <c r="AM36" s="812"/>
      <c r="AN36" s="812"/>
      <c r="AO36" s="812"/>
      <c r="AP36" s="812"/>
      <c r="AQ36" s="812"/>
      <c r="AR36" s="812"/>
      <c r="AS36" s="812"/>
      <c r="AT36" s="812"/>
      <c r="AU36" s="812"/>
      <c r="AV36" s="812"/>
      <c r="AW36" s="812"/>
      <c r="AX36" s="812"/>
      <c r="AY36" s="812"/>
      <c r="AZ36" s="812"/>
      <c r="BA36" s="812"/>
      <c r="BB36" s="812"/>
      <c r="BC36" s="812"/>
      <c r="BD36" s="812"/>
      <c r="BE36" s="812"/>
      <c r="BF36" s="812"/>
      <c r="BG36" s="812"/>
      <c r="BH36" s="813"/>
      <c r="BI36" s="813"/>
      <c r="BJ36" s="813"/>
      <c r="BK36" s="813"/>
      <c r="BL36" s="813"/>
      <c r="BM36" s="813"/>
      <c r="BN36" s="813"/>
      <c r="BO36" s="813"/>
      <c r="BP36" s="813"/>
      <c r="BQ36" s="813"/>
      <c r="BR36" s="813"/>
      <c r="BS36" s="813"/>
      <c r="BT36" s="813"/>
      <c r="BU36" s="813"/>
      <c r="BV36" s="813"/>
      <c r="BW36" s="813"/>
      <c r="BX36" s="813"/>
      <c r="BY36" s="813"/>
      <c r="BZ36" s="813"/>
      <c r="CA36" s="813"/>
      <c r="CB36" s="813"/>
      <c r="CC36" s="813"/>
    </row>
    <row r="37" spans="1:81" s="855" customFormat="1" ht="18" customHeight="1" thickBot="1" x14ac:dyDescent="0.35">
      <c r="A37" s="907"/>
      <c r="B37" s="1106"/>
      <c r="C37" s="1106"/>
      <c r="D37" s="1107"/>
      <c r="E37" s="866">
        <v>2024</v>
      </c>
      <c r="F37" s="901" t="s">
        <v>852</v>
      </c>
      <c r="G37" s="902"/>
      <c r="H37" s="910"/>
      <c r="I37" s="903"/>
      <c r="J37" s="904"/>
      <c r="K37" s="827"/>
      <c r="L37" s="810"/>
      <c r="M37" s="810"/>
      <c r="N37" s="810"/>
      <c r="O37" s="810"/>
      <c r="P37" s="811"/>
      <c r="Q37" s="812"/>
      <c r="R37" s="812"/>
      <c r="S37" s="812"/>
      <c r="T37" s="812"/>
      <c r="U37" s="812"/>
      <c r="V37" s="812"/>
      <c r="W37" s="812"/>
      <c r="X37" s="812"/>
      <c r="Y37" s="812"/>
      <c r="Z37" s="812"/>
      <c r="AA37" s="812"/>
      <c r="AB37" s="812"/>
      <c r="AC37" s="812"/>
      <c r="AD37" s="812"/>
      <c r="AE37" s="812"/>
      <c r="AF37" s="812"/>
      <c r="AG37" s="812"/>
      <c r="AH37" s="812"/>
      <c r="AI37" s="812"/>
      <c r="AJ37" s="812"/>
      <c r="AK37" s="812"/>
      <c r="AL37" s="812"/>
      <c r="AM37" s="812"/>
      <c r="AN37" s="812"/>
      <c r="AO37" s="812"/>
      <c r="AP37" s="812"/>
      <c r="AQ37" s="812"/>
      <c r="AR37" s="812"/>
      <c r="AS37" s="812"/>
      <c r="AT37" s="812"/>
      <c r="AU37" s="812"/>
      <c r="AV37" s="812"/>
      <c r="AW37" s="812"/>
      <c r="AX37" s="812"/>
      <c r="AY37" s="812"/>
      <c r="AZ37" s="812"/>
      <c r="BA37" s="812"/>
      <c r="BB37" s="812"/>
      <c r="BC37" s="812"/>
      <c r="BD37" s="812"/>
      <c r="BE37" s="812"/>
      <c r="BF37" s="812"/>
      <c r="BG37" s="812"/>
      <c r="BH37" s="813"/>
      <c r="BI37" s="813"/>
      <c r="BJ37" s="813"/>
      <c r="BK37" s="813"/>
      <c r="BL37" s="813"/>
      <c r="BM37" s="813"/>
      <c r="BN37" s="813"/>
      <c r="BO37" s="813"/>
      <c r="BP37" s="813"/>
      <c r="BQ37" s="813"/>
      <c r="BR37" s="813"/>
      <c r="BS37" s="813"/>
      <c r="BT37" s="813"/>
      <c r="BU37" s="813"/>
      <c r="BV37" s="813"/>
      <c r="BW37" s="813"/>
      <c r="BX37" s="813"/>
      <c r="BY37" s="813"/>
      <c r="BZ37" s="813"/>
      <c r="CA37" s="813"/>
      <c r="CB37" s="813"/>
      <c r="CC37" s="813"/>
    </row>
    <row r="38" spans="1:81" s="855" customFormat="1" ht="109.8" customHeight="1" thickBot="1" x14ac:dyDescent="0.35">
      <c r="A38" s="830">
        <v>16</v>
      </c>
      <c r="B38" s="1096" t="s">
        <v>1575</v>
      </c>
      <c r="C38" s="1096"/>
      <c r="D38" s="1097"/>
      <c r="E38" s="925" t="str">
        <f>IF(AND(Import!L214=2,Import!L215=2,Import!L217=2,AND(Import!L223&lt;=0,Import!L224&lt;=0)),"No","Yes")</f>
        <v>Yes</v>
      </c>
      <c r="F38" s="913"/>
      <c r="G38" s="875" t="str">
        <f>E38</f>
        <v>Yes</v>
      </c>
      <c r="H38" s="1049" t="s">
        <v>1862</v>
      </c>
      <c r="I38" s="849" t="s">
        <v>1468</v>
      </c>
      <c r="J38" s="807"/>
      <c r="K38" s="827"/>
      <c r="L38" s="810"/>
      <c r="M38" s="810"/>
      <c r="N38" s="810"/>
      <c r="O38" s="810"/>
      <c r="P38" s="811"/>
      <c r="Q38" s="812"/>
      <c r="R38" s="812"/>
      <c r="S38" s="812"/>
      <c r="T38" s="812"/>
      <c r="U38" s="812"/>
      <c r="V38" s="812"/>
      <c r="W38" s="812"/>
      <c r="X38" s="812"/>
      <c r="Y38" s="812"/>
      <c r="Z38" s="812"/>
      <c r="AA38" s="812"/>
      <c r="AB38" s="812"/>
      <c r="AC38" s="812"/>
      <c r="AD38" s="812"/>
      <c r="AE38" s="812"/>
      <c r="AF38" s="812"/>
      <c r="AG38" s="812"/>
      <c r="AH38" s="812"/>
      <c r="AI38" s="812"/>
      <c r="AJ38" s="812"/>
      <c r="AK38" s="812"/>
      <c r="AL38" s="812"/>
      <c r="AM38" s="812"/>
      <c r="AN38" s="812"/>
      <c r="AO38" s="812"/>
      <c r="AP38" s="812"/>
      <c r="AQ38" s="812"/>
      <c r="AR38" s="812"/>
      <c r="AS38" s="812"/>
      <c r="AT38" s="812"/>
      <c r="AU38" s="812"/>
      <c r="AV38" s="812"/>
      <c r="AW38" s="812"/>
      <c r="AX38" s="812"/>
      <c r="AY38" s="812"/>
      <c r="AZ38" s="812"/>
      <c r="BA38" s="812"/>
      <c r="BB38" s="812"/>
      <c r="BC38" s="812"/>
      <c r="BD38" s="812"/>
      <c r="BE38" s="812"/>
      <c r="BF38" s="812"/>
      <c r="BG38" s="812"/>
      <c r="BH38" s="813"/>
      <c r="BI38" s="813"/>
      <c r="BJ38" s="813"/>
      <c r="BK38" s="813"/>
      <c r="BL38" s="813"/>
      <c r="BM38" s="813"/>
      <c r="BN38" s="813"/>
      <c r="BO38" s="813"/>
      <c r="BP38" s="813"/>
      <c r="BQ38" s="813"/>
      <c r="BR38" s="813"/>
      <c r="BS38" s="813"/>
      <c r="BT38" s="813"/>
      <c r="BU38" s="813"/>
      <c r="BV38" s="813"/>
      <c r="BW38" s="813"/>
      <c r="BX38" s="813"/>
      <c r="BY38" s="813"/>
      <c r="BZ38" s="813"/>
      <c r="CA38" s="813"/>
      <c r="CB38" s="813"/>
      <c r="CC38" s="813"/>
    </row>
    <row r="39" spans="1:81" s="855" customFormat="1" ht="98.4" customHeight="1" thickBot="1" x14ac:dyDescent="0.35">
      <c r="A39" s="973">
        <v>17</v>
      </c>
      <c r="B39" s="1111" t="s">
        <v>1904</v>
      </c>
      <c r="C39" s="1112"/>
      <c r="D39" s="1113"/>
      <c r="E39" s="875" t="str">
        <f>IF(Import!L218=1,"Yes",IF(Import!L218=2,"No",IF(Import!L218=0,"This question must be answered.  See cell C17 on TD")))</f>
        <v>This question must be answered.  See cell C17 on TD</v>
      </c>
      <c r="F39" s="913"/>
      <c r="G39" s="875" t="str">
        <f>E39</f>
        <v>This question must be answered.  See cell C17 on TD</v>
      </c>
      <c r="H39" s="912" t="s">
        <v>1929</v>
      </c>
      <c r="I39" s="849" t="s">
        <v>1463</v>
      </c>
      <c r="J39" s="807"/>
      <c r="K39" s="827"/>
      <c r="L39" s="810"/>
      <c r="M39" s="810"/>
      <c r="N39" s="810"/>
      <c r="O39" s="810"/>
      <c r="P39" s="811"/>
      <c r="Q39" s="812"/>
      <c r="U39" s="812"/>
      <c r="V39" s="812"/>
      <c r="W39" s="812"/>
      <c r="X39" s="812"/>
      <c r="Y39" s="812"/>
      <c r="Z39" s="812"/>
      <c r="AA39" s="812"/>
      <c r="AB39" s="812"/>
      <c r="AC39" s="812"/>
      <c r="AD39" s="812"/>
      <c r="AE39" s="812"/>
      <c r="AF39" s="812"/>
      <c r="AG39" s="812"/>
      <c r="AH39" s="812"/>
      <c r="AI39" s="812"/>
      <c r="AJ39" s="812"/>
      <c r="AK39" s="812"/>
      <c r="AL39" s="812"/>
      <c r="AM39" s="812"/>
      <c r="AN39" s="812"/>
      <c r="AO39" s="812"/>
      <c r="AP39" s="812"/>
      <c r="AQ39" s="812"/>
      <c r="AR39" s="812"/>
      <c r="AS39" s="812"/>
      <c r="AT39" s="812"/>
      <c r="AU39" s="812"/>
      <c r="AV39" s="812"/>
      <c r="AW39" s="812"/>
      <c r="AX39" s="812"/>
      <c r="AY39" s="812"/>
      <c r="AZ39" s="812"/>
      <c r="BA39" s="812"/>
      <c r="BB39" s="812"/>
      <c r="BC39" s="812"/>
      <c r="BD39" s="812"/>
      <c r="BE39" s="812"/>
      <c r="BF39" s="812"/>
      <c r="BG39" s="812"/>
      <c r="BH39" s="813"/>
      <c r="BI39" s="813"/>
      <c r="BJ39" s="813"/>
      <c r="BK39" s="813"/>
      <c r="BL39" s="813"/>
      <c r="BM39" s="813"/>
      <c r="BN39" s="813"/>
      <c r="BO39" s="813"/>
      <c r="BP39" s="813"/>
      <c r="BQ39" s="813"/>
      <c r="BR39" s="813"/>
      <c r="BS39" s="813"/>
      <c r="BT39" s="813"/>
      <c r="BU39" s="813"/>
      <c r="BV39" s="813"/>
      <c r="BW39" s="813"/>
      <c r="BX39" s="813"/>
      <c r="BY39" s="813"/>
      <c r="BZ39" s="813"/>
      <c r="CA39" s="813"/>
      <c r="CB39" s="813"/>
      <c r="CC39" s="813"/>
    </row>
    <row r="40" spans="1:81" s="855" customFormat="1" ht="106.2" customHeight="1" thickBot="1" x14ac:dyDescent="0.35">
      <c r="A40" s="973">
        <v>18</v>
      </c>
      <c r="B40" s="1111" t="s">
        <v>1664</v>
      </c>
      <c r="C40" s="1112"/>
      <c r="D40" s="1113"/>
      <c r="E40" s="875" t="str">
        <f>IF(Import!L220=1,"Yes",IF(Import!L220=2,"No",IF(Import!L220=0,"This question must be answered.  See cell C19 on TD")))</f>
        <v>This question must be answered.  See cell C19 on TD</v>
      </c>
      <c r="F40" s="913"/>
      <c r="G40" s="875" t="str">
        <f>E40</f>
        <v>This question must be answered.  See cell C19 on TD</v>
      </c>
      <c r="H40" s="912" t="s">
        <v>1937</v>
      </c>
      <c r="I40" s="849" t="s">
        <v>1562</v>
      </c>
      <c r="J40" s="807"/>
      <c r="K40" s="827"/>
      <c r="L40" s="810"/>
      <c r="M40" s="810"/>
      <c r="N40" s="810"/>
      <c r="O40" s="810"/>
      <c r="P40" s="811"/>
      <c r="Q40" s="812"/>
      <c r="R40" s="812"/>
      <c r="S40" s="812"/>
      <c r="T40" s="812"/>
      <c r="U40" s="812"/>
      <c r="V40" s="812"/>
      <c r="W40" s="812"/>
      <c r="X40" s="812"/>
      <c r="Y40" s="812"/>
      <c r="Z40" s="812"/>
      <c r="AA40" s="812"/>
      <c r="AB40" s="812"/>
      <c r="AC40" s="812"/>
      <c r="AD40" s="812"/>
      <c r="AE40" s="812"/>
      <c r="AF40" s="812"/>
      <c r="AG40" s="812"/>
      <c r="AH40" s="812"/>
      <c r="AI40" s="812"/>
      <c r="AJ40" s="812"/>
      <c r="AK40" s="812"/>
      <c r="AL40" s="812"/>
      <c r="AM40" s="812"/>
      <c r="AN40" s="812"/>
      <c r="AO40" s="812"/>
      <c r="AP40" s="812"/>
      <c r="AQ40" s="812"/>
      <c r="AR40" s="812"/>
      <c r="AS40" s="812"/>
      <c r="AT40" s="812"/>
      <c r="AU40" s="812"/>
      <c r="AV40" s="812"/>
      <c r="AW40" s="812"/>
      <c r="AX40" s="812"/>
      <c r="AY40" s="812"/>
      <c r="AZ40" s="812"/>
      <c r="BA40" s="812"/>
      <c r="BB40" s="812"/>
      <c r="BC40" s="812"/>
      <c r="BD40" s="812"/>
      <c r="BE40" s="812"/>
      <c r="BF40" s="812"/>
      <c r="BG40" s="812"/>
      <c r="BH40" s="813"/>
      <c r="BI40" s="813"/>
      <c r="BJ40" s="813"/>
      <c r="BK40" s="813"/>
      <c r="BL40" s="813"/>
      <c r="BM40" s="813"/>
      <c r="BN40" s="813"/>
      <c r="BO40" s="813"/>
      <c r="BP40" s="813"/>
      <c r="BQ40" s="813"/>
      <c r="BR40" s="813"/>
      <c r="BS40" s="813"/>
      <c r="BT40" s="813"/>
      <c r="BU40" s="813"/>
      <c r="BV40" s="813"/>
      <c r="BW40" s="813"/>
      <c r="BX40" s="813"/>
      <c r="BY40" s="813"/>
      <c r="BZ40" s="813"/>
      <c r="CA40" s="813"/>
      <c r="CB40" s="813"/>
      <c r="CC40" s="813"/>
    </row>
    <row r="41" spans="1:81" s="855" customFormat="1" ht="18" customHeight="1" thickBot="1" x14ac:dyDescent="0.35">
      <c r="A41" s="907"/>
      <c r="B41" s="1114" t="s">
        <v>851</v>
      </c>
      <c r="C41" s="1114"/>
      <c r="D41" s="1115"/>
      <c r="E41" s="866">
        <v>2024</v>
      </c>
      <c r="F41" s="901" t="s">
        <v>852</v>
      </c>
      <c r="G41" s="915"/>
      <c r="H41" s="902"/>
      <c r="I41" s="916"/>
      <c r="J41" s="904"/>
      <c r="K41" s="827"/>
      <c r="L41" s="810"/>
      <c r="M41" s="810"/>
      <c r="N41" s="810"/>
      <c r="O41" s="810"/>
      <c r="P41" s="811"/>
      <c r="Q41" s="812"/>
      <c r="R41" s="812"/>
      <c r="S41" s="812"/>
      <c r="T41" s="812"/>
      <c r="U41" s="812"/>
      <c r="V41" s="812"/>
      <c r="W41" s="812"/>
      <c r="X41" s="812"/>
      <c r="Y41" s="812"/>
      <c r="Z41" s="812"/>
      <c r="AA41" s="812"/>
      <c r="AB41" s="812"/>
      <c r="AC41" s="812"/>
      <c r="AD41" s="812"/>
      <c r="AE41" s="812"/>
      <c r="AF41" s="812"/>
      <c r="AG41" s="812"/>
      <c r="AH41" s="812"/>
      <c r="AI41" s="812"/>
      <c r="AJ41" s="812"/>
      <c r="AK41" s="812"/>
      <c r="AL41" s="812"/>
      <c r="AM41" s="812"/>
      <c r="AN41" s="812"/>
      <c r="AO41" s="812"/>
      <c r="AP41" s="812"/>
      <c r="AQ41" s="812"/>
      <c r="AR41" s="812"/>
      <c r="AS41" s="812"/>
      <c r="AT41" s="812"/>
      <c r="AU41" s="812"/>
      <c r="AV41" s="812"/>
      <c r="AW41" s="812"/>
      <c r="AX41" s="812"/>
      <c r="AY41" s="812"/>
      <c r="AZ41" s="812"/>
      <c r="BA41" s="812"/>
      <c r="BB41" s="812"/>
      <c r="BC41" s="812"/>
      <c r="BD41" s="812"/>
      <c r="BE41" s="812"/>
      <c r="BF41" s="812"/>
      <c r="BG41" s="812"/>
      <c r="BH41" s="813"/>
      <c r="BI41" s="813"/>
      <c r="BJ41" s="813"/>
      <c r="BK41" s="813"/>
      <c r="BL41" s="813"/>
      <c r="BM41" s="813"/>
      <c r="BN41" s="813"/>
      <c r="BO41" s="813"/>
      <c r="BP41" s="813"/>
      <c r="BQ41" s="813"/>
      <c r="BR41" s="813"/>
      <c r="BS41" s="813"/>
      <c r="BT41" s="813"/>
      <c r="BU41" s="813"/>
      <c r="BV41" s="813"/>
      <c r="BW41" s="813"/>
      <c r="BX41" s="813"/>
      <c r="BY41" s="813"/>
      <c r="BZ41" s="813"/>
      <c r="CA41" s="813"/>
      <c r="CB41" s="813"/>
      <c r="CC41" s="813"/>
    </row>
    <row r="42" spans="1:81" s="855" customFormat="1" ht="82.8" customHeight="1" thickBot="1" x14ac:dyDescent="0.35">
      <c r="A42" s="973">
        <v>19</v>
      </c>
      <c r="B42" s="1116" t="s">
        <v>1075</v>
      </c>
      <c r="C42" s="1116"/>
      <c r="D42" s="1117"/>
      <c r="E42" s="875" t="str">
        <f>IF(Import!L227=1,"Yes",IF(Import!L227=2,"No",IF(Import!L227=3,"N/A",IF(Import!L227=0,"This question must be answered.  See cell C26 on TD"))))</f>
        <v>This question must be answered.  See cell C26 on TD</v>
      </c>
      <c r="F42" s="913"/>
      <c r="G42" s="875" t="str">
        <f>E42</f>
        <v>This question must be answered.  See cell C26 on TD</v>
      </c>
      <c r="H42" s="912" t="s">
        <v>1863</v>
      </c>
      <c r="I42" s="890" t="s">
        <v>649</v>
      </c>
      <c r="J42" s="807"/>
      <c r="K42" s="827"/>
      <c r="L42" s="810"/>
      <c r="M42" s="810"/>
      <c r="N42" s="810"/>
      <c r="O42" s="810"/>
      <c r="P42" s="811"/>
      <c r="Q42" s="812"/>
      <c r="R42" s="812"/>
      <c r="S42" s="812"/>
      <c r="T42" s="812"/>
      <c r="U42" s="812"/>
      <c r="V42" s="812"/>
      <c r="W42" s="812"/>
      <c r="X42" s="812"/>
      <c r="Y42" s="812"/>
      <c r="Z42" s="812"/>
      <c r="AA42" s="812"/>
      <c r="AB42" s="812"/>
      <c r="AC42" s="812"/>
      <c r="AD42" s="812"/>
      <c r="AE42" s="812"/>
      <c r="AF42" s="812"/>
      <c r="AG42" s="812"/>
      <c r="AH42" s="812"/>
      <c r="AI42" s="812"/>
      <c r="AJ42" s="812"/>
      <c r="AK42" s="812"/>
      <c r="AL42" s="812"/>
      <c r="AM42" s="812"/>
      <c r="AN42" s="812"/>
      <c r="AO42" s="812"/>
      <c r="AP42" s="812"/>
      <c r="AQ42" s="812"/>
      <c r="AR42" s="812"/>
      <c r="AS42" s="812"/>
      <c r="AT42" s="812"/>
      <c r="AU42" s="812"/>
      <c r="AV42" s="812"/>
      <c r="AW42" s="812"/>
      <c r="AX42" s="812"/>
      <c r="AY42" s="812"/>
      <c r="AZ42" s="812"/>
      <c r="BA42" s="812"/>
      <c r="BB42" s="812"/>
      <c r="BC42" s="812"/>
      <c r="BD42" s="812"/>
      <c r="BE42" s="812"/>
      <c r="BF42" s="812"/>
      <c r="BG42" s="812"/>
      <c r="BH42" s="813"/>
      <c r="BI42" s="813"/>
      <c r="BJ42" s="813"/>
      <c r="BK42" s="813"/>
      <c r="BL42" s="813"/>
      <c r="BM42" s="813"/>
      <c r="BN42" s="813"/>
      <c r="BO42" s="813"/>
      <c r="BP42" s="813"/>
      <c r="BQ42" s="813"/>
      <c r="BR42" s="813"/>
      <c r="BS42" s="813"/>
      <c r="BT42" s="813"/>
      <c r="BU42" s="813"/>
      <c r="BV42" s="813"/>
      <c r="BW42" s="813"/>
      <c r="BX42" s="813"/>
      <c r="BY42" s="813"/>
      <c r="BZ42" s="813"/>
      <c r="CA42" s="813"/>
      <c r="CB42" s="813"/>
      <c r="CC42" s="813"/>
    </row>
    <row r="43" spans="1:81" s="855" customFormat="1" ht="18" customHeight="1" thickBot="1" x14ac:dyDescent="0.35">
      <c r="A43" s="907"/>
      <c r="B43" s="1106"/>
      <c r="C43" s="1106"/>
      <c r="D43" s="1107"/>
      <c r="E43" s="866">
        <v>2024</v>
      </c>
      <c r="F43" s="893" t="s">
        <v>852</v>
      </c>
      <c r="G43" s="902"/>
      <c r="H43" s="910"/>
      <c r="I43" s="903"/>
      <c r="J43" s="904"/>
      <c r="K43" s="827"/>
      <c r="L43" s="810"/>
      <c r="M43" s="810"/>
      <c r="N43" s="810"/>
      <c r="O43" s="810"/>
      <c r="P43" s="811"/>
      <c r="Q43" s="812"/>
      <c r="R43" s="812"/>
      <c r="S43" s="812"/>
      <c r="T43" s="812"/>
      <c r="U43" s="812"/>
      <c r="V43" s="812"/>
      <c r="W43" s="812"/>
      <c r="X43" s="812"/>
      <c r="Y43" s="812"/>
      <c r="Z43" s="812"/>
      <c r="AA43" s="812"/>
      <c r="AB43" s="812"/>
      <c r="AC43" s="812"/>
      <c r="AD43" s="812"/>
      <c r="AE43" s="812"/>
      <c r="AF43" s="812"/>
      <c r="AG43" s="812"/>
      <c r="AH43" s="812"/>
      <c r="AI43" s="812"/>
      <c r="AJ43" s="812"/>
      <c r="AK43" s="812"/>
      <c r="AL43" s="812"/>
      <c r="AM43" s="812"/>
      <c r="AN43" s="812"/>
      <c r="AO43" s="812"/>
      <c r="AP43" s="812"/>
      <c r="AQ43" s="812"/>
      <c r="AR43" s="812"/>
      <c r="AS43" s="812"/>
      <c r="AT43" s="812"/>
      <c r="AU43" s="812"/>
      <c r="AV43" s="812"/>
      <c r="AW43" s="812"/>
      <c r="AX43" s="812"/>
      <c r="AY43" s="812"/>
      <c r="AZ43" s="812"/>
      <c r="BA43" s="812"/>
      <c r="BB43" s="812"/>
      <c r="BC43" s="812"/>
      <c r="BD43" s="812"/>
      <c r="BE43" s="812"/>
      <c r="BF43" s="812"/>
      <c r="BG43" s="812"/>
      <c r="BH43" s="813"/>
      <c r="BI43" s="813"/>
      <c r="BJ43" s="813"/>
      <c r="BK43" s="813"/>
      <c r="BL43" s="813"/>
      <c r="BM43" s="813"/>
      <c r="BN43" s="813"/>
      <c r="BO43" s="813"/>
      <c r="BP43" s="813"/>
      <c r="BQ43" s="813"/>
      <c r="BR43" s="813"/>
      <c r="BS43" s="813"/>
      <c r="BT43" s="813"/>
      <c r="BU43" s="813"/>
      <c r="BV43" s="813"/>
      <c r="BW43" s="813"/>
      <c r="BX43" s="813"/>
      <c r="BY43" s="813"/>
      <c r="BZ43" s="813"/>
      <c r="CA43" s="813"/>
      <c r="CB43" s="813"/>
      <c r="CC43" s="813"/>
    </row>
    <row r="44" spans="1:81" s="855" customFormat="1" ht="130.19999999999999" customHeight="1" thickBot="1" x14ac:dyDescent="0.35">
      <c r="A44" s="830">
        <v>20</v>
      </c>
      <c r="B44" s="1097" t="s">
        <v>1474</v>
      </c>
      <c r="C44" s="1108"/>
      <c r="D44" s="1108"/>
      <c r="E44" s="917" t="str">
        <f>IF('Electric trans'!F24="No, unit exceeds limit by:","Yes","No")</f>
        <v>No</v>
      </c>
      <c r="F44" s="913"/>
      <c r="G44" s="917" t="str">
        <f>+E44</f>
        <v>No</v>
      </c>
      <c r="H44" s="841" t="s">
        <v>1866</v>
      </c>
      <c r="I44" s="890" t="s">
        <v>1478</v>
      </c>
      <c r="J44" s="807"/>
      <c r="K44" s="827"/>
      <c r="L44" s="810"/>
      <c r="M44" s="810"/>
      <c r="N44" s="810"/>
      <c r="O44" s="810"/>
      <c r="P44" s="811"/>
      <c r="Q44" s="812"/>
      <c r="R44" s="812"/>
      <c r="S44" s="812"/>
      <c r="T44" s="812"/>
      <c r="U44" s="812"/>
      <c r="V44" s="812"/>
      <c r="W44" s="812"/>
      <c r="X44" s="812"/>
      <c r="Y44" s="812"/>
      <c r="Z44" s="812"/>
      <c r="AA44" s="812"/>
      <c r="AB44" s="812"/>
      <c r="AC44" s="812"/>
      <c r="AD44" s="812"/>
      <c r="AE44" s="812"/>
      <c r="AF44" s="812"/>
      <c r="AG44" s="812"/>
      <c r="AH44" s="812"/>
      <c r="AI44" s="812"/>
      <c r="AJ44" s="812"/>
      <c r="AK44" s="812"/>
      <c r="AL44" s="812"/>
      <c r="AM44" s="812"/>
      <c r="AN44" s="812"/>
      <c r="AO44" s="812"/>
      <c r="AP44" s="812"/>
      <c r="AQ44" s="812"/>
      <c r="AR44" s="812"/>
      <c r="AS44" s="812"/>
      <c r="AT44" s="812"/>
      <c r="AU44" s="812"/>
      <c r="AV44" s="812"/>
      <c r="AW44" s="812"/>
      <c r="AX44" s="812"/>
      <c r="AY44" s="812"/>
      <c r="AZ44" s="812"/>
      <c r="BA44" s="812"/>
      <c r="BB44" s="812"/>
      <c r="BC44" s="812"/>
      <c r="BD44" s="812"/>
      <c r="BE44" s="812"/>
      <c r="BF44" s="812"/>
      <c r="BG44" s="812"/>
      <c r="BH44" s="813"/>
      <c r="BI44" s="813"/>
      <c r="BJ44" s="813"/>
      <c r="BK44" s="813"/>
      <c r="BL44" s="813"/>
      <c r="BM44" s="813"/>
      <c r="BN44" s="813"/>
      <c r="BO44" s="813"/>
      <c r="BP44" s="813"/>
      <c r="BQ44" s="813"/>
      <c r="BR44" s="813"/>
      <c r="BS44" s="813"/>
      <c r="BT44" s="813"/>
      <c r="BU44" s="813"/>
      <c r="BV44" s="813"/>
      <c r="BW44" s="813"/>
      <c r="BX44" s="813"/>
      <c r="BY44" s="813"/>
      <c r="BZ44" s="813"/>
      <c r="CA44" s="813"/>
      <c r="CB44" s="813"/>
      <c r="CC44" s="813"/>
    </row>
    <row r="45" spans="1:81" s="855" customFormat="1" ht="18" customHeight="1" thickBot="1" x14ac:dyDescent="0.35">
      <c r="A45" s="907"/>
      <c r="B45" s="1109"/>
      <c r="C45" s="1109"/>
      <c r="D45" s="1110"/>
      <c r="E45" s="866">
        <v>2024</v>
      </c>
      <c r="F45" s="901" t="s">
        <v>852</v>
      </c>
      <c r="G45" s="915"/>
      <c r="H45" s="902"/>
      <c r="I45" s="903"/>
      <c r="J45" s="904"/>
      <c r="K45" s="827"/>
      <c r="L45" s="810"/>
      <c r="M45" s="810"/>
      <c r="N45" s="810"/>
      <c r="O45" s="810"/>
      <c r="P45" s="811"/>
      <c r="Q45" s="812"/>
      <c r="R45" s="812"/>
      <c r="S45" s="812"/>
      <c r="T45" s="812"/>
      <c r="U45" s="812"/>
      <c r="V45" s="812"/>
      <c r="W45" s="812"/>
      <c r="X45" s="812"/>
      <c r="Y45" s="812"/>
      <c r="Z45" s="812"/>
      <c r="AA45" s="812"/>
      <c r="AB45" s="812"/>
      <c r="AC45" s="812"/>
      <c r="AD45" s="812"/>
      <c r="AE45" s="812"/>
      <c r="AF45" s="812"/>
      <c r="AG45" s="812"/>
      <c r="AH45" s="812"/>
      <c r="AI45" s="812"/>
      <c r="AJ45" s="812"/>
      <c r="AK45" s="812"/>
      <c r="AL45" s="812"/>
      <c r="AM45" s="812"/>
      <c r="AN45" s="812"/>
      <c r="AO45" s="812"/>
      <c r="AP45" s="812"/>
      <c r="AQ45" s="812"/>
      <c r="AR45" s="812"/>
      <c r="AS45" s="812"/>
      <c r="AT45" s="812"/>
      <c r="AU45" s="812"/>
      <c r="AV45" s="812"/>
      <c r="AW45" s="812"/>
      <c r="AX45" s="812"/>
      <c r="AY45" s="812"/>
      <c r="AZ45" s="812"/>
      <c r="BA45" s="812"/>
      <c r="BB45" s="812"/>
      <c r="BC45" s="812"/>
      <c r="BD45" s="812"/>
      <c r="BE45" s="812"/>
      <c r="BF45" s="812"/>
      <c r="BG45" s="812"/>
      <c r="BH45" s="813"/>
      <c r="BI45" s="813"/>
      <c r="BJ45" s="813"/>
      <c r="BK45" s="813"/>
      <c r="BL45" s="813"/>
      <c r="BM45" s="813"/>
      <c r="BN45" s="813"/>
      <c r="BO45" s="813"/>
      <c r="BP45" s="813"/>
      <c r="BQ45" s="813"/>
      <c r="BR45" s="813"/>
      <c r="BS45" s="813"/>
      <c r="BT45" s="813"/>
      <c r="BU45" s="813"/>
      <c r="BV45" s="813"/>
      <c r="BW45" s="813"/>
      <c r="BX45" s="813"/>
      <c r="BY45" s="813"/>
      <c r="BZ45" s="813"/>
      <c r="CA45" s="813"/>
      <c r="CB45" s="813"/>
      <c r="CC45" s="813"/>
    </row>
    <row r="46" spans="1:81" s="855" customFormat="1" ht="99.75" customHeight="1" thickBot="1" x14ac:dyDescent="0.35">
      <c r="A46" s="830">
        <v>21</v>
      </c>
      <c r="B46" s="1104" t="s">
        <v>1938</v>
      </c>
      <c r="C46" s="1105"/>
      <c r="D46" s="1105"/>
      <c r="E46" s="926" t="str">
        <f>IF(Import!L225&gt;0,"Yes","No")</f>
        <v>No</v>
      </c>
      <c r="F46" s="913"/>
      <c r="G46" s="875" t="str">
        <f>E46</f>
        <v>No</v>
      </c>
      <c r="H46" s="988" t="s">
        <v>1864</v>
      </c>
      <c r="I46" s="890" t="s">
        <v>1479</v>
      </c>
      <c r="J46" s="807"/>
      <c r="K46" s="827"/>
      <c r="L46" s="810"/>
      <c r="M46" s="918"/>
      <c r="N46" s="810"/>
      <c r="O46" s="810"/>
      <c r="P46" s="811"/>
      <c r="Q46" s="812"/>
      <c r="R46" s="812"/>
      <c r="S46" s="812"/>
      <c r="T46" s="812"/>
      <c r="U46" s="812"/>
      <c r="V46" s="812"/>
      <c r="W46" s="812"/>
      <c r="X46" s="812"/>
      <c r="Y46" s="812"/>
      <c r="Z46" s="812"/>
      <c r="AA46" s="812"/>
      <c r="AB46" s="812"/>
      <c r="AC46" s="812"/>
      <c r="AD46" s="812"/>
      <c r="AE46" s="812"/>
      <c r="AF46" s="812"/>
      <c r="AG46" s="812"/>
      <c r="AH46" s="812"/>
      <c r="AI46" s="812"/>
      <c r="AJ46" s="812"/>
      <c r="AK46" s="812"/>
      <c r="AL46" s="812"/>
      <c r="AM46" s="812"/>
      <c r="AN46" s="812"/>
      <c r="AO46" s="812"/>
      <c r="AP46" s="812"/>
      <c r="AQ46" s="812"/>
      <c r="AR46" s="812"/>
      <c r="AS46" s="812"/>
      <c r="AT46" s="812"/>
      <c r="AU46" s="812"/>
      <c r="AV46" s="812"/>
      <c r="AW46" s="812"/>
      <c r="AX46" s="812"/>
      <c r="AY46" s="812"/>
      <c r="AZ46" s="812"/>
      <c r="BA46" s="812"/>
      <c r="BB46" s="812"/>
      <c r="BC46" s="812"/>
      <c r="BD46" s="812"/>
      <c r="BE46" s="812"/>
      <c r="BF46" s="812"/>
      <c r="BG46" s="812"/>
      <c r="BH46" s="813"/>
      <c r="BI46" s="813"/>
      <c r="BJ46" s="813"/>
      <c r="BK46" s="813"/>
      <c r="BL46" s="813"/>
      <c r="BM46" s="813"/>
      <c r="BN46" s="813"/>
      <c r="BO46" s="813"/>
      <c r="BP46" s="813"/>
      <c r="BQ46" s="813"/>
      <c r="BR46" s="813"/>
      <c r="BS46" s="813"/>
      <c r="BT46" s="813"/>
      <c r="BU46" s="813"/>
      <c r="BV46" s="813"/>
      <c r="BW46" s="813"/>
      <c r="BX46" s="813"/>
      <c r="BY46" s="813"/>
      <c r="BZ46" s="813"/>
      <c r="CA46" s="813"/>
      <c r="CB46" s="813"/>
      <c r="CC46" s="813"/>
    </row>
    <row r="47" spans="1:81" s="923" customFormat="1" x14ac:dyDescent="0.3">
      <c r="A47" s="919"/>
      <c r="B47" s="920"/>
      <c r="C47" s="920"/>
      <c r="D47" s="920"/>
      <c r="E47" s="920"/>
      <c r="F47" s="920"/>
      <c r="G47" s="920"/>
      <c r="H47" s="920"/>
      <c r="I47" s="921"/>
      <c r="J47" s="921"/>
      <c r="K47" s="922"/>
      <c r="L47" s="810"/>
      <c r="M47" s="810"/>
      <c r="N47" s="810"/>
      <c r="O47" s="810"/>
      <c r="P47" s="811"/>
      <c r="Q47" s="812"/>
      <c r="R47" s="812"/>
      <c r="S47" s="812"/>
      <c r="T47" s="812"/>
      <c r="U47" s="812"/>
      <c r="V47" s="812"/>
      <c r="W47" s="812"/>
      <c r="X47" s="812"/>
      <c r="Y47" s="812"/>
      <c r="Z47" s="812"/>
      <c r="AA47" s="812"/>
      <c r="AB47" s="812"/>
      <c r="AC47" s="812"/>
      <c r="AD47" s="812"/>
      <c r="AE47" s="812"/>
      <c r="AF47" s="812"/>
      <c r="AG47" s="812"/>
      <c r="AH47" s="812"/>
      <c r="AI47" s="812"/>
      <c r="AJ47" s="812"/>
      <c r="AK47" s="812"/>
      <c r="AL47" s="812"/>
      <c r="AM47" s="812"/>
      <c r="AN47" s="812"/>
      <c r="AO47" s="812"/>
      <c r="AP47" s="812"/>
      <c r="AQ47" s="812"/>
      <c r="AR47" s="812"/>
      <c r="AS47" s="812"/>
      <c r="AT47" s="812"/>
      <c r="AU47" s="812"/>
      <c r="AV47" s="812"/>
      <c r="AW47" s="812"/>
      <c r="AX47" s="812"/>
      <c r="AY47" s="812"/>
      <c r="AZ47" s="812"/>
      <c r="BA47" s="812"/>
      <c r="BB47" s="812"/>
      <c r="BC47" s="812"/>
      <c r="BD47" s="812"/>
      <c r="BE47" s="812"/>
      <c r="BF47" s="812"/>
      <c r="BG47" s="812"/>
      <c r="BH47" s="813"/>
      <c r="BI47" s="813"/>
      <c r="BJ47" s="813"/>
      <c r="BK47" s="813"/>
      <c r="BL47" s="813"/>
      <c r="BM47" s="813"/>
      <c r="BN47" s="813"/>
      <c r="BO47" s="813"/>
      <c r="BP47" s="813"/>
      <c r="BQ47" s="813"/>
      <c r="BR47" s="813"/>
      <c r="BS47" s="813"/>
      <c r="BT47" s="813"/>
      <c r="BU47" s="813"/>
      <c r="BV47" s="813"/>
      <c r="BW47" s="813"/>
      <c r="BX47" s="813"/>
      <c r="BY47" s="813"/>
      <c r="BZ47" s="813"/>
      <c r="CA47" s="813"/>
      <c r="CB47" s="813"/>
      <c r="CC47" s="813"/>
    </row>
  </sheetData>
  <sheetProtection algorithmName="SHA-512" hashValue="OQHoMbDvAjUAdvoGRLXZGRf2Ds1ZAzVVGcgXMnLopRvO3xfewzpvcAfiNHlSNMBfFSrIC8Tcnpl+GN+uoJQYuQ==" saltValue="+6wKaE7uy3ev3ZKYLloP8A==" spinCount="100000" sheet="1" objects="1" scenarios="1"/>
  <mergeCells count="40">
    <mergeCell ref="B15:E15"/>
    <mergeCell ref="B14:E14"/>
    <mergeCell ref="B34:D34"/>
    <mergeCell ref="B33:D33"/>
    <mergeCell ref="B20:D20"/>
    <mergeCell ref="B24:E24"/>
    <mergeCell ref="B25:E25"/>
    <mergeCell ref="B29:D29"/>
    <mergeCell ref="B30:D30"/>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s>
  <conditionalFormatting sqref="G16">
    <cfRule type="cellIs" dxfId="79" priority="72" operator="lessThan">
      <formula>1</formula>
    </cfRule>
  </conditionalFormatting>
  <conditionalFormatting sqref="G18">
    <cfRule type="cellIs" dxfId="78" priority="71" operator="lessThan">
      <formula>0</formula>
    </cfRule>
  </conditionalFormatting>
  <conditionalFormatting sqref="G19:G20">
    <cfRule type="cellIs" dxfId="77" priority="70" operator="lessThan">
      <formula>0.16</formula>
    </cfRule>
  </conditionalFormatting>
  <conditionalFormatting sqref="G25">
    <cfRule type="cellIs" dxfId="76" priority="69" operator="lessThan">
      <formula>1</formula>
    </cfRule>
  </conditionalFormatting>
  <conditionalFormatting sqref="G27">
    <cfRule type="cellIs" dxfId="75" priority="68" operator="lessThan">
      <formula>0</formula>
    </cfRule>
  </conditionalFormatting>
  <conditionalFormatting sqref="G28">
    <cfRule type="cellIs" dxfId="74" priority="67" operator="lessThan">
      <formula>0.16</formula>
    </cfRule>
  </conditionalFormatting>
  <conditionalFormatting sqref="G30">
    <cfRule type="cellIs" dxfId="73" priority="66" operator="equal">
      <formula>"Late"</formula>
    </cfRule>
  </conditionalFormatting>
  <conditionalFormatting sqref="G32">
    <cfRule type="cellIs" dxfId="72" priority="65" operator="lessThan">
      <formula>-0.03</formula>
    </cfRule>
  </conditionalFormatting>
  <conditionalFormatting sqref="G38">
    <cfRule type="cellIs" dxfId="71" priority="63" operator="equal">
      <formula>"Yes"</formula>
    </cfRule>
  </conditionalFormatting>
  <conditionalFormatting sqref="G42">
    <cfRule type="cellIs" dxfId="70" priority="62" operator="equal">
      <formula>"Yes"</formula>
    </cfRule>
  </conditionalFormatting>
  <conditionalFormatting sqref="G36">
    <cfRule type="cellIs" dxfId="69" priority="61" operator="equal">
      <formula>"Yes"</formula>
    </cfRule>
  </conditionalFormatting>
  <conditionalFormatting sqref="G45">
    <cfRule type="cellIs" dxfId="68" priority="60" operator="equal">
      <formula>"Yes"</formula>
    </cfRule>
  </conditionalFormatting>
  <conditionalFormatting sqref="G44">
    <cfRule type="cellIs" dxfId="67" priority="59" operator="equal">
      <formula>"Yes"</formula>
    </cfRule>
  </conditionalFormatting>
  <conditionalFormatting sqref="G34">
    <cfRule type="cellIs" dxfId="66" priority="56" operator="equal">
      <formula>"Decrease"</formula>
    </cfRule>
  </conditionalFormatting>
  <conditionalFormatting sqref="G20">
    <cfRule type="cellIs" dxfId="65" priority="4" operator="equal">
      <formula>$E$21="Yes"</formula>
    </cfRule>
    <cfRule type="expression" dxfId="64" priority="51">
      <formula>E20="Yes"</formula>
    </cfRule>
  </conditionalFormatting>
  <conditionalFormatting sqref="E36 G36">
    <cfRule type="containsText" dxfId="63" priority="50" operator="containsText" text="This question must be answered">
      <formula>NOT(ISERROR(SEARCH("This question must be answered",E36)))</formula>
    </cfRule>
  </conditionalFormatting>
  <conditionalFormatting sqref="E34 G34">
    <cfRule type="containsText" dxfId="62" priority="49" operator="containsText" text="This question must be answered">
      <formula>NOT(ISERROR(SEARCH("This question must be answered",E34)))</formula>
    </cfRule>
  </conditionalFormatting>
  <conditionalFormatting sqref="E32 G32">
    <cfRule type="containsText" dxfId="61" priority="48" operator="containsText" text="This question must be answered">
      <formula>NOT(ISERROR(SEARCH("This question must be answered",E32)))</formula>
    </cfRule>
  </conditionalFormatting>
  <conditionalFormatting sqref="E30 G30">
    <cfRule type="containsText" dxfId="60" priority="47" operator="containsText" text="This question must be answered">
      <formula>NOT(ISERROR(SEARCH("This question must be answered",E30)))</formula>
    </cfRule>
  </conditionalFormatting>
  <conditionalFormatting sqref="E42 G42">
    <cfRule type="containsText" dxfId="59" priority="45" operator="containsText" text="This question must be answered">
      <formula>NOT(ISERROR(SEARCH("This question must be answered",E42)))</formula>
    </cfRule>
  </conditionalFormatting>
  <conditionalFormatting sqref="G46">
    <cfRule type="cellIs" dxfId="58" priority="43" operator="equal">
      <formula>"Yes"</formula>
    </cfRule>
  </conditionalFormatting>
  <conditionalFormatting sqref="G46">
    <cfRule type="containsText" dxfId="57" priority="42" operator="containsText" text="This question must be answered">
      <formula>NOT(ISERROR(SEARCH("This question must be answered",G46)))</formula>
    </cfRule>
  </conditionalFormatting>
  <conditionalFormatting sqref="G13">
    <cfRule type="containsText" dxfId="56" priority="41" operator="containsText" text="Operations">
      <formula>NOT(ISERROR(SEARCH("Operations",G13)))</formula>
    </cfRule>
  </conditionalFormatting>
  <conditionalFormatting sqref="G14">
    <cfRule type="cellIs" dxfId="55" priority="40" operator="lessThan">
      <formula>0</formula>
    </cfRule>
  </conditionalFormatting>
  <conditionalFormatting sqref="E39:E40">
    <cfRule type="containsText" dxfId="54" priority="39" operator="containsText" text="This question must be answered">
      <formula>NOT(ISERROR(SEARCH("This question must be answered",E39)))</formula>
    </cfRule>
  </conditionalFormatting>
  <conditionalFormatting sqref="G39:G40">
    <cfRule type="containsText" dxfId="53" priority="37" operator="containsText" text="No">
      <formula>NOT(ISERROR(SEARCH("No",G39)))</formula>
    </cfRule>
    <cfRule type="containsText" dxfId="52" priority="38" operator="containsText" text="This question must be answered">
      <formula>NOT(ISERROR(SEARCH("This question must be answered",G39)))</formula>
    </cfRule>
  </conditionalFormatting>
  <conditionalFormatting sqref="G11">
    <cfRule type="expression" dxfId="51" priority="28">
      <formula>$O$11=1</formula>
    </cfRule>
  </conditionalFormatting>
  <conditionalFormatting sqref="I9">
    <cfRule type="expression" dxfId="50" priority="135">
      <formula>IF($L$9&lt;0.25,)</formula>
    </cfRule>
  </conditionalFormatting>
  <conditionalFormatting sqref="C18">
    <cfRule type="cellIs" dxfId="49" priority="24" operator="equal">
      <formula>"Prior year data not submitted as of workbook published date."</formula>
    </cfRule>
  </conditionalFormatting>
  <conditionalFormatting sqref="D18">
    <cfRule type="cellIs" dxfId="48" priority="23" operator="equal">
      <formula>"Prior year data not submitted as of workbook published date."</formula>
    </cfRule>
  </conditionalFormatting>
  <conditionalFormatting sqref="L19:L21">
    <cfRule type="cellIs" dxfId="47" priority="22" operator="equal">
      <formula>"Priod year data not submitted as of workbook published date."</formula>
    </cfRule>
  </conditionalFormatting>
  <conditionalFormatting sqref="D19:D28">
    <cfRule type="cellIs" dxfId="46" priority="18" operator="equal">
      <formula>"Prior year data not submitted as of workbook published date."</formula>
    </cfRule>
  </conditionalFormatting>
  <conditionalFormatting sqref="C19:C28">
    <cfRule type="cellIs" dxfId="45" priority="17" operator="equal">
      <formula>"Prior year data not submitted as of workbook published date."</formula>
    </cfRule>
  </conditionalFormatting>
  <conditionalFormatting sqref="C27">
    <cfRule type="cellIs" dxfId="44" priority="16" operator="equal">
      <formula>"Prior year data not submitted as of workbook published date."</formula>
    </cfRule>
  </conditionalFormatting>
  <conditionalFormatting sqref="D27">
    <cfRule type="cellIs" dxfId="43" priority="15" operator="equal">
      <formula>"Prior year data not submitted as of workbook published date."</formula>
    </cfRule>
  </conditionalFormatting>
  <conditionalFormatting sqref="D28">
    <cfRule type="cellIs" dxfId="42" priority="11" operator="equal">
      <formula>"Prior year data not submitted as of  workbook published date."</formula>
    </cfRule>
  </conditionalFormatting>
  <conditionalFormatting sqref="C28">
    <cfRule type="cellIs" dxfId="41" priority="9" operator="equal">
      <formula>"Prior year data not submitted as of workbook published date."</formula>
    </cfRule>
  </conditionalFormatting>
  <conditionalFormatting sqref="F21">
    <cfRule type="expression" dxfId="40" priority="8">
      <formula>D21="Yes"</formula>
    </cfRule>
  </conditionalFormatting>
  <conditionalFormatting sqref="D21">
    <cfRule type="cellIs" dxfId="39" priority="7" operator="equal">
      <formula>"Prior year data not submitted as of workbook published date."</formula>
    </cfRule>
  </conditionalFormatting>
  <conditionalFormatting sqref="C21">
    <cfRule type="cellIs" dxfId="38" priority="6" operator="equal">
      <formula>"Prior year data not submitted as of workbook published date."</formula>
    </cfRule>
  </conditionalFormatting>
  <conditionalFormatting sqref="G21">
    <cfRule type="cellIs" dxfId="37" priority="2" operator="lessThan">
      <formula>0.5</formula>
    </cfRule>
  </conditionalFormatting>
  <conditionalFormatting sqref="M19">
    <cfRule type="cellIs" dxfId="36" priority="1"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2" customWidth="1"/>
    <col min="4" max="4" width="20.88671875" style="3" bestFit="1" customWidth="1"/>
    <col min="5" max="5" width="17.5546875" style="3" customWidth="1"/>
    <col min="6" max="6" width="22.6640625" style="3" customWidth="1"/>
    <col min="7" max="7" width="17.44140625" style="275" customWidth="1"/>
    <col min="8" max="8" width="9.6640625" style="3" customWidth="1"/>
    <col min="9" max="9" width="1" style="307" customWidth="1"/>
    <col min="10" max="10" width="18.109375" style="5" customWidth="1"/>
    <col min="11" max="11" width="36.88671875" style="9" customWidth="1"/>
    <col min="12" max="12" width="26.33203125" style="369" customWidth="1"/>
    <col min="13" max="13" width="8.44140625" customWidth="1"/>
    <col min="14" max="14" width="18.109375" style="3" customWidth="1"/>
    <col min="15" max="15" width="17.88671875" style="3" customWidth="1"/>
    <col min="16" max="16" width="9.109375" style="187" customWidth="1"/>
    <col min="17" max="17" width="10.33203125" style="277"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412</v>
      </c>
      <c r="D1" s="13">
        <f>L51-(L38+L39-L43-L44-L199)-L47</f>
        <v>0</v>
      </c>
      <c r="I1" s="276"/>
      <c r="J1" s="42"/>
      <c r="K1" s="14" t="s">
        <v>46</v>
      </c>
      <c r="L1" s="56"/>
      <c r="S1" s="3">
        <v>100</v>
      </c>
      <c r="T1" s="3">
        <v>1</v>
      </c>
    </row>
    <row r="2" spans="1:28" ht="44.4" x14ac:dyDescent="0.4">
      <c r="C2" s="67" t="str">
        <f>'Unit Data from Audit Worksheet'!D2</f>
        <v>Select Unit Name from Drop Down List</v>
      </c>
      <c r="D2" s="135">
        <v>2024</v>
      </c>
      <c r="E2" s="135">
        <v>2024</v>
      </c>
      <c r="F2" s="12"/>
      <c r="G2" s="63"/>
      <c r="H2" s="12"/>
      <c r="I2" s="276"/>
      <c r="J2" s="37" t="s">
        <v>42</v>
      </c>
      <c r="K2" s="8" t="s">
        <v>41</v>
      </c>
      <c r="L2" s="61" t="s">
        <v>30</v>
      </c>
      <c r="S2" s="3">
        <v>200</v>
      </c>
      <c r="T2" s="3">
        <v>2</v>
      </c>
      <c r="X2" s="309" t="s">
        <v>876</v>
      </c>
      <c r="Y2" s="309" t="s">
        <v>875</v>
      </c>
    </row>
    <row r="3" spans="1:28" ht="31.2" x14ac:dyDescent="0.3">
      <c r="A3" s="278" t="s">
        <v>42</v>
      </c>
      <c r="B3" s="279"/>
      <c r="C3" s="40" t="s">
        <v>1</v>
      </c>
      <c r="D3" s="15" t="s">
        <v>43</v>
      </c>
      <c r="E3" s="15" t="s">
        <v>44</v>
      </c>
      <c r="F3" s="16" t="s">
        <v>48</v>
      </c>
      <c r="G3" s="68" t="s">
        <v>310</v>
      </c>
      <c r="H3" s="16" t="s">
        <v>345</v>
      </c>
      <c r="I3" s="276"/>
      <c r="J3" s="280"/>
      <c r="K3" s="136"/>
      <c r="L3" s="281"/>
      <c r="O3" s="3" t="s">
        <v>281</v>
      </c>
      <c r="Q3" s="79" t="s">
        <v>311</v>
      </c>
      <c r="S3" s="3">
        <v>300</v>
      </c>
      <c r="T3" s="3">
        <v>3</v>
      </c>
      <c r="Y3" s="3" t="s">
        <v>650</v>
      </c>
    </row>
    <row r="4" spans="1:28" ht="25.95" customHeight="1" x14ac:dyDescent="0.35">
      <c r="A4" s="282"/>
      <c r="B4" s="283"/>
      <c r="C4" s="44"/>
      <c r="D4" s="7"/>
      <c r="E4" s="7"/>
      <c r="F4" s="7"/>
      <c r="G4" s="64"/>
      <c r="H4" s="7"/>
      <c r="I4" s="276"/>
      <c r="J4" s="39">
        <v>999</v>
      </c>
      <c r="K4" s="11" t="s">
        <v>278</v>
      </c>
      <c r="L4" s="715" t="e">
        <f>'Unit Data from Audit Worksheet'!D3</f>
        <v>#N/A</v>
      </c>
      <c r="S4" s="3">
        <v>400</v>
      </c>
      <c r="T4" s="3">
        <v>4</v>
      </c>
      <c r="X4" s="284"/>
      <c r="Y4" s="284"/>
    </row>
    <row r="5" spans="1:28" ht="57" customHeight="1" x14ac:dyDescent="0.3">
      <c r="A5" s="285">
        <f>'Unit Data from Audit Worksheet'!A9</f>
        <v>333</v>
      </c>
      <c r="B5" s="48" t="str">
        <f>'Unit Data from Audit Worksheet'!C9</f>
        <v>Net Position-Governmental Activities</v>
      </c>
      <c r="C5" s="286" t="str">
        <f>'Unit Data from Audit Worksheet'!D9</f>
        <v xml:space="preserve"> All unrestricted Cash and investments.  
Exclude: restricted cash 
                   cash held by a third party. </v>
      </c>
      <c r="D5" s="134"/>
      <c r="E5" s="142">
        <f>'Unit Data from Audit Worksheet'!F9</f>
        <v>0</v>
      </c>
      <c r="F5" s="222">
        <f>IF(L5&lt;0,"Error: Number is normally positive.",)</f>
        <v>0</v>
      </c>
      <c r="G5" s="65"/>
      <c r="H5" s="221"/>
      <c r="I5" s="32"/>
      <c r="J5" s="36">
        <v>333</v>
      </c>
      <c r="K5" s="45" t="s">
        <v>176</v>
      </c>
      <c r="L5" s="287">
        <f>IF(D5="",E5,D5)</f>
        <v>0</v>
      </c>
      <c r="P5" s="193"/>
      <c r="X5" s="549">
        <v>333</v>
      </c>
      <c r="Y5" s="284">
        <v>333</v>
      </c>
      <c r="AA5" s="3">
        <f>A5-J5</f>
        <v>0</v>
      </c>
      <c r="AB5" s="284">
        <f>E5-L5</f>
        <v>0</v>
      </c>
    </row>
    <row r="6" spans="1:28" ht="39.75" customHeight="1" x14ac:dyDescent="0.3">
      <c r="A6" s="210">
        <f>'Unit Data from Audit Worksheet'!A10</f>
        <v>500</v>
      </c>
      <c r="B6" s="223" t="str">
        <f>'Unit Data from Audit Worksheet'!C10</f>
        <v>Net Position-Governmental Activities</v>
      </c>
      <c r="C6" s="209" t="str">
        <f>'Unit Data from Audit Worksheet'!D10</f>
        <v xml:space="preserve"> All restricted Cash and investments</v>
      </c>
      <c r="D6" s="134"/>
      <c r="E6" s="229">
        <f>'Unit Data from Audit Worksheet'!F10</f>
        <v>0</v>
      </c>
      <c r="F6" s="222">
        <f>IF(L6&lt;0,"Error: Number is normally positive.",)</f>
        <v>0</v>
      </c>
      <c r="G6" s="224"/>
      <c r="H6" s="221"/>
      <c r="I6" s="32"/>
      <c r="J6" s="220">
        <v>500</v>
      </c>
      <c r="K6" s="219" t="s">
        <v>175</v>
      </c>
      <c r="L6" s="287">
        <f>IF(D6="",E6,D6)</f>
        <v>0</v>
      </c>
      <c r="P6" s="194"/>
      <c r="X6" s="549">
        <v>500</v>
      </c>
      <c r="Y6" s="284">
        <v>500</v>
      </c>
      <c r="AA6" s="384">
        <f t="shared" ref="AA6:AA71" si="0">A6-J6</f>
        <v>0</v>
      </c>
      <c r="AB6" s="284">
        <f t="shared" ref="AB6:AB71" si="1">E6-L6</f>
        <v>0</v>
      </c>
    </row>
    <row r="7" spans="1:28" ht="43.5" customHeight="1" x14ac:dyDescent="0.3">
      <c r="A7" s="210">
        <f>'Unit Data from Audit Worksheet'!A11</f>
        <v>385</v>
      </c>
      <c r="B7" s="223" t="str">
        <f>'Unit Data from Audit Worksheet'!C11</f>
        <v>Net Position-Governmental Activities</v>
      </c>
      <c r="C7" s="209" t="str">
        <f>'Unit Data from Audit Worksheet'!D11</f>
        <v>Total Assets and deferred outflows</v>
      </c>
      <c r="D7" s="134"/>
      <c r="E7" s="229">
        <f>'Unit Data from Audit Worksheet'!F11</f>
        <v>0</v>
      </c>
      <c r="F7" s="126">
        <f>IF((L5+L6)&gt;L7,"Error: Please review accts (333 + 500) &gt; 385",)</f>
        <v>0</v>
      </c>
      <c r="G7" s="224" t="str">
        <f>IF(Q7=1," Included in error count"," ")</f>
        <v xml:space="preserve"> </v>
      </c>
      <c r="H7" s="221"/>
      <c r="I7" s="32"/>
      <c r="J7" s="69">
        <v>385</v>
      </c>
      <c r="K7" s="70" t="s">
        <v>107</v>
      </c>
      <c r="L7" s="288">
        <f>IF(D7="",E7,D7)+IF(D9="",E9,D9)</f>
        <v>0</v>
      </c>
      <c r="N7" s="71" t="s">
        <v>297</v>
      </c>
      <c r="P7" s="194"/>
      <c r="X7" s="549">
        <v>385</v>
      </c>
      <c r="Y7" s="284">
        <v>385</v>
      </c>
      <c r="AA7" s="384">
        <f t="shared" si="0"/>
        <v>0</v>
      </c>
      <c r="AB7" s="284">
        <f t="shared" si="1"/>
        <v>0</v>
      </c>
    </row>
    <row r="8" spans="1:28" ht="90.75" customHeight="1" x14ac:dyDescent="0.3">
      <c r="A8" s="210">
        <f>'Unit Data from Audit Worksheet'!A12</f>
        <v>575</v>
      </c>
      <c r="B8" s="223" t="str">
        <f>'Unit Data from Audit Worksheet'!C12</f>
        <v>Net Position-Governmental Activities</v>
      </c>
      <c r="C8" s="209" t="str">
        <f>'Unit Data from Audit Worksheet'!D12</f>
        <v>Record any positive Internal balances on the net position statements that appear in the Asset Section of the Net Position Statement</v>
      </c>
      <c r="D8" s="134"/>
      <c r="E8" s="229">
        <f>'Unit Data from Audit Worksheet'!F12</f>
        <v>0</v>
      </c>
      <c r="F8" s="222">
        <f>IF(L8&lt;0,"Error: Number is normally positive.",)</f>
        <v>0</v>
      </c>
      <c r="G8" s="224"/>
      <c r="H8" s="221"/>
      <c r="I8" s="32"/>
      <c r="J8" s="220">
        <v>575</v>
      </c>
      <c r="K8" s="226" t="s">
        <v>300</v>
      </c>
      <c r="L8" s="287">
        <f>IF(D8="",E8,D8)</f>
        <v>0</v>
      </c>
      <c r="N8" s="57"/>
      <c r="P8" s="194"/>
      <c r="X8" s="549">
        <v>575</v>
      </c>
      <c r="Y8" s="284">
        <v>575</v>
      </c>
      <c r="AA8" s="384">
        <f t="shared" si="0"/>
        <v>0</v>
      </c>
      <c r="AB8" s="284">
        <f t="shared" si="1"/>
        <v>0</v>
      </c>
    </row>
    <row r="9" spans="1:28" ht="103.5" customHeight="1" x14ac:dyDescent="0.3">
      <c r="A9" s="210">
        <f>'Unit Data from Audit Worksheet'!A13</f>
        <v>576</v>
      </c>
      <c r="B9" s="223" t="str">
        <f>'Unit Data from Audit Worksheet'!C13</f>
        <v>Net Position-Governmental Activities</v>
      </c>
      <c r="C9" s="289" t="str">
        <f>'Unit Data from Audit Worksheet'!D13</f>
        <v>Record any negative Internal balances on the net position statements that appear in the Asset Section of the Net Position Statement.
Enter as a positive</v>
      </c>
      <c r="D9" s="102"/>
      <c r="E9" s="145">
        <f>'Unit Data from Audit Worksheet'!F13</f>
        <v>0</v>
      </c>
      <c r="F9" s="218">
        <f>IF(E9&lt;0,"Error: Enter as positive.",)</f>
        <v>0</v>
      </c>
      <c r="G9" s="104"/>
      <c r="H9" s="105"/>
      <c r="I9" s="32"/>
      <c r="J9" s="97">
        <v>576</v>
      </c>
      <c r="K9" s="226" t="s">
        <v>301</v>
      </c>
      <c r="L9" s="287">
        <f>IF(D9="",E9,D9)</f>
        <v>0</v>
      </c>
      <c r="N9" s="57"/>
      <c r="P9" s="195"/>
      <c r="X9" s="549">
        <v>576</v>
      </c>
      <c r="Y9" s="284">
        <v>576</v>
      </c>
      <c r="AA9" s="384">
        <f t="shared" si="0"/>
        <v>0</v>
      </c>
      <c r="AB9" s="284">
        <f t="shared" si="1"/>
        <v>0</v>
      </c>
    </row>
    <row r="10" spans="1:28" s="18" customFormat="1" ht="100.5" customHeight="1" x14ac:dyDescent="0.3">
      <c r="A10" s="210">
        <f>'Unit Data from Audit Worksheet'!A14</f>
        <v>626</v>
      </c>
      <c r="B10" s="215" t="str">
        <f>'Unit Data from Audit Worksheet'!C14</f>
        <v>Net Position-Governmental Activities</v>
      </c>
      <c r="C10" s="214"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59">
        <f>'Unit Data from Audit Worksheet'!F14</f>
        <v>0</v>
      </c>
      <c r="F10"/>
      <c r="G10"/>
      <c r="H10"/>
      <c r="I10" s="32"/>
      <c r="J10" s="638">
        <v>626</v>
      </c>
      <c r="K10" s="639" t="s">
        <v>370</v>
      </c>
      <c r="L10" s="640">
        <f>IF(D10="",E10,D10)+IF(D9="",E9,D9)</f>
        <v>0</v>
      </c>
      <c r="M10"/>
      <c r="N10" s="167" t="s">
        <v>297</v>
      </c>
      <c r="O10" s="290"/>
      <c r="P10" s="196"/>
      <c r="Q10" s="291"/>
      <c r="R10" s="3"/>
      <c r="X10" s="549">
        <v>626</v>
      </c>
      <c r="Y10" s="292">
        <v>626</v>
      </c>
      <c r="AA10" s="384">
        <f t="shared" si="0"/>
        <v>0</v>
      </c>
      <c r="AB10" s="284">
        <f t="shared" si="1"/>
        <v>0</v>
      </c>
    </row>
    <row r="11" spans="1:28" s="18" customFormat="1" ht="86.25" customHeight="1" x14ac:dyDescent="0.3">
      <c r="A11" s="210">
        <f>'Unit Data from Audit Worksheet'!A15</f>
        <v>627</v>
      </c>
      <c r="B11" s="215" t="str">
        <f>'Unit Data from Audit Worksheet'!C15</f>
        <v>Net Position-Governmental Activities</v>
      </c>
      <c r="C11" s="214"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2">
        <f>'Unit Data from Audit Worksheet'!F15</f>
        <v>0</v>
      </c>
      <c r="F11" s="658"/>
      <c r="G11" s="657"/>
      <c r="H11" s="658"/>
      <c r="I11" s="32"/>
      <c r="J11" s="216">
        <v>627</v>
      </c>
      <c r="K11" s="191" t="s">
        <v>362</v>
      </c>
      <c r="L11" s="293">
        <f t="shared" ref="L11:L16" si="2">IF(D11="",E11,D11)</f>
        <v>0</v>
      </c>
      <c r="M11"/>
      <c r="N11" s="166"/>
      <c r="O11" s="290"/>
      <c r="P11" s="196"/>
      <c r="Q11" s="291"/>
      <c r="R11" s="3"/>
      <c r="X11" s="549">
        <v>627</v>
      </c>
      <c r="Y11" s="292">
        <v>627</v>
      </c>
      <c r="AA11" s="384">
        <f t="shared" si="0"/>
        <v>0</v>
      </c>
      <c r="AB11" s="284">
        <f t="shared" si="1"/>
        <v>0</v>
      </c>
    </row>
    <row r="12" spans="1:28" s="18" customFormat="1" ht="86.25" customHeight="1" x14ac:dyDescent="0.3">
      <c r="A12" s="210">
        <f>'Unit Data from Audit Worksheet'!A16</f>
        <v>628</v>
      </c>
      <c r="B12" s="215" t="str">
        <f>'Unit Data from Audit Worksheet'!C16</f>
        <v>Net Position-Governmental Activities</v>
      </c>
      <c r="C12" s="214"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2">
        <f>'Unit Data from Audit Worksheet'!F16</f>
        <v>0</v>
      </c>
      <c r="F12" s="217"/>
      <c r="G12" s="205"/>
      <c r="H12" s="217"/>
      <c r="I12" s="32"/>
      <c r="J12" s="216">
        <v>628</v>
      </c>
      <c r="K12" s="191" t="s">
        <v>367</v>
      </c>
      <c r="L12" s="293">
        <f t="shared" si="2"/>
        <v>0</v>
      </c>
      <c r="M12"/>
      <c r="N12" s="166"/>
      <c r="O12" s="290"/>
      <c r="P12" s="196"/>
      <c r="Q12" s="291"/>
      <c r="R12" s="3"/>
      <c r="X12" s="549">
        <v>628</v>
      </c>
      <c r="Y12" s="292">
        <v>628</v>
      </c>
      <c r="AA12" s="384">
        <f t="shared" si="0"/>
        <v>0</v>
      </c>
      <c r="AB12" s="284">
        <f t="shared" si="1"/>
        <v>0</v>
      </c>
    </row>
    <row r="13" spans="1:28" s="18" customFormat="1" ht="93" customHeight="1" x14ac:dyDescent="0.3">
      <c r="A13" s="210">
        <f>'Unit Data from Audit Worksheet'!A17</f>
        <v>629</v>
      </c>
      <c r="B13" s="215" t="str">
        <f>'Unit Data from Audit Worksheet'!C17</f>
        <v>Net Position-Governmental Activities</v>
      </c>
      <c r="C13" s="214" t="str">
        <f>'Unit Data from Audit Worksheet'!D17</f>
        <v>Please enter any pension liabilities that are classified as current liabilities and included in account 626 above (amounts entered should agree to the current amount included in the changes to long-term debt note)</v>
      </c>
      <c r="D13" s="102"/>
      <c r="E13" s="232">
        <f>'Unit Data from Audit Worksheet'!F17</f>
        <v>0</v>
      </c>
      <c r="F13" s="217"/>
      <c r="G13" s="205"/>
      <c r="H13" s="217"/>
      <c r="I13" s="32"/>
      <c r="J13" s="216">
        <v>629</v>
      </c>
      <c r="K13" s="191" t="s">
        <v>366</v>
      </c>
      <c r="L13" s="293">
        <f t="shared" si="2"/>
        <v>0</v>
      </c>
      <c r="M13"/>
      <c r="N13" s="166"/>
      <c r="O13" s="290"/>
      <c r="P13" s="196"/>
      <c r="Q13" s="291"/>
      <c r="R13" s="3"/>
      <c r="X13" s="549">
        <v>629</v>
      </c>
      <c r="Y13" s="292">
        <v>629</v>
      </c>
      <c r="AA13" s="384">
        <f t="shared" si="0"/>
        <v>0</v>
      </c>
      <c r="AB13" s="284">
        <f t="shared" si="1"/>
        <v>0</v>
      </c>
    </row>
    <row r="14" spans="1:28" s="18" customFormat="1" ht="67.5" customHeight="1" x14ac:dyDescent="0.3">
      <c r="A14" s="210">
        <f>'Unit Data from Audit Worksheet'!A18</f>
        <v>630</v>
      </c>
      <c r="B14" s="215" t="str">
        <f>'Unit Data from Audit Worksheet'!C18</f>
        <v>Net Position-Governmental Activities</v>
      </c>
      <c r="C14" s="214" t="str">
        <f>'Unit Data from Audit Worksheet'!D18</f>
        <v>Please enter any current liabilities that are payable from restricted assets and included in account 626 above</v>
      </c>
      <c r="D14" s="102"/>
      <c r="E14" s="232">
        <f>'Unit Data from Audit Worksheet'!F18</f>
        <v>0</v>
      </c>
      <c r="F14" s="217"/>
      <c r="G14" s="205"/>
      <c r="H14" s="217"/>
      <c r="I14" s="32"/>
      <c r="J14" s="216">
        <v>630</v>
      </c>
      <c r="K14" s="191" t="s">
        <v>365</v>
      </c>
      <c r="L14" s="293">
        <f t="shared" si="2"/>
        <v>0</v>
      </c>
      <c r="M14"/>
      <c r="N14" s="166"/>
      <c r="O14" s="290"/>
      <c r="P14" s="196"/>
      <c r="Q14" s="291"/>
      <c r="R14" s="3"/>
      <c r="X14" s="549">
        <v>630</v>
      </c>
      <c r="Y14" s="292">
        <v>630</v>
      </c>
      <c r="AA14" s="384">
        <f t="shared" si="0"/>
        <v>0</v>
      </c>
      <c r="AB14" s="284">
        <f t="shared" si="1"/>
        <v>0</v>
      </c>
    </row>
    <row r="15" spans="1:28" s="18" customFormat="1" ht="102.75" customHeight="1" x14ac:dyDescent="0.3">
      <c r="A15" s="210">
        <f>'Unit Data from Audit Worksheet'!A19</f>
        <v>631</v>
      </c>
      <c r="B15" s="223" t="str">
        <f>'Unit Data from Audit Worksheet'!C19</f>
        <v>Net Position-Governmental Activities</v>
      </c>
      <c r="C15" s="206" t="str">
        <f>'Unit Data from Audit Worksheet'!D19</f>
        <v>Please enter any OPEB liabilities that are classified as current liabilities and included in account 626 above (amounts entered should agree to the current amount included in the changes to long-term debt note)</v>
      </c>
      <c r="D15" s="102"/>
      <c r="E15" s="232">
        <f>'Unit Data from Audit Worksheet'!F19</f>
        <v>0</v>
      </c>
      <c r="F15" s="217"/>
      <c r="G15" s="205"/>
      <c r="H15" s="217"/>
      <c r="I15" s="32"/>
      <c r="J15" s="216">
        <v>631</v>
      </c>
      <c r="K15" s="191" t="s">
        <v>364</v>
      </c>
      <c r="L15" s="293">
        <f t="shared" si="2"/>
        <v>0</v>
      </c>
      <c r="M15"/>
      <c r="N15" s="166"/>
      <c r="O15" s="290"/>
      <c r="P15" s="196"/>
      <c r="Q15" s="291"/>
      <c r="R15" s="3"/>
      <c r="X15" s="549">
        <v>631</v>
      </c>
      <c r="Y15" s="292">
        <v>631</v>
      </c>
      <c r="AA15" s="384">
        <f t="shared" si="0"/>
        <v>0</v>
      </c>
      <c r="AB15" s="284">
        <f t="shared" si="1"/>
        <v>0</v>
      </c>
    </row>
    <row r="16" spans="1:28" s="18" customFormat="1" ht="119.25" customHeight="1" x14ac:dyDescent="0.3">
      <c r="A16" s="210">
        <f>'Unit Data from Audit Worksheet'!A20</f>
        <v>632</v>
      </c>
      <c r="B16" s="223" t="str">
        <f>'Unit Data from Audit Worksheet'!C20</f>
        <v>Net Position-Governmental Activities</v>
      </c>
      <c r="C16" s="206"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2">
        <f>'Unit Data from Audit Worksheet'!F20</f>
        <v>0</v>
      </c>
      <c r="F16" s="217"/>
      <c r="G16" s="205"/>
      <c r="H16" s="217"/>
      <c r="I16" s="32"/>
      <c r="J16" s="216">
        <v>632</v>
      </c>
      <c r="K16" s="191" t="s">
        <v>363</v>
      </c>
      <c r="L16" s="293">
        <f t="shared" si="2"/>
        <v>0</v>
      </c>
      <c r="M16"/>
      <c r="N16" s="166"/>
      <c r="O16" s="290"/>
      <c r="P16" s="196"/>
      <c r="Q16" s="291"/>
      <c r="R16" s="3"/>
      <c r="X16" s="549">
        <v>632</v>
      </c>
      <c r="Y16" s="292">
        <v>632</v>
      </c>
      <c r="AA16" s="384">
        <f t="shared" si="0"/>
        <v>0</v>
      </c>
      <c r="AB16" s="284">
        <f t="shared" si="1"/>
        <v>0</v>
      </c>
    </row>
    <row r="17" spans="1:28" ht="30.6" x14ac:dyDescent="0.3">
      <c r="A17" s="548">
        <f>'Unit Data from Audit Worksheet'!A21</f>
        <v>338</v>
      </c>
      <c r="B17" s="223" t="str">
        <f>'Unit Data from Audit Worksheet'!C21</f>
        <v>Net Position-Governmental Activities</v>
      </c>
      <c r="C17" s="209" t="str">
        <f>'Unit Data from Audit Worksheet'!D21</f>
        <v>Total Liabilities and total deferred inflows</v>
      </c>
      <c r="D17" s="102"/>
      <c r="E17" s="142">
        <f>'Unit Data from Audit Worksheet'!F21</f>
        <v>0</v>
      </c>
      <c r="F17" s="126" t="str">
        <f>IF(L10&gt;L17,"Please review accounts 626 greater than 338","")</f>
        <v/>
      </c>
      <c r="G17" s="65"/>
      <c r="H17" s="221"/>
      <c r="I17" s="32"/>
      <c r="J17" s="106">
        <v>338</v>
      </c>
      <c r="K17" s="107" t="s">
        <v>108</v>
      </c>
      <c r="L17" s="288">
        <f>IF(D17="",E17,D17)+IF(D9="",E9,D9)</f>
        <v>0</v>
      </c>
      <c r="N17" s="71" t="s">
        <v>297</v>
      </c>
      <c r="P17" s="193"/>
      <c r="X17" s="549">
        <v>338</v>
      </c>
      <c r="Y17" s="284">
        <v>338</v>
      </c>
      <c r="AA17" s="384">
        <f t="shared" si="0"/>
        <v>0</v>
      </c>
      <c r="AB17" s="284">
        <f t="shared" si="1"/>
        <v>0</v>
      </c>
    </row>
    <row r="18" spans="1:28" ht="100.5" customHeight="1" x14ac:dyDescent="0.3">
      <c r="A18" s="210">
        <f>'Unit Data from Audit Worksheet'!A22</f>
        <v>335</v>
      </c>
      <c r="B18" s="223" t="str">
        <f>'Unit Data from Audit Worksheet'!C22</f>
        <v>Net Position-Governmental Activities</v>
      </c>
      <c r="C18" s="209" t="str">
        <f>'Unit Data from Audit Worksheet'!D22</f>
        <v>Unearned revenues that were included in current liabilities in your audit report or entered in acct # 626 above. 
Exclude - unearned revenues that are listed in deferred inflows.</v>
      </c>
      <c r="D18" s="102"/>
      <c r="E18" s="229">
        <f>'Unit Data from Audit Worksheet'!F22</f>
        <v>0</v>
      </c>
      <c r="F18" s="222">
        <f>IF(L18&lt;0,"Error: Enter as a positive.",)</f>
        <v>0</v>
      </c>
      <c r="G18" s="224"/>
      <c r="H18" s="221"/>
      <c r="I18" s="32"/>
      <c r="J18" s="220">
        <v>335</v>
      </c>
      <c r="K18" s="219" t="s">
        <v>109</v>
      </c>
      <c r="L18" s="287">
        <f>IF(D18="",E18,D18)</f>
        <v>0</v>
      </c>
      <c r="P18" s="194"/>
      <c r="X18" s="549">
        <v>335</v>
      </c>
      <c r="Y18" s="284">
        <v>335</v>
      </c>
      <c r="AA18" s="384">
        <f t="shared" si="0"/>
        <v>0</v>
      </c>
      <c r="AB18" s="284">
        <f t="shared" si="1"/>
        <v>0</v>
      </c>
    </row>
    <row r="19" spans="1:28" ht="20.399999999999999" x14ac:dyDescent="0.3">
      <c r="A19" s="210">
        <f>'Unit Data from Audit Worksheet'!A23</f>
        <v>252</v>
      </c>
      <c r="B19" s="223" t="str">
        <f>'Unit Data from Audit Worksheet'!C23</f>
        <v>Net Position-Governmental Activities</v>
      </c>
      <c r="C19" s="209" t="str">
        <f>'Unit Data from Audit Worksheet'!D23</f>
        <v xml:space="preserve"> Total Net investment in capital assets</v>
      </c>
      <c r="D19" s="102"/>
      <c r="E19" s="229">
        <f>'Unit Data from Audit Worksheet'!F23</f>
        <v>0</v>
      </c>
      <c r="F19" s="222"/>
      <c r="G19" s="224"/>
      <c r="H19" s="221"/>
      <c r="I19" s="32"/>
      <c r="J19" s="220">
        <v>252</v>
      </c>
      <c r="K19" s="219" t="s">
        <v>95</v>
      </c>
      <c r="L19" s="287">
        <f t="shared" ref="L19:L37" si="3">IF(D19="",E19,D19)</f>
        <v>0</v>
      </c>
      <c r="O19" s="294" t="e">
        <f>'Unit Data from Audit Worksheet'!E23</f>
        <v>#N/A</v>
      </c>
      <c r="P19" s="194"/>
      <c r="X19" s="549">
        <v>252</v>
      </c>
      <c r="Y19" s="284">
        <v>252</v>
      </c>
      <c r="AA19" s="384">
        <f t="shared" si="0"/>
        <v>0</v>
      </c>
      <c r="AB19" s="284">
        <f t="shared" si="1"/>
        <v>0</v>
      </c>
    </row>
    <row r="20" spans="1:28" ht="20.399999999999999" x14ac:dyDescent="0.3">
      <c r="A20" s="210">
        <f>'Unit Data from Audit Worksheet'!A24</f>
        <v>253</v>
      </c>
      <c r="B20" s="223" t="str">
        <f>'Unit Data from Audit Worksheet'!C24</f>
        <v>Net Position-Governmental Activities</v>
      </c>
      <c r="C20" s="209" t="str">
        <f>'Unit Data from Audit Worksheet'!D24</f>
        <v xml:space="preserve"> Total Net Position, Restricted</v>
      </c>
      <c r="D20" s="102"/>
      <c r="E20" s="229">
        <f>'Unit Data from Audit Worksheet'!F24</f>
        <v>0</v>
      </c>
      <c r="F20" s="222"/>
      <c r="G20" s="224"/>
      <c r="H20" s="221"/>
      <c r="I20" s="32"/>
      <c r="J20" s="220">
        <v>253</v>
      </c>
      <c r="K20" s="219" t="s">
        <v>96</v>
      </c>
      <c r="L20" s="287">
        <f t="shared" si="3"/>
        <v>0</v>
      </c>
      <c r="O20" s="294" t="e">
        <f>'Unit Data from Audit Worksheet'!E24</f>
        <v>#N/A</v>
      </c>
      <c r="P20" s="194"/>
      <c r="X20" s="549">
        <v>253</v>
      </c>
      <c r="Y20" s="284">
        <v>253</v>
      </c>
      <c r="AA20" s="384">
        <f t="shared" si="0"/>
        <v>0</v>
      </c>
      <c r="AB20" s="284">
        <f t="shared" si="1"/>
        <v>0</v>
      </c>
    </row>
    <row r="21" spans="1:28" ht="73.5" customHeight="1" x14ac:dyDescent="0.3">
      <c r="A21" s="210">
        <f>'Unit Data from Audit Worksheet'!A25</f>
        <v>254</v>
      </c>
      <c r="B21" s="223" t="str">
        <f>'Unit Data from Audit Worksheet'!C25</f>
        <v>Net Position-Governmental Activities</v>
      </c>
      <c r="C21" s="209" t="str">
        <f>'Unit Data from Audit Worksheet'!D25</f>
        <v>Total Net Position, Unrestricted - enter negative unrestricted net position as a negative)</v>
      </c>
      <c r="D21" s="102"/>
      <c r="E21" s="229">
        <f>'Unit Data from Audit Worksheet'!F25</f>
        <v>0</v>
      </c>
      <c r="F21" s="222">
        <f>IF((L7-L17-L19-L20-L21)=0,,"Error: Total assets and deferred outflows less total liabilities and deferred inflows do not equal total net position accts 385-338-252-253-254")</f>
        <v>0</v>
      </c>
      <c r="G21" s="83">
        <f>+L7-L17-L19-L20-L21</f>
        <v>0</v>
      </c>
      <c r="H21" s="221"/>
      <c r="I21" s="32"/>
      <c r="J21" s="220">
        <v>254</v>
      </c>
      <c r="K21" s="219" t="s">
        <v>97</v>
      </c>
      <c r="L21" s="287">
        <f t="shared" si="3"/>
        <v>0</v>
      </c>
      <c r="O21" s="294" t="e">
        <f>'Unit Data from Audit Worksheet'!E25</f>
        <v>#N/A</v>
      </c>
      <c r="P21" s="194"/>
      <c r="X21" s="549">
        <v>254</v>
      </c>
      <c r="Y21" s="284">
        <v>254</v>
      </c>
      <c r="AA21" s="384">
        <f t="shared" si="0"/>
        <v>0</v>
      </c>
      <c r="AB21" s="284">
        <f t="shared" si="1"/>
        <v>0</v>
      </c>
    </row>
    <row r="22" spans="1:28" ht="51.75" customHeight="1" x14ac:dyDescent="0.3">
      <c r="A22" s="210">
        <f>'Unit Data from Audit Worksheet'!A27</f>
        <v>502</v>
      </c>
      <c r="B22" s="223" t="str">
        <f>'Unit Data from Audit Worksheet'!C27</f>
        <v>Net Position-Business Activities</v>
      </c>
      <c r="C22" s="209" t="str">
        <f>'Unit Data from Audit Worksheet'!D27</f>
        <v xml:space="preserve">All unrestricted Cash and investments. 
Exclude restricted cash and cash held by a third party. </v>
      </c>
      <c r="D22" s="102"/>
      <c r="E22" s="229">
        <f>'Unit Data from Audit Worksheet'!F27</f>
        <v>0</v>
      </c>
      <c r="F22" s="222">
        <f>IF(L22&lt;0,"Error: Number is normally positive.",)</f>
        <v>0</v>
      </c>
      <c r="G22" s="224"/>
      <c r="H22" s="221"/>
      <c r="I22" s="32"/>
      <c r="J22" s="220">
        <v>502</v>
      </c>
      <c r="K22" s="219" t="s">
        <v>177</v>
      </c>
      <c r="L22" s="287">
        <f t="shared" si="3"/>
        <v>0</v>
      </c>
      <c r="P22" s="194"/>
      <c r="X22" s="549">
        <v>502</v>
      </c>
      <c r="Y22" s="284">
        <v>502</v>
      </c>
      <c r="AA22" s="384">
        <f t="shared" si="0"/>
        <v>0</v>
      </c>
      <c r="AB22" s="284">
        <f t="shared" si="1"/>
        <v>0</v>
      </c>
    </row>
    <row r="23" spans="1:28" ht="40.5" customHeight="1" x14ac:dyDescent="0.3">
      <c r="A23" s="210">
        <f>'Unit Data from Audit Worksheet'!A28</f>
        <v>503</v>
      </c>
      <c r="B23" s="223" t="str">
        <f>'Unit Data from Audit Worksheet'!C28</f>
        <v>Net Position-Business Activities</v>
      </c>
      <c r="C23" s="209" t="str">
        <f>'Unit Data from Audit Worksheet'!D28</f>
        <v>All restricted Cash and investments</v>
      </c>
      <c r="D23" s="102"/>
      <c r="E23" s="229">
        <f>'Unit Data from Audit Worksheet'!F28</f>
        <v>0</v>
      </c>
      <c r="F23" s="222">
        <f>IF(L23&lt;0,"Error: Number is normally positive.",)</f>
        <v>0</v>
      </c>
      <c r="G23" s="224"/>
      <c r="H23" s="221"/>
      <c r="I23" s="32"/>
      <c r="J23" s="220">
        <v>503</v>
      </c>
      <c r="K23" s="219" t="s">
        <v>178</v>
      </c>
      <c r="L23" s="287">
        <f t="shared" si="3"/>
        <v>0</v>
      </c>
      <c r="P23" s="194"/>
      <c r="X23" s="549">
        <v>503</v>
      </c>
      <c r="Y23" s="284">
        <v>503</v>
      </c>
      <c r="AA23" s="384">
        <f t="shared" si="0"/>
        <v>0</v>
      </c>
      <c r="AB23" s="284">
        <f t="shared" si="1"/>
        <v>0</v>
      </c>
    </row>
    <row r="24" spans="1:28" ht="39" customHeight="1" x14ac:dyDescent="0.3">
      <c r="A24" s="210">
        <f>'Unit Data from Audit Worksheet'!A30</f>
        <v>344</v>
      </c>
      <c r="B24" s="223" t="str">
        <f>'Unit Data from Audit Worksheet'!C30</f>
        <v>Statement of Activities - Governmental</v>
      </c>
      <c r="C24" s="209" t="str">
        <f>'Unit Data from Audit Worksheet'!D30</f>
        <v xml:space="preserve">Total Interest expense on Long-Term Debt </v>
      </c>
      <c r="D24" s="102"/>
      <c r="E24" s="229">
        <f>'Unit Data from Audit Worksheet'!F30</f>
        <v>0</v>
      </c>
      <c r="F24" s="222">
        <f>IF(L24&lt;0,"Error: Enter as a positive.",)</f>
        <v>0</v>
      </c>
      <c r="G24" s="224"/>
      <c r="H24" s="221"/>
      <c r="I24" s="32"/>
      <c r="J24" s="220">
        <v>344</v>
      </c>
      <c r="K24" s="219" t="s">
        <v>179</v>
      </c>
      <c r="L24" s="287">
        <f t="shared" si="3"/>
        <v>0</v>
      </c>
      <c r="P24" s="194"/>
      <c r="X24" s="549">
        <v>344</v>
      </c>
      <c r="Y24" s="284">
        <v>344</v>
      </c>
      <c r="AA24" s="384">
        <f t="shared" si="0"/>
        <v>0</v>
      </c>
      <c r="AB24" s="284">
        <f t="shared" si="1"/>
        <v>0</v>
      </c>
    </row>
    <row r="25" spans="1:28" ht="39" customHeight="1" x14ac:dyDescent="0.3">
      <c r="A25" s="210">
        <f>'Unit Data from Audit Worksheet'!A31</f>
        <v>388</v>
      </c>
      <c r="B25" s="223" t="str">
        <f>'Unit Data from Audit Worksheet'!C31</f>
        <v>Statement of Activities - Governmental</v>
      </c>
      <c r="C25" s="209" t="str">
        <f>'Unit Data from Audit Worksheet'!D31</f>
        <v>Total Expenses</v>
      </c>
      <c r="D25" s="102"/>
      <c r="E25" s="229">
        <f>'Unit Data from Audit Worksheet'!F31</f>
        <v>0</v>
      </c>
      <c r="F25" s="222">
        <f t="shared" ref="F25:F30" si="4">IF(L25&lt;0,"Error: Number is normally positive.",)</f>
        <v>0</v>
      </c>
      <c r="G25" s="224"/>
      <c r="H25" s="221"/>
      <c r="I25" s="32"/>
      <c r="J25" s="220">
        <v>388</v>
      </c>
      <c r="K25" s="219" t="s">
        <v>180</v>
      </c>
      <c r="L25" s="287">
        <f t="shared" si="3"/>
        <v>0</v>
      </c>
      <c r="P25" s="194"/>
      <c r="X25" s="549">
        <v>388</v>
      </c>
      <c r="Y25" s="284">
        <v>388</v>
      </c>
      <c r="AA25" s="384">
        <f t="shared" si="0"/>
        <v>0</v>
      </c>
      <c r="AB25" s="284">
        <f t="shared" si="1"/>
        <v>0</v>
      </c>
    </row>
    <row r="26" spans="1:28" ht="39" customHeight="1" x14ac:dyDescent="0.3">
      <c r="A26" s="210">
        <f>'Unit Data from Audit Worksheet'!A32</f>
        <v>339</v>
      </c>
      <c r="B26" s="223" t="str">
        <f>'Unit Data from Audit Worksheet'!C32</f>
        <v>Statement of Activities - Governmental</v>
      </c>
      <c r="C26" s="209" t="str">
        <f>'Unit Data from Audit Worksheet'!D32</f>
        <v xml:space="preserve">Charges for services </v>
      </c>
      <c r="D26" s="102"/>
      <c r="E26" s="229">
        <f>'Unit Data from Audit Worksheet'!F32</f>
        <v>0</v>
      </c>
      <c r="F26" s="222">
        <f t="shared" si="4"/>
        <v>0</v>
      </c>
      <c r="G26" s="224"/>
      <c r="H26" s="221"/>
      <c r="I26" s="32"/>
      <c r="J26" s="220">
        <v>339</v>
      </c>
      <c r="K26" s="219" t="s">
        <v>181</v>
      </c>
      <c r="L26" s="287">
        <f t="shared" si="3"/>
        <v>0</v>
      </c>
      <c r="P26" s="194"/>
      <c r="X26" s="549">
        <v>339</v>
      </c>
      <c r="Y26" s="284">
        <v>339</v>
      </c>
      <c r="AA26" s="384">
        <f t="shared" si="0"/>
        <v>0</v>
      </c>
      <c r="AB26" s="284">
        <f t="shared" si="1"/>
        <v>0</v>
      </c>
    </row>
    <row r="27" spans="1:28" ht="39" customHeight="1" x14ac:dyDescent="0.3">
      <c r="A27" s="210">
        <f>'Unit Data from Audit Worksheet'!A33</f>
        <v>504</v>
      </c>
      <c r="B27" s="223" t="str">
        <f>'Unit Data from Audit Worksheet'!C33</f>
        <v>Statement of Activities - Governmental</v>
      </c>
      <c r="C27" s="209" t="str">
        <f>'Unit Data from Audit Worksheet'!D33</f>
        <v>Operating grants and contributions</v>
      </c>
      <c r="D27" s="102"/>
      <c r="E27" s="229">
        <f>'Unit Data from Audit Worksheet'!F33</f>
        <v>0</v>
      </c>
      <c r="F27" s="222">
        <f t="shared" si="4"/>
        <v>0</v>
      </c>
      <c r="G27" s="224"/>
      <c r="H27" s="221"/>
      <c r="I27" s="32"/>
      <c r="J27" s="220">
        <v>504</v>
      </c>
      <c r="K27" s="219" t="s">
        <v>182</v>
      </c>
      <c r="L27" s="287">
        <f t="shared" si="3"/>
        <v>0</v>
      </c>
      <c r="P27" s="194"/>
      <c r="X27" s="549">
        <v>504</v>
      </c>
      <c r="Y27" s="284">
        <v>504</v>
      </c>
      <c r="AA27" s="384">
        <f t="shared" si="0"/>
        <v>0</v>
      </c>
      <c r="AB27" s="284">
        <f t="shared" si="1"/>
        <v>0</v>
      </c>
    </row>
    <row r="28" spans="1:28" ht="39" customHeight="1" x14ac:dyDescent="0.3">
      <c r="A28" s="210">
        <f>'Unit Data from Audit Worksheet'!A34</f>
        <v>505</v>
      </c>
      <c r="B28" s="223" t="str">
        <f>'Unit Data from Audit Worksheet'!C34</f>
        <v>Statement of Activities - Governmental</v>
      </c>
      <c r="C28" s="209" t="str">
        <f>'Unit Data from Audit Worksheet'!D34</f>
        <v>Capital grants and contributions</v>
      </c>
      <c r="D28" s="102"/>
      <c r="E28" s="229">
        <f>'Unit Data from Audit Worksheet'!F34</f>
        <v>0</v>
      </c>
      <c r="F28" s="222">
        <f t="shared" si="4"/>
        <v>0</v>
      </c>
      <c r="G28" s="224"/>
      <c r="H28" s="221"/>
      <c r="I28" s="32"/>
      <c r="J28" s="220">
        <v>505</v>
      </c>
      <c r="K28" s="219" t="s">
        <v>183</v>
      </c>
      <c r="L28" s="287">
        <f t="shared" si="3"/>
        <v>0</v>
      </c>
      <c r="P28" s="194"/>
      <c r="X28" s="549">
        <v>505</v>
      </c>
      <c r="Y28" s="284">
        <v>505</v>
      </c>
      <c r="AA28" s="384">
        <f t="shared" si="0"/>
        <v>0</v>
      </c>
      <c r="AB28" s="284">
        <f t="shared" si="1"/>
        <v>0</v>
      </c>
    </row>
    <row r="29" spans="1:28" ht="82.5" customHeight="1" x14ac:dyDescent="0.3">
      <c r="A29" s="210">
        <f>'Unit Data from Audit Worksheet'!A35</f>
        <v>341</v>
      </c>
      <c r="B29" s="223" t="str">
        <f>'Unit Data from Audit Worksheet'!C35</f>
        <v>Statement of Activities - Governmental</v>
      </c>
      <c r="C29" s="209" t="str">
        <f>'Unit Data from Audit Worksheet'!D35</f>
        <v>Total General revenues
Exclude: transfers-in or out,
                 special items,
                 extraordinary amounts</v>
      </c>
      <c r="D29" s="102"/>
      <c r="E29" s="229">
        <f>'Unit Data from Audit Worksheet'!F35</f>
        <v>0</v>
      </c>
      <c r="F29" s="222">
        <f t="shared" si="4"/>
        <v>0</v>
      </c>
      <c r="G29" s="224"/>
      <c r="H29" s="221"/>
      <c r="I29" s="32"/>
      <c r="J29" s="220">
        <v>341</v>
      </c>
      <c r="K29" s="219" t="s">
        <v>184</v>
      </c>
      <c r="L29" s="287">
        <f t="shared" si="3"/>
        <v>0</v>
      </c>
      <c r="P29" s="194"/>
      <c r="X29" s="549">
        <v>341</v>
      </c>
      <c r="Y29" s="284">
        <v>341</v>
      </c>
      <c r="AA29" s="384">
        <f t="shared" si="0"/>
        <v>0</v>
      </c>
      <c r="AB29" s="284">
        <f t="shared" si="1"/>
        <v>0</v>
      </c>
    </row>
    <row r="30" spans="1:28" ht="82.5" customHeight="1" x14ac:dyDescent="0.3">
      <c r="A30" s="210">
        <f>'Unit Data from Audit Worksheet'!A36</f>
        <v>386</v>
      </c>
      <c r="B30" s="223" t="str">
        <f>'Unit Data from Audit Worksheet'!C36</f>
        <v>Statement of Activities - Governmental</v>
      </c>
      <c r="C30" s="209" t="str">
        <f>'Unit Data from Audit Worksheet'!D36</f>
        <v>Total Transfers in    (Preference is that transfers-in  are not netted against transfers-out)</v>
      </c>
      <c r="D30" s="102"/>
      <c r="E30" s="229">
        <f>'Unit Data from Audit Worksheet'!F36</f>
        <v>0</v>
      </c>
      <c r="F30" s="222">
        <f t="shared" si="4"/>
        <v>0</v>
      </c>
      <c r="G30" s="224"/>
      <c r="H30" s="221"/>
      <c r="I30" s="32"/>
      <c r="J30" s="220">
        <v>386</v>
      </c>
      <c r="K30" s="219" t="s">
        <v>185</v>
      </c>
      <c r="L30" s="287">
        <f t="shared" si="3"/>
        <v>0</v>
      </c>
      <c r="P30" s="194"/>
      <c r="X30" s="549">
        <v>386</v>
      </c>
      <c r="Y30" s="284">
        <v>386</v>
      </c>
      <c r="AA30" s="384">
        <f t="shared" si="0"/>
        <v>0</v>
      </c>
      <c r="AB30" s="284">
        <f t="shared" si="1"/>
        <v>0</v>
      </c>
    </row>
    <row r="31" spans="1:28" ht="82.5" customHeight="1" x14ac:dyDescent="0.3">
      <c r="A31" s="210">
        <f>'Unit Data from Audit Worksheet'!A37</f>
        <v>387</v>
      </c>
      <c r="B31" s="223" t="str">
        <f>'Unit Data from Audit Worksheet'!C37</f>
        <v>Statement of Activities - Governmental</v>
      </c>
      <c r="C31" s="209" t="str">
        <f>'Unit Data from Audit Worksheet'!D37</f>
        <v>Total Transfers out    (Preference is that transfers-in  are not netted against transfers-out)</v>
      </c>
      <c r="D31" s="102"/>
      <c r="E31" s="229">
        <f>'Unit Data from Audit Worksheet'!F37</f>
        <v>0</v>
      </c>
      <c r="F31" s="222">
        <f>IF(L31&lt;0,"Error: Enter as a positive.",)</f>
        <v>0</v>
      </c>
      <c r="G31" s="224"/>
      <c r="H31" s="221"/>
      <c r="I31" s="32"/>
      <c r="J31" s="220">
        <v>387</v>
      </c>
      <c r="K31" s="219" t="s">
        <v>186</v>
      </c>
      <c r="L31" s="287">
        <f t="shared" si="3"/>
        <v>0</v>
      </c>
      <c r="P31" s="194"/>
      <c r="X31" s="549">
        <v>387</v>
      </c>
      <c r="Y31" s="284">
        <v>387</v>
      </c>
      <c r="AA31" s="384">
        <f t="shared" si="0"/>
        <v>0</v>
      </c>
      <c r="AB31" s="284">
        <f t="shared" si="1"/>
        <v>0</v>
      </c>
    </row>
    <row r="32" spans="1:28" ht="82.5" customHeight="1" x14ac:dyDescent="0.3">
      <c r="A32" s="210">
        <f>'Unit Data from Audit Worksheet'!A38</f>
        <v>389</v>
      </c>
      <c r="B32" s="223" t="str">
        <f>'Unit Data from Audit Worksheet'!C38</f>
        <v>Statement of Activities - Governmental</v>
      </c>
      <c r="C32" s="209" t="str">
        <f>'Unit Data from Audit Worksheet'!D38</f>
        <v>Total Special and Extraordinary items.    (Amounts that increase net position are recorded as positive and amounts that decrease net position are recorded as negative)</v>
      </c>
      <c r="D32" s="102"/>
      <c r="E32" s="229">
        <f>'Unit Data from Audit Worksheet'!F38</f>
        <v>0</v>
      </c>
      <c r="F32" s="222"/>
      <c r="G32" s="224"/>
      <c r="H32" s="221"/>
      <c r="I32" s="32"/>
      <c r="J32" s="220">
        <v>389</v>
      </c>
      <c r="K32" s="219" t="s">
        <v>187</v>
      </c>
      <c r="L32" s="287">
        <f t="shared" si="3"/>
        <v>0</v>
      </c>
      <c r="N32" s="295"/>
      <c r="P32" s="194"/>
      <c r="X32" s="549">
        <v>389</v>
      </c>
      <c r="Y32" s="284">
        <v>389</v>
      </c>
      <c r="AA32" s="384">
        <f t="shared" si="0"/>
        <v>0</v>
      </c>
      <c r="AB32" s="284">
        <f t="shared" si="1"/>
        <v>0</v>
      </c>
    </row>
    <row r="33" spans="1:28" ht="79.5" customHeight="1" x14ac:dyDescent="0.3">
      <c r="A33" s="210">
        <f>'Unit Data from Audit Worksheet'!A39</f>
        <v>255</v>
      </c>
      <c r="B33" s="223" t="str">
        <f>'Unit Data from Audit Worksheet'!C39</f>
        <v>Statement of Activities - Governmental</v>
      </c>
      <c r="C33" s="209" t="str">
        <f>'Unit Data from Audit Worksheet'!D39</f>
        <v>Total Change in net position - (Increase in net position is recorded as a positive and a decrease in net position is recorded as a negative)</v>
      </c>
      <c r="D33" s="102"/>
      <c r="E33" s="229">
        <f>'Unit Data from Audit Worksheet'!F39</f>
        <v>0</v>
      </c>
      <c r="F33" s="222">
        <f>IF((L26+L27+L28+L29+L30-L31+L32-L25-L33)=0,,"Total revenues less total expenses do not equal total change in net position. Acct 339+504+505+341+386-387+389-388-255=0")</f>
        <v>0</v>
      </c>
      <c r="G33" s="84">
        <f>L26+L27+L28+L29+L30-L31+L32-L25-L33</f>
        <v>0</v>
      </c>
      <c r="H33" s="221"/>
      <c r="I33" s="32"/>
      <c r="J33" s="220">
        <v>255</v>
      </c>
      <c r="K33" s="219" t="s">
        <v>188</v>
      </c>
      <c r="L33" s="287">
        <f t="shared" si="3"/>
        <v>0</v>
      </c>
      <c r="O33" s="294" t="e">
        <f>'Unit Data from Audit Worksheet'!E39</f>
        <v>#N/A</v>
      </c>
      <c r="P33" s="194"/>
      <c r="X33" s="549">
        <v>255</v>
      </c>
      <c r="Y33" s="284">
        <v>255</v>
      </c>
      <c r="AA33" s="384">
        <f t="shared" si="0"/>
        <v>0</v>
      </c>
      <c r="AB33" s="284">
        <f t="shared" si="1"/>
        <v>0</v>
      </c>
    </row>
    <row r="34" spans="1:28" ht="89.25" customHeight="1" x14ac:dyDescent="0.3">
      <c r="A34" s="210">
        <f>'Unit Data from Audit Worksheet'!A40</f>
        <v>376</v>
      </c>
      <c r="B34" s="223" t="str">
        <f>'Unit Data from Audit Worksheet'!C40</f>
        <v>Statement of Activities - Governmental</v>
      </c>
      <c r="C34" s="209" t="str">
        <f>'Unit Data from Audit Worksheet'!D40</f>
        <v>Any adjustment to beginning net position including rounding, prior period adjustments and restatements.   (Increases to net position are positive; decreases to net position are negative)</v>
      </c>
      <c r="D34" s="102"/>
      <c r="E34" s="229">
        <f>'Unit Data from Audit Worksheet'!F40</f>
        <v>0</v>
      </c>
      <c r="F34" s="80" t="e">
        <f>IF(L19+L20+L21-L33-L34=O19+O20+O21,,"Beginning Balance does not agree with our records acct (252+253+254-255-376=PY252+PY253+PY254)")</f>
        <v>#N/A</v>
      </c>
      <c r="G34" s="85" t="e">
        <f>L19+L20+L21-L33-L34-(O19+O20+O21)</f>
        <v>#N/A</v>
      </c>
      <c r="H34" s="221" t="e">
        <f>'Unit Data from Audit Worksheet'!I40</f>
        <v>#N/A</v>
      </c>
      <c r="I34" s="32"/>
      <c r="J34" s="220">
        <v>376</v>
      </c>
      <c r="K34" s="219" t="s">
        <v>100</v>
      </c>
      <c r="L34" s="287">
        <f t="shared" si="3"/>
        <v>0</v>
      </c>
      <c r="O34" s="294" t="e">
        <f>'Unit Data from Audit Worksheet'!E40</f>
        <v>#N/A</v>
      </c>
      <c r="P34" s="194"/>
      <c r="R34" s="382"/>
      <c r="S34" s="382"/>
      <c r="T34" s="382"/>
      <c r="U34" s="382"/>
      <c r="V34" s="382"/>
      <c r="W34" s="382"/>
      <c r="X34" s="549">
        <v>376</v>
      </c>
      <c r="Y34" s="284">
        <v>376</v>
      </c>
      <c r="Z34" s="382"/>
      <c r="AA34" s="384">
        <f t="shared" si="0"/>
        <v>0</v>
      </c>
      <c r="AB34" s="284">
        <f t="shared" si="1"/>
        <v>0</v>
      </c>
    </row>
    <row r="35" spans="1:28" ht="157.5" customHeight="1" x14ac:dyDescent="0.3">
      <c r="A35" s="210">
        <f>'Unit Data from Audit Worksheet'!A41</f>
        <v>597</v>
      </c>
      <c r="B35" s="223" t="str">
        <f>'Unit Data from Audit Worksheet'!C41</f>
        <v>Statement of Activities                               (all governmental and business funds)</v>
      </c>
      <c r="C35" s="209"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29">
        <f>'Unit Data from Audit Worksheet'!F41</f>
        <v>0</v>
      </c>
      <c r="F35" s="222">
        <f>IF(L35&lt;0,"Error: Number is normally positive.",)</f>
        <v>0</v>
      </c>
      <c r="G35" s="224"/>
      <c r="H35" s="221"/>
      <c r="I35" s="32"/>
      <c r="J35" s="220">
        <v>597</v>
      </c>
      <c r="K35" s="219" t="s">
        <v>336</v>
      </c>
      <c r="L35" s="287">
        <f t="shared" si="3"/>
        <v>0</v>
      </c>
      <c r="O35" s="294"/>
      <c r="P35" s="194"/>
      <c r="R35" s="382"/>
      <c r="S35" s="382"/>
      <c r="T35" s="382"/>
      <c r="U35" s="382"/>
      <c r="V35" s="382"/>
      <c r="W35" s="382"/>
      <c r="X35" s="549">
        <v>597</v>
      </c>
      <c r="Y35" s="284">
        <v>597</v>
      </c>
      <c r="Z35" s="382"/>
      <c r="AA35" s="384">
        <f t="shared" si="0"/>
        <v>0</v>
      </c>
      <c r="AB35" s="284">
        <f t="shared" si="1"/>
        <v>0</v>
      </c>
    </row>
    <row r="36" spans="1:28" ht="90" customHeight="1" x14ac:dyDescent="0.3">
      <c r="A36" s="210">
        <f>'Unit Data from Audit Worksheet'!A43</f>
        <v>592</v>
      </c>
      <c r="B36" s="223" t="str">
        <f>'Unit Data from Audit Worksheet'!C43</f>
        <v>Statement of Activities - Business Activities</v>
      </c>
      <c r="C36" s="209" t="str">
        <f>'Unit Data from Audit Worksheet'!D43</f>
        <v>Total Change in net position Business Type 
(Increase in net position is recorded as a positive and a decrease in net position is recorded as a negative)</v>
      </c>
      <c r="D36" s="102"/>
      <c r="E36" s="229">
        <f>'Unit Data from Audit Worksheet'!F43</f>
        <v>0</v>
      </c>
      <c r="F36" s="222"/>
      <c r="G36" s="224"/>
      <c r="H36" s="221"/>
      <c r="I36" s="32"/>
      <c r="J36" s="220">
        <v>592</v>
      </c>
      <c r="K36" s="219" t="s">
        <v>328</v>
      </c>
      <c r="L36" s="287">
        <f t="shared" si="3"/>
        <v>0</v>
      </c>
      <c r="O36" s="294"/>
      <c r="P36" s="194"/>
      <c r="R36" s="382"/>
      <c r="S36" s="382"/>
      <c r="T36" s="382"/>
      <c r="U36" s="382"/>
      <c r="V36" s="382"/>
      <c r="W36" s="382"/>
      <c r="X36" s="549">
        <v>592</v>
      </c>
      <c r="Y36" s="284">
        <v>592</v>
      </c>
      <c r="Z36" s="382"/>
      <c r="AA36" s="384">
        <f t="shared" si="0"/>
        <v>0</v>
      </c>
      <c r="AB36" s="284">
        <f t="shared" si="1"/>
        <v>0</v>
      </c>
    </row>
    <row r="37" spans="1:28" ht="66" customHeight="1" x14ac:dyDescent="0.3">
      <c r="A37" s="210">
        <f>'Unit Data from Audit Worksheet'!A44</f>
        <v>591</v>
      </c>
      <c r="B37" s="223" t="str">
        <f>'Unit Data from Audit Worksheet'!C44</f>
        <v>Statement of Activities - Business Activities</v>
      </c>
      <c r="C37" s="209" t="str">
        <f>'Unit Data from Audit Worksheet'!D44</f>
        <v>Total Expenses - Exclude Transfers</v>
      </c>
      <c r="D37" s="102"/>
      <c r="E37" s="229">
        <f>'Unit Data from Audit Worksheet'!F44</f>
        <v>0</v>
      </c>
      <c r="F37" s="222">
        <f>IF(L37&lt;0,"Error: Enter as a positive.",)</f>
        <v>0</v>
      </c>
      <c r="G37" s="224"/>
      <c r="H37" s="221"/>
      <c r="I37" s="32"/>
      <c r="J37" s="220">
        <v>591</v>
      </c>
      <c r="K37" s="219" t="s">
        <v>327</v>
      </c>
      <c r="L37" s="287">
        <f t="shared" si="3"/>
        <v>0</v>
      </c>
      <c r="O37" s="294"/>
      <c r="P37" s="194"/>
      <c r="R37" s="382"/>
      <c r="S37" s="382"/>
      <c r="T37" s="382"/>
      <c r="U37" s="382"/>
      <c r="V37" s="382"/>
      <c r="W37" s="382"/>
      <c r="X37" s="549">
        <v>591</v>
      </c>
      <c r="Y37" s="284">
        <v>591</v>
      </c>
      <c r="Z37" s="382"/>
      <c r="AA37" s="384">
        <f t="shared" si="0"/>
        <v>0</v>
      </c>
      <c r="AB37" s="284">
        <f t="shared" si="1"/>
        <v>0</v>
      </c>
    </row>
    <row r="38" spans="1:28" ht="54" customHeight="1" x14ac:dyDescent="0.3">
      <c r="A38" s="210">
        <f>'Unit Data from Audit Worksheet'!A46</f>
        <v>506</v>
      </c>
      <c r="B38" s="47" t="str">
        <f>'Unit Data from Audit Worksheet'!C46</f>
        <v>General Fund-Balance Sheet</v>
      </c>
      <c r="C38" s="296"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1"/>
      <c r="I38" s="32"/>
      <c r="J38" s="35">
        <v>506</v>
      </c>
      <c r="K38" s="219" t="s">
        <v>189</v>
      </c>
      <c r="L38" s="297">
        <f t="shared" ref="L38:L51" si="5">IF(D38="",E38,D38)</f>
        <v>0</v>
      </c>
      <c r="P38" s="195"/>
      <c r="X38" s="549">
        <v>506</v>
      </c>
      <c r="Y38" s="284">
        <v>506</v>
      </c>
      <c r="AA38" s="384">
        <f t="shared" si="0"/>
        <v>0</v>
      </c>
      <c r="AB38" s="284">
        <f t="shared" si="1"/>
        <v>0</v>
      </c>
    </row>
    <row r="39" spans="1:28" ht="45.75" customHeight="1" x14ac:dyDescent="0.3">
      <c r="A39" s="210">
        <f>'Unit Data from Audit Worksheet'!A47</f>
        <v>536</v>
      </c>
      <c r="B39" s="47" t="str">
        <f>'Unit Data from Audit Worksheet'!C47</f>
        <v>General Fund-Balance Sheet</v>
      </c>
      <c r="C39" s="296" t="str">
        <f>'Unit Data from Audit Worksheet'!D47</f>
        <v>All restricted cash and investments</v>
      </c>
      <c r="D39" s="102"/>
      <c r="E39" s="144">
        <f>'Unit Data from Audit Worksheet'!F47</f>
        <v>0</v>
      </c>
      <c r="F39" s="31">
        <f>IF(L39&lt;0,"Error: Number is normally positive.",)</f>
        <v>0</v>
      </c>
      <c r="G39" s="66"/>
      <c r="H39" s="221"/>
      <c r="I39" s="32"/>
      <c r="J39" s="35">
        <v>536</v>
      </c>
      <c r="K39" s="219" t="s">
        <v>190</v>
      </c>
      <c r="L39" s="297">
        <f t="shared" si="5"/>
        <v>0</v>
      </c>
      <c r="P39" s="196"/>
      <c r="Q39" s="291"/>
      <c r="S39" s="290"/>
      <c r="T39" s="290"/>
      <c r="U39" s="290"/>
      <c r="V39" s="290"/>
      <c r="W39" s="18"/>
      <c r="X39" s="549">
        <v>536</v>
      </c>
      <c r="Y39" s="284">
        <v>536</v>
      </c>
      <c r="Z39" s="18"/>
      <c r="AA39" s="384">
        <f t="shared" si="0"/>
        <v>0</v>
      </c>
      <c r="AB39" s="284">
        <f t="shared" si="1"/>
        <v>0</v>
      </c>
    </row>
    <row r="40" spans="1:28" ht="56.25" customHeight="1" x14ac:dyDescent="0.3">
      <c r="A40" s="210">
        <f>'Unit Data from Audit Worksheet'!A48</f>
        <v>586</v>
      </c>
      <c r="B40" s="223" t="str">
        <f>'Unit Data from Audit Worksheet'!C48</f>
        <v>General Fund-Balance Sheet</v>
      </c>
      <c r="C40" s="209" t="str">
        <f>'Unit Data from Audit Worksheet'!D48</f>
        <v>Advance To: Interfund loan receivable-portion of repayment plan longer than 12 months</v>
      </c>
      <c r="D40" s="134"/>
      <c r="E40" s="229">
        <f>'Unit Data from Audit Worksheet'!F48</f>
        <v>0</v>
      </c>
      <c r="F40" s="222"/>
      <c r="G40" s="224"/>
      <c r="H40" s="221"/>
      <c r="I40" s="32"/>
      <c r="J40" s="220">
        <v>586</v>
      </c>
      <c r="K40" s="209" t="s">
        <v>313</v>
      </c>
      <c r="L40" s="287">
        <f t="shared" si="5"/>
        <v>0</v>
      </c>
      <c r="P40" s="196"/>
      <c r="Q40" s="291"/>
      <c r="S40" s="290"/>
      <c r="T40" s="290"/>
      <c r="U40" s="290"/>
      <c r="V40" s="290"/>
      <c r="W40" s="18"/>
      <c r="X40" s="549">
        <v>586</v>
      </c>
      <c r="Y40" s="284">
        <v>586</v>
      </c>
      <c r="Z40" s="18"/>
      <c r="AA40" s="384">
        <f t="shared" si="0"/>
        <v>0</v>
      </c>
      <c r="AB40" s="284">
        <f t="shared" si="1"/>
        <v>0</v>
      </c>
    </row>
    <row r="41" spans="1:28" ht="28.8" x14ac:dyDescent="0.3">
      <c r="A41" s="210">
        <f>'Unit Data from Audit Worksheet'!A49</f>
        <v>379</v>
      </c>
      <c r="B41" s="223" t="str">
        <f>'Unit Data from Audit Worksheet'!C49</f>
        <v>General Fund-Balance Sheet</v>
      </c>
      <c r="C41" s="209" t="str">
        <f>'Unit Data from Audit Worksheet'!D49</f>
        <v>Total Assets and deferred outflows</v>
      </c>
      <c r="D41" s="134"/>
      <c r="E41" s="229">
        <f>'Unit Data from Audit Worksheet'!F49</f>
        <v>0</v>
      </c>
      <c r="F41" s="77">
        <f>IF((L38+L39)&gt;L41,"Error: Please review accts (506+536)&gt;379",)</f>
        <v>0</v>
      </c>
      <c r="G41" s="224"/>
      <c r="H41" s="221"/>
      <c r="I41" s="32"/>
      <c r="J41" s="220">
        <v>379</v>
      </c>
      <c r="K41" s="219" t="s">
        <v>110</v>
      </c>
      <c r="L41" s="287">
        <f t="shared" si="5"/>
        <v>0</v>
      </c>
      <c r="P41" s="193"/>
      <c r="X41" s="549">
        <v>379</v>
      </c>
      <c r="Y41" s="284">
        <v>379</v>
      </c>
      <c r="AA41" s="384">
        <f t="shared" si="0"/>
        <v>0</v>
      </c>
      <c r="AB41" s="284">
        <f t="shared" si="1"/>
        <v>0</v>
      </c>
    </row>
    <row r="42" spans="1:28" ht="106.5" customHeight="1" x14ac:dyDescent="0.3">
      <c r="A42" s="210">
        <f>'Unit Data from Audit Worksheet'!A50</f>
        <v>368</v>
      </c>
      <c r="B42" s="223" t="str">
        <f>'Unit Data from Audit Worksheet'!C50</f>
        <v>General Fund-Balance Sheet</v>
      </c>
      <c r="C42" s="209"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29">
        <f>'Unit Data from Audit Worksheet'!F50</f>
        <v>0</v>
      </c>
      <c r="F42" s="222">
        <f>IF(L42&lt;0,"Error: Enter as a positive.",)</f>
        <v>0</v>
      </c>
      <c r="G42" s="224"/>
      <c r="H42" s="221"/>
      <c r="I42" s="32"/>
      <c r="J42" s="220">
        <v>368</v>
      </c>
      <c r="K42" s="219" t="s">
        <v>191</v>
      </c>
      <c r="L42" s="287">
        <f t="shared" si="5"/>
        <v>0</v>
      </c>
      <c r="P42" s="194"/>
      <c r="S42" s="18"/>
      <c r="T42" s="18"/>
      <c r="U42" s="18"/>
      <c r="V42" s="18"/>
      <c r="X42" s="549">
        <v>368</v>
      </c>
      <c r="Y42" s="284">
        <v>368</v>
      </c>
      <c r="Z42" s="18"/>
      <c r="AA42" s="384">
        <f t="shared" si="0"/>
        <v>0</v>
      </c>
      <c r="AB42" s="284">
        <f t="shared" si="1"/>
        <v>0</v>
      </c>
    </row>
    <row r="43" spans="1:28" ht="90.75" customHeight="1" x14ac:dyDescent="0.3">
      <c r="A43" s="210">
        <f>'Unit Data from Audit Worksheet'!A51</f>
        <v>4</v>
      </c>
      <c r="B43" s="47" t="str">
        <f>'Unit Data from Audit Worksheet'!C51</f>
        <v>General Fund-Balance Sheet</v>
      </c>
      <c r="C43" s="296"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1"/>
      <c r="I43" s="32"/>
      <c r="J43" s="35">
        <v>4</v>
      </c>
      <c r="K43" s="219" t="s">
        <v>111</v>
      </c>
      <c r="L43" s="297">
        <f t="shared" si="5"/>
        <v>0</v>
      </c>
      <c r="P43" s="194"/>
      <c r="S43" s="18"/>
      <c r="T43" s="18"/>
      <c r="U43" s="18"/>
      <c r="V43" s="18"/>
      <c r="X43" s="549">
        <v>4</v>
      </c>
      <c r="Y43" s="284">
        <v>4</v>
      </c>
      <c r="Z43" s="18"/>
      <c r="AA43" s="384">
        <f t="shared" si="0"/>
        <v>0</v>
      </c>
      <c r="AB43" s="284">
        <f t="shared" si="1"/>
        <v>0</v>
      </c>
    </row>
    <row r="44" spans="1:28" ht="131.25" customHeight="1" x14ac:dyDescent="0.3">
      <c r="A44" s="210">
        <f>'Unit Data from Audit Worksheet'!A52</f>
        <v>5</v>
      </c>
      <c r="B44" s="47" t="str">
        <f>'Unit Data from Audit Worksheet'!C52</f>
        <v>General Fund-Balance Sheet</v>
      </c>
      <c r="C44" s="296"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1"/>
      <c r="I44" s="32"/>
      <c r="J44" s="35">
        <v>5</v>
      </c>
      <c r="K44" s="219" t="s">
        <v>112</v>
      </c>
      <c r="L44" s="297">
        <f t="shared" si="5"/>
        <v>0</v>
      </c>
      <c r="P44" s="194"/>
      <c r="S44" s="18"/>
      <c r="T44" s="18"/>
      <c r="U44" s="18"/>
      <c r="V44" s="18"/>
      <c r="X44" s="549">
        <v>5</v>
      </c>
      <c r="Y44" s="284">
        <v>5</v>
      </c>
      <c r="Z44" s="18"/>
      <c r="AA44" s="384">
        <f t="shared" si="0"/>
        <v>0</v>
      </c>
      <c r="AB44" s="284">
        <f t="shared" si="1"/>
        <v>0</v>
      </c>
    </row>
    <row r="45" spans="1:28" ht="104.25" customHeight="1" x14ac:dyDescent="0.3">
      <c r="A45" s="210">
        <f>'Unit Data from Audit Worksheet'!A53</f>
        <v>380</v>
      </c>
      <c r="B45" s="223" t="str">
        <f>'Unit Data from Audit Worksheet'!C53</f>
        <v>General Fund-Balance Sheet</v>
      </c>
      <c r="C45" s="209"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29">
        <f>'Unit Data from Audit Worksheet'!F53</f>
        <v>0</v>
      </c>
      <c r="F45" s="222">
        <f t="shared" si="6"/>
        <v>0</v>
      </c>
      <c r="G45" s="224"/>
      <c r="H45" s="221"/>
      <c r="I45" s="32"/>
      <c r="J45" s="220">
        <v>380</v>
      </c>
      <c r="K45" s="219" t="s">
        <v>113</v>
      </c>
      <c r="L45" s="287">
        <f t="shared" si="5"/>
        <v>0</v>
      </c>
      <c r="P45" s="194"/>
      <c r="X45" s="549">
        <v>380</v>
      </c>
      <c r="Y45" s="284">
        <v>380</v>
      </c>
      <c r="AA45" s="384">
        <f t="shared" si="0"/>
        <v>0</v>
      </c>
      <c r="AB45" s="284">
        <f t="shared" si="1"/>
        <v>0</v>
      </c>
    </row>
    <row r="46" spans="1:28" ht="41.25" customHeight="1" x14ac:dyDescent="0.3">
      <c r="A46" s="210">
        <f>'Unit Data from Audit Worksheet'!A54</f>
        <v>391</v>
      </c>
      <c r="B46" s="223" t="str">
        <f>'Unit Data from Audit Worksheet'!C54</f>
        <v>General Fund-Balance Sheet</v>
      </c>
      <c r="C46" s="209" t="str">
        <f>'Unit Data from Audit Worksheet'!D54</f>
        <v xml:space="preserve">Fund balance, Restricted for Stabilization by State Statute </v>
      </c>
      <c r="D46" s="134"/>
      <c r="E46" s="229">
        <f>'Unit Data from Audit Worksheet'!F54</f>
        <v>0</v>
      </c>
      <c r="F46" s="222">
        <f t="shared" si="6"/>
        <v>0</v>
      </c>
      <c r="G46" s="224"/>
      <c r="H46" s="221"/>
      <c r="I46" s="32"/>
      <c r="J46" s="220">
        <v>391</v>
      </c>
      <c r="K46" s="219" t="s">
        <v>192</v>
      </c>
      <c r="L46" s="287">
        <f t="shared" si="5"/>
        <v>0</v>
      </c>
      <c r="P46" s="194"/>
      <c r="X46" s="549">
        <v>391</v>
      </c>
      <c r="Y46" s="284">
        <v>391</v>
      </c>
      <c r="AA46" s="384">
        <f t="shared" si="0"/>
        <v>0</v>
      </c>
      <c r="AB46" s="284">
        <f t="shared" si="1"/>
        <v>0</v>
      </c>
    </row>
    <row r="47" spans="1:28" ht="28.8" x14ac:dyDescent="0.3">
      <c r="A47" s="210">
        <f>'Unit Data from Audit Worksheet'!A55</f>
        <v>7</v>
      </c>
      <c r="B47" s="47" t="str">
        <f>'Unit Data from Audit Worksheet'!C55</f>
        <v>General Fund-Balance Sheet</v>
      </c>
      <c r="C47" s="296" t="str">
        <f>'Unit Data from Audit Worksheet'!D55</f>
        <v>Fund balance, Nonspendable-  inventory/prepaids/etc.</v>
      </c>
      <c r="D47" s="134"/>
      <c r="E47" s="144">
        <f>'Unit Data from Audit Worksheet'!F55</f>
        <v>0</v>
      </c>
      <c r="F47" s="31">
        <f t="shared" si="6"/>
        <v>0</v>
      </c>
      <c r="G47" s="66"/>
      <c r="H47" s="221"/>
      <c r="I47" s="32"/>
      <c r="J47" s="35">
        <v>7</v>
      </c>
      <c r="K47" s="219" t="s">
        <v>193</v>
      </c>
      <c r="L47" s="297">
        <f t="shared" si="5"/>
        <v>0</v>
      </c>
      <c r="P47" s="194"/>
      <c r="X47" s="549">
        <v>7</v>
      </c>
      <c r="Y47" s="284">
        <v>7</v>
      </c>
      <c r="AA47" s="384">
        <f t="shared" si="0"/>
        <v>0</v>
      </c>
      <c r="AB47" s="284">
        <f t="shared" si="1"/>
        <v>0</v>
      </c>
    </row>
    <row r="48" spans="1:28" ht="89.25" customHeight="1" x14ac:dyDescent="0.3">
      <c r="A48" s="298">
        <f>'Unit Data from Audit Worksheet'!A56</f>
        <v>11</v>
      </c>
      <c r="B48" s="109" t="str">
        <f>'Unit Data from Audit Worksheet'!C56</f>
        <v>General Fund-Balance Sheet</v>
      </c>
      <c r="C48" s="289"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7">
        <f t="shared" si="5"/>
        <v>0</v>
      </c>
      <c r="P48" s="194"/>
      <c r="X48" s="549">
        <v>11</v>
      </c>
      <c r="Y48" s="284">
        <v>11</v>
      </c>
      <c r="AA48" s="384">
        <f t="shared" si="0"/>
        <v>0</v>
      </c>
      <c r="AB48" s="284">
        <f t="shared" si="1"/>
        <v>0</v>
      </c>
    </row>
    <row r="49" spans="1:28" s="18" customFormat="1" ht="48.75" customHeight="1" x14ac:dyDescent="0.3">
      <c r="A49" s="188">
        <f>'Unit Data from Audit Worksheet'!A57</f>
        <v>645</v>
      </c>
      <c r="B49" s="233" t="str">
        <f>'Unit Data from Audit Worksheet'!C57</f>
        <v>General Fund-Balance Sheet</v>
      </c>
      <c r="C49" s="188" t="str">
        <f>'Unit Data from Audit Worksheet'!D57</f>
        <v>Fund balance, Assigned (total of all assigned components)</v>
      </c>
      <c r="D49" s="108"/>
      <c r="E49" s="232">
        <f>'Unit Data from Audit Worksheet'!F57</f>
        <v>0</v>
      </c>
      <c r="F49" s="217">
        <f>IF(L49&lt;0,"Error: Enter as a positive.",)</f>
        <v>0</v>
      </c>
      <c r="G49" s="205"/>
      <c r="H49" s="217"/>
      <c r="I49" s="299"/>
      <c r="J49" s="216">
        <v>645</v>
      </c>
      <c r="K49" s="188" t="s">
        <v>381</v>
      </c>
      <c r="L49" s="300">
        <f t="shared" si="5"/>
        <v>0</v>
      </c>
      <c r="M49"/>
      <c r="N49" s="290"/>
      <c r="O49" s="290"/>
      <c r="P49" s="194"/>
      <c r="Q49" s="277"/>
      <c r="R49" s="3"/>
      <c r="S49" s="3"/>
      <c r="T49" s="3"/>
      <c r="U49" s="3"/>
      <c r="V49" s="3"/>
      <c r="W49" s="3"/>
      <c r="X49" s="549">
        <v>645</v>
      </c>
      <c r="Y49" s="284">
        <v>645</v>
      </c>
      <c r="Z49" s="3"/>
      <c r="AA49" s="384">
        <f t="shared" si="0"/>
        <v>0</v>
      </c>
      <c r="AB49" s="284">
        <f t="shared" si="1"/>
        <v>0</v>
      </c>
    </row>
    <row r="50" spans="1:28" s="18" customFormat="1" ht="45.75" customHeight="1" x14ac:dyDescent="0.3">
      <c r="A50" s="188">
        <f>'Unit Data from Audit Worksheet'!A58</f>
        <v>646</v>
      </c>
      <c r="B50" s="233" t="str">
        <f>'Unit Data from Audit Worksheet'!C58</f>
        <v>General Fund-Balance Sheet</v>
      </c>
      <c r="C50" s="188" t="str">
        <f>'Unit Data from Audit Worksheet'!D58</f>
        <v>Fund Balance, Unassigned</v>
      </c>
      <c r="D50" s="108"/>
      <c r="E50" s="232">
        <f>'Unit Data from Audit Worksheet'!F58</f>
        <v>0</v>
      </c>
      <c r="F50" s="217">
        <f>IF(L50&lt;0,"Error: Enter as a positive.",)</f>
        <v>0</v>
      </c>
      <c r="G50" s="205"/>
      <c r="H50" s="217"/>
      <c r="I50" s="299"/>
      <c r="J50" s="216">
        <v>646</v>
      </c>
      <c r="K50" s="188" t="s">
        <v>382</v>
      </c>
      <c r="L50" s="300">
        <f t="shared" si="5"/>
        <v>0</v>
      </c>
      <c r="M50"/>
      <c r="N50" s="290"/>
      <c r="O50" s="290"/>
      <c r="P50" s="194"/>
      <c r="Q50" s="277"/>
      <c r="R50" s="3"/>
      <c r="S50" s="3"/>
      <c r="T50" s="3"/>
      <c r="U50" s="3"/>
      <c r="V50" s="3"/>
      <c r="W50" s="3"/>
      <c r="X50" s="549">
        <v>646</v>
      </c>
      <c r="Y50" s="284">
        <v>646</v>
      </c>
      <c r="Z50" s="3"/>
      <c r="AA50" s="384">
        <f t="shared" si="0"/>
        <v>0</v>
      </c>
      <c r="AB50" s="284">
        <f t="shared" si="1"/>
        <v>0</v>
      </c>
    </row>
    <row r="51" spans="1:28" ht="55.5" customHeight="1" x14ac:dyDescent="0.3">
      <c r="A51" s="285">
        <f>'Unit Data from Audit Worksheet'!A59</f>
        <v>9</v>
      </c>
      <c r="B51" s="110" t="str">
        <f>'Unit Data from Audit Worksheet'!C59</f>
        <v>General Fund-Balance Sheet</v>
      </c>
      <c r="C51" s="301"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1"/>
      <c r="I51" s="32"/>
      <c r="J51" s="113">
        <v>9</v>
      </c>
      <c r="K51" s="45" t="s">
        <v>195</v>
      </c>
      <c r="L51" s="297">
        <f t="shared" si="5"/>
        <v>0</v>
      </c>
      <c r="O51" s="294" t="e">
        <f>'Unit Data from Audit Worksheet'!E59</f>
        <v>#N/A</v>
      </c>
      <c r="P51" s="194"/>
      <c r="X51" s="549">
        <v>9</v>
      </c>
      <c r="Y51" s="284">
        <v>9</v>
      </c>
      <c r="AA51" s="384">
        <f t="shared" si="0"/>
        <v>0</v>
      </c>
      <c r="AB51" s="284">
        <f t="shared" si="1"/>
        <v>0</v>
      </c>
    </row>
    <row r="52" spans="1:28" s="18" customFormat="1" ht="73.5" customHeight="1" x14ac:dyDescent="0.3">
      <c r="A52" s="210">
        <f>'Unit Data from Audit Worksheet'!A60</f>
        <v>540</v>
      </c>
      <c r="B52" s="223" t="str">
        <f>'Unit Data from Audit Worksheet'!C60</f>
        <v>General Fund - Budget Actual Statement</v>
      </c>
      <c r="C52" s="209" t="str">
        <f>'Unit Data from Audit Worksheet'!D60</f>
        <v>Amount of the General Fund Balance appropriated in next year's budget. As reported on the General Fund Balance Sheet.</v>
      </c>
      <c r="D52" s="134"/>
      <c r="E52" s="229">
        <f>'Unit Data from Audit Worksheet'!F60</f>
        <v>0</v>
      </c>
      <c r="F52" s="222">
        <f t="shared" si="6"/>
        <v>0</v>
      </c>
      <c r="G52" s="224"/>
      <c r="H52" s="221"/>
      <c r="I52" s="32"/>
      <c r="J52" s="220">
        <v>540</v>
      </c>
      <c r="K52" s="219" t="s">
        <v>253</v>
      </c>
      <c r="L52" s="287">
        <f t="shared" ref="L52:L79" si="7">IF(D52="",E52,D52)</f>
        <v>0</v>
      </c>
      <c r="M52"/>
      <c r="P52" s="194"/>
      <c r="Q52" s="277"/>
      <c r="R52" s="3"/>
      <c r="S52" s="3"/>
      <c r="T52" s="3"/>
      <c r="U52" s="3"/>
      <c r="V52" s="3"/>
      <c r="W52" s="3"/>
      <c r="X52" s="549">
        <v>540</v>
      </c>
      <c r="Y52" s="284">
        <v>540</v>
      </c>
      <c r="Z52" s="3"/>
      <c r="AA52" s="384">
        <f t="shared" si="0"/>
        <v>0</v>
      </c>
      <c r="AB52" s="284">
        <f t="shared" si="1"/>
        <v>0</v>
      </c>
    </row>
    <row r="53" spans="1:28" s="18" customFormat="1" ht="73.5" customHeight="1" x14ac:dyDescent="0.3">
      <c r="A53" s="210">
        <f>'Unit Data from Audit Worksheet'!A61</f>
        <v>1052</v>
      </c>
      <c r="B53" s="223" t="str">
        <f>'Unit Data from Audit Worksheet'!C61</f>
        <v>General Fund-Rev, Exp. Change in Fund Balance</v>
      </c>
      <c r="C53" s="209" t="str">
        <f>'Unit Data from Audit Worksheet'!D61</f>
        <v>Mark to Market unrealized losses in the General Fund. (enter as a negative number)</v>
      </c>
      <c r="D53" s="134"/>
      <c r="E53" s="229">
        <f>'Unit Data from Audit Worksheet'!F61</f>
        <v>0</v>
      </c>
      <c r="F53" s="222"/>
      <c r="G53" s="224"/>
      <c r="H53" s="221"/>
      <c r="I53" s="32"/>
      <c r="J53" s="220">
        <v>1052</v>
      </c>
      <c r="K53" s="219" t="s">
        <v>1528</v>
      </c>
      <c r="L53" s="293">
        <f t="shared" si="7"/>
        <v>0</v>
      </c>
      <c r="M53"/>
      <c r="P53" s="194"/>
      <c r="Q53" s="277"/>
      <c r="R53" s="384"/>
      <c r="S53" s="384"/>
      <c r="T53" s="384"/>
      <c r="U53" s="384"/>
      <c r="V53" s="384"/>
      <c r="W53" s="384"/>
      <c r="X53" s="549"/>
      <c r="Y53" s="284"/>
      <c r="Z53" s="384"/>
      <c r="AA53" s="384">
        <f t="shared" si="0"/>
        <v>0</v>
      </c>
      <c r="AB53" s="284"/>
    </row>
    <row r="54" spans="1:28" s="18" customFormat="1" ht="73.5" customHeight="1" x14ac:dyDescent="0.3">
      <c r="A54" s="210">
        <f>'Unit Data from Audit Worksheet'!A63</f>
        <v>984</v>
      </c>
      <c r="B54" s="223" t="str">
        <f>'Unit Data from Audit Worksheet'!C63</f>
        <v>General Fund - Budget Actual Statement</v>
      </c>
      <c r="C54" s="209" t="str">
        <f>'Unit Data from Audit Worksheet'!D63</f>
        <v>Amount of Ad valorem tax collected (including motor vehicle and prior years) reported on budget actual statement</v>
      </c>
      <c r="D54" s="134"/>
      <c r="E54" s="229">
        <f>'Unit Data from Audit Worksheet'!F63</f>
        <v>0</v>
      </c>
      <c r="F54" s="222"/>
      <c r="G54" s="224"/>
      <c r="H54" s="221"/>
      <c r="I54" s="32"/>
      <c r="J54" s="220">
        <v>984</v>
      </c>
      <c r="K54" s="219" t="s">
        <v>591</v>
      </c>
      <c r="L54" s="293">
        <f t="shared" si="7"/>
        <v>0</v>
      </c>
      <c r="M54"/>
      <c r="P54" s="194"/>
      <c r="Q54" s="277"/>
      <c r="R54" s="3"/>
      <c r="S54" s="3"/>
      <c r="T54" s="3"/>
      <c r="U54" s="3"/>
      <c r="V54" s="3"/>
      <c r="W54" s="3"/>
      <c r="X54" s="549">
        <v>984</v>
      </c>
      <c r="Y54" s="284">
        <v>984</v>
      </c>
      <c r="Z54" s="3"/>
      <c r="AA54" s="384">
        <f t="shared" si="0"/>
        <v>0</v>
      </c>
      <c r="AB54" s="284">
        <f t="shared" si="1"/>
        <v>0</v>
      </c>
    </row>
    <row r="55" spans="1:28" s="18" customFormat="1" ht="73.5" customHeight="1" x14ac:dyDescent="0.3">
      <c r="A55" s="210">
        <f>'Unit Data from Audit Worksheet'!A64</f>
        <v>985</v>
      </c>
      <c r="B55" s="223" t="str">
        <f>'Unit Data from Audit Worksheet'!C64</f>
        <v>General Fund - Budget Actual Statement</v>
      </c>
      <c r="C55" s="209" t="str">
        <f>'Unit Data from Audit Worksheet'!D64</f>
        <v>Amount of Ad valorem tax budgeted (including motor vehicle and prior years) reported on budget actual statement</v>
      </c>
      <c r="D55" s="134"/>
      <c r="E55" s="229">
        <f>'Unit Data from Audit Worksheet'!F64</f>
        <v>0</v>
      </c>
      <c r="F55" s="222"/>
      <c r="G55" s="224"/>
      <c r="H55" s="221"/>
      <c r="I55" s="32"/>
      <c r="J55" s="220">
        <v>985</v>
      </c>
      <c r="K55" s="219" t="s">
        <v>592</v>
      </c>
      <c r="L55" s="293">
        <f t="shared" si="7"/>
        <v>0</v>
      </c>
      <c r="M55"/>
      <c r="P55" s="195"/>
      <c r="Q55" s="277"/>
      <c r="R55" s="3"/>
      <c r="S55" s="3"/>
      <c r="T55" s="3"/>
      <c r="U55" s="3"/>
      <c r="V55" s="3"/>
      <c r="W55" s="3"/>
      <c r="X55" s="549">
        <v>985</v>
      </c>
      <c r="Y55" s="284">
        <v>985</v>
      </c>
      <c r="Z55" s="3"/>
      <c r="AA55" s="384">
        <f t="shared" si="0"/>
        <v>0</v>
      </c>
      <c r="AB55" s="284">
        <f t="shared" si="1"/>
        <v>0</v>
      </c>
    </row>
    <row r="56" spans="1:28" ht="73.5" customHeight="1" x14ac:dyDescent="0.3">
      <c r="A56" s="210">
        <f>'Unit Data from Audit Worksheet'!A65</f>
        <v>369</v>
      </c>
      <c r="B56" s="223" t="str">
        <f>'Unit Data from Audit Worksheet'!C65</f>
        <v>General Fund-Rev, Exp. Change in Fund Balance</v>
      </c>
      <c r="C56" s="209" t="str">
        <f>'Unit Data from Audit Worksheet'!D65</f>
        <v>Total Intergovernmental revenue 
Include restricted and unrestricted revenues</v>
      </c>
      <c r="D56" s="134"/>
      <c r="E56" s="229">
        <f>'Unit Data from Audit Worksheet'!F65</f>
        <v>0</v>
      </c>
      <c r="F56" s="222"/>
      <c r="G56" s="224"/>
      <c r="H56" s="221"/>
      <c r="I56" s="32"/>
      <c r="J56" s="220">
        <v>369</v>
      </c>
      <c r="K56" s="219" t="s">
        <v>196</v>
      </c>
      <c r="L56" s="287">
        <f t="shared" si="7"/>
        <v>0</v>
      </c>
      <c r="P56" s="203"/>
      <c r="X56" s="549">
        <v>369</v>
      </c>
      <c r="Y56" s="292">
        <v>369</v>
      </c>
      <c r="AA56" s="384">
        <f t="shared" si="0"/>
        <v>0</v>
      </c>
      <c r="AB56" s="284">
        <f t="shared" si="1"/>
        <v>0</v>
      </c>
    </row>
    <row r="57" spans="1:28" ht="73.5" customHeight="1" x14ac:dyDescent="0.3">
      <c r="A57" s="210">
        <f>'Unit Data from Audit Worksheet'!A66</f>
        <v>16</v>
      </c>
      <c r="B57" s="223" t="str">
        <f>'Unit Data from Audit Worksheet'!C66</f>
        <v>General Fund-Rev, Exp. Change in Fund Balance</v>
      </c>
      <c r="C57" s="209" t="str">
        <f>'Unit Data from Audit Worksheet'!D66</f>
        <v>Total revenues</v>
      </c>
      <c r="D57" s="134"/>
      <c r="E57" s="229">
        <f>'Unit Data from Audit Worksheet'!F66</f>
        <v>0</v>
      </c>
      <c r="F57" s="222"/>
      <c r="G57" s="224"/>
      <c r="H57" s="221"/>
      <c r="I57" s="32"/>
      <c r="J57" s="220">
        <v>16</v>
      </c>
      <c r="K57" s="219" t="s">
        <v>197</v>
      </c>
      <c r="L57" s="287">
        <f t="shared" si="7"/>
        <v>0</v>
      </c>
      <c r="P57" s="203"/>
      <c r="X57" s="549">
        <v>16</v>
      </c>
      <c r="Y57" s="292">
        <v>16</v>
      </c>
      <c r="AA57" s="384">
        <f t="shared" si="0"/>
        <v>0</v>
      </c>
      <c r="AB57" s="284">
        <f t="shared" si="1"/>
        <v>0</v>
      </c>
    </row>
    <row r="58" spans="1:28" ht="73.5" customHeight="1" x14ac:dyDescent="0.3">
      <c r="A58" s="210">
        <f>'Unit Data from Audit Worksheet'!A67</f>
        <v>370</v>
      </c>
      <c r="B58" s="223" t="str">
        <f>'Unit Data from Audit Worksheet'!C67</f>
        <v>General Fund-Rev, Exp. Change in Fund Balance</v>
      </c>
      <c r="C58" s="209" t="str">
        <f>'Unit Data from Audit Worksheet'!D67</f>
        <v>Debt service expenditures. 
Include principal, interest paid, and bond/debt issuance costs on long-term debt</v>
      </c>
      <c r="D58" s="134"/>
      <c r="E58" s="229">
        <f>'Unit Data from Audit Worksheet'!F67</f>
        <v>0</v>
      </c>
      <c r="F58" s="222">
        <f t="shared" ref="F58:F65" si="8">IF(L58&lt;0,"Error: Enter as a positive.",)</f>
        <v>0</v>
      </c>
      <c r="G58" s="224"/>
      <c r="H58" s="221"/>
      <c r="I58" s="32"/>
      <c r="J58" s="220">
        <v>370</v>
      </c>
      <c r="K58" s="219" t="s">
        <v>198</v>
      </c>
      <c r="L58" s="287">
        <f t="shared" si="7"/>
        <v>0</v>
      </c>
      <c r="P58" s="203"/>
      <c r="X58" s="549">
        <v>370</v>
      </c>
      <c r="Y58" s="284">
        <v>370</v>
      </c>
      <c r="AA58" s="384">
        <f t="shared" si="0"/>
        <v>0</v>
      </c>
      <c r="AB58" s="284">
        <f t="shared" si="1"/>
        <v>0</v>
      </c>
    </row>
    <row r="59" spans="1:28" ht="73.5" customHeight="1" x14ac:dyDescent="0.3">
      <c r="A59" s="210">
        <f>'Unit Data from Audit Worksheet'!A68</f>
        <v>532</v>
      </c>
      <c r="B59" s="223" t="str">
        <f>'Unit Data from Audit Worksheet'!C68</f>
        <v>General Fund-Rev, Exp. Change in Fund Balance</v>
      </c>
      <c r="C59" s="209" t="str">
        <f>'Unit Data from Audit Worksheet'!D68</f>
        <v xml:space="preserve">Total expenditures  
Exclude expenditures in the "other financing sources (uses)" section.
</v>
      </c>
      <c r="D59" s="134"/>
      <c r="E59" s="229">
        <f>'Unit Data from Audit Worksheet'!F68</f>
        <v>0</v>
      </c>
      <c r="F59" s="222">
        <f t="shared" si="8"/>
        <v>0</v>
      </c>
      <c r="G59" s="224"/>
      <c r="H59" s="221"/>
      <c r="I59" s="32"/>
      <c r="J59" s="220">
        <v>532</v>
      </c>
      <c r="K59" s="305" t="s">
        <v>199</v>
      </c>
      <c r="L59" s="287">
        <f t="shared" si="7"/>
        <v>0</v>
      </c>
      <c r="P59" s="203"/>
      <c r="X59" s="549">
        <v>532</v>
      </c>
      <c r="Y59" s="284">
        <v>532</v>
      </c>
      <c r="AA59" s="384">
        <f t="shared" si="0"/>
        <v>0</v>
      </c>
      <c r="AB59" s="284">
        <f t="shared" si="1"/>
        <v>0</v>
      </c>
    </row>
    <row r="60" spans="1:28" s="384" customFormat="1" ht="73.5" customHeight="1" x14ac:dyDescent="0.3">
      <c r="A60" s="210">
        <f>'Unit Data from Audit Worksheet'!A69</f>
        <v>1050</v>
      </c>
      <c r="B60" s="223" t="str">
        <f>'Unit Data from Audit Worksheet'!C69</f>
        <v>General Fund-Rev, Exp. Change in Fund Balance</v>
      </c>
      <c r="C60" s="209" t="str">
        <f>'Unit Data from Audit Worksheet'!D69</f>
        <v>Amount expended for Powell Bill expenditures in the General Fund</v>
      </c>
      <c r="D60" s="134"/>
      <c r="E60" s="229">
        <f>'Unit Data from Audit Worksheet'!F69</f>
        <v>0</v>
      </c>
      <c r="F60" s="222"/>
      <c r="G60" s="224"/>
      <c r="H60" s="221"/>
      <c r="I60" s="32"/>
      <c r="J60" s="220">
        <v>1050</v>
      </c>
      <c r="K60" s="209" t="s">
        <v>1431</v>
      </c>
      <c r="L60" s="293">
        <f t="shared" si="7"/>
        <v>0</v>
      </c>
      <c r="M60"/>
      <c r="P60" s="203"/>
      <c r="Q60" s="277"/>
      <c r="X60" s="549"/>
      <c r="Y60" s="284"/>
      <c r="AA60" s="384">
        <f t="shared" si="0"/>
        <v>0</v>
      </c>
      <c r="AB60" s="284"/>
    </row>
    <row r="61" spans="1:28" ht="73.5" customHeight="1" x14ac:dyDescent="0.3">
      <c r="A61" s="210">
        <f>'Unit Data from Audit Worksheet'!A70</f>
        <v>17</v>
      </c>
      <c r="B61" s="223" t="str">
        <f>'Unit Data from Audit Worksheet'!C70</f>
        <v>General Fund-Rev, Exp. Change in Fund Balance</v>
      </c>
      <c r="C61" s="209" t="str">
        <f>'Unit Data from Audit Worksheet'!D70</f>
        <v>Total Transfers in    (Preference is that transfers-in  are not netted against transfers-out)</v>
      </c>
      <c r="D61" s="134"/>
      <c r="E61" s="229">
        <f>'Unit Data from Audit Worksheet'!F70</f>
        <v>0</v>
      </c>
      <c r="F61" s="222">
        <f t="shared" si="8"/>
        <v>0</v>
      </c>
      <c r="G61" s="224"/>
      <c r="H61" s="221"/>
      <c r="I61" s="32"/>
      <c r="J61" s="220">
        <v>17</v>
      </c>
      <c r="K61" s="219" t="s">
        <v>200</v>
      </c>
      <c r="L61" s="287">
        <f t="shared" si="7"/>
        <v>0</v>
      </c>
      <c r="P61" s="203"/>
      <c r="X61" s="549">
        <v>17</v>
      </c>
      <c r="Y61" s="284">
        <v>17</v>
      </c>
      <c r="AA61" s="384">
        <f t="shared" si="0"/>
        <v>0</v>
      </c>
      <c r="AB61" s="284">
        <f t="shared" si="1"/>
        <v>0</v>
      </c>
    </row>
    <row r="62" spans="1:28" ht="54.75" customHeight="1" x14ac:dyDescent="0.3">
      <c r="A62" s="210">
        <f>'Unit Data from Audit Worksheet'!A71</f>
        <v>20</v>
      </c>
      <c r="B62" s="223" t="str">
        <f>'Unit Data from Audit Worksheet'!C71</f>
        <v>General Fund-Rev, Exp. Change in Fund Balance</v>
      </c>
      <c r="C62" s="209" t="str">
        <f>'Unit Data from Audit Worksheet'!D71</f>
        <v>Total Transfers out    (Preference is that transfers-in  are not netted against transfers-out)</v>
      </c>
      <c r="D62" s="134"/>
      <c r="E62" s="229">
        <f>'Unit Data from Audit Worksheet'!F71</f>
        <v>0</v>
      </c>
      <c r="F62" s="222">
        <f t="shared" si="8"/>
        <v>0</v>
      </c>
      <c r="G62" s="224"/>
      <c r="H62" s="221"/>
      <c r="I62" s="32"/>
      <c r="J62" s="220">
        <v>20</v>
      </c>
      <c r="K62" s="219" t="s">
        <v>201</v>
      </c>
      <c r="L62" s="287">
        <f t="shared" si="7"/>
        <v>0</v>
      </c>
      <c r="P62" s="203"/>
      <c r="X62" s="549">
        <v>20</v>
      </c>
      <c r="Y62" s="284">
        <v>20</v>
      </c>
      <c r="AA62" s="384">
        <f t="shared" si="0"/>
        <v>0</v>
      </c>
      <c r="AB62" s="284">
        <f t="shared" si="1"/>
        <v>0</v>
      </c>
    </row>
    <row r="63" spans="1:28" ht="54.75" customHeight="1" x14ac:dyDescent="0.3">
      <c r="A63" s="210">
        <f>'Unit Data from Audit Worksheet'!A72</f>
        <v>533</v>
      </c>
      <c r="B63" s="223" t="str">
        <f>'Unit Data from Audit Worksheet'!C72</f>
        <v>General Fund-Rev, Exp. Change in Fund Balance</v>
      </c>
      <c r="C63" s="209" t="str">
        <f>'Unit Data from Audit Worksheet'!D72</f>
        <v>Total Proceeds from all long-term debt issuances 
Exclude proceeds from refundings</v>
      </c>
      <c r="D63" s="134"/>
      <c r="E63" s="229">
        <f>'Unit Data from Audit Worksheet'!F72</f>
        <v>0</v>
      </c>
      <c r="F63" s="222">
        <f t="shared" si="8"/>
        <v>0</v>
      </c>
      <c r="G63" s="224"/>
      <c r="H63" s="221"/>
      <c r="I63" s="32"/>
      <c r="J63" s="220">
        <v>533</v>
      </c>
      <c r="K63" s="305" t="s">
        <v>202</v>
      </c>
      <c r="L63" s="287">
        <f t="shared" si="7"/>
        <v>0</v>
      </c>
      <c r="P63" s="203"/>
      <c r="X63" s="549">
        <v>533</v>
      </c>
      <c r="Y63" s="284">
        <v>533</v>
      </c>
      <c r="AA63" s="384">
        <f t="shared" si="0"/>
        <v>0</v>
      </c>
      <c r="AB63" s="284">
        <f t="shared" si="1"/>
        <v>0</v>
      </c>
    </row>
    <row r="64" spans="1:28" ht="54.75" customHeight="1" x14ac:dyDescent="0.3">
      <c r="A64" s="210">
        <f>'Unit Data from Audit Worksheet'!A73</f>
        <v>508</v>
      </c>
      <c r="B64" s="223" t="str">
        <f>'Unit Data from Audit Worksheet'!C73</f>
        <v>General Fund-Rev, Exp. Change in Fund Balance</v>
      </c>
      <c r="C64" s="209" t="str">
        <f>'Unit Data from Audit Worksheet'!D73</f>
        <v>Debt Refunding - Net refunding proceeds against debt payoff and if positive place results on this line.</v>
      </c>
      <c r="D64" s="134"/>
      <c r="E64" s="229">
        <f>'Unit Data from Audit Worksheet'!F73</f>
        <v>0</v>
      </c>
      <c r="F64" s="222">
        <f t="shared" si="8"/>
        <v>0</v>
      </c>
      <c r="G64" s="224"/>
      <c r="H64" s="221"/>
      <c r="I64" s="32"/>
      <c r="J64" s="220">
        <v>508</v>
      </c>
      <c r="K64" s="219" t="s">
        <v>204</v>
      </c>
      <c r="L64" s="287">
        <f t="shared" si="7"/>
        <v>0</v>
      </c>
      <c r="N64" s="569"/>
      <c r="P64" s="196"/>
      <c r="X64" s="549">
        <v>508</v>
      </c>
      <c r="Y64" s="284">
        <v>508</v>
      </c>
      <c r="AA64" s="384">
        <f t="shared" si="0"/>
        <v>0</v>
      </c>
      <c r="AB64" s="284">
        <f t="shared" si="1"/>
        <v>0</v>
      </c>
    </row>
    <row r="65" spans="1:28" ht="54.75" customHeight="1" x14ac:dyDescent="0.3">
      <c r="A65" s="210">
        <f>'Unit Data from Audit Worksheet'!A74</f>
        <v>509</v>
      </c>
      <c r="B65" s="223" t="str">
        <f>'Unit Data from Audit Worksheet'!C74</f>
        <v>General Fund-Rev, Exp. Change in Fund Balance</v>
      </c>
      <c r="C65" s="209" t="str">
        <f>'Unit Data from Audit Worksheet'!D74</f>
        <v>Debt Refunding - Net refunding proceeds against debt payoff and if negative place results on this line.</v>
      </c>
      <c r="D65" s="134"/>
      <c r="E65" s="229">
        <f>'Unit Data from Audit Worksheet'!F74</f>
        <v>0</v>
      </c>
      <c r="F65" s="222">
        <f t="shared" si="8"/>
        <v>0</v>
      </c>
      <c r="G65" s="224"/>
      <c r="H65" s="221"/>
      <c r="I65" s="32"/>
      <c r="J65" s="220">
        <v>509</v>
      </c>
      <c r="K65" s="219" t="s">
        <v>205</v>
      </c>
      <c r="L65" s="287">
        <f>IF(D65="",E65,D65)</f>
        <v>0</v>
      </c>
      <c r="N65" s="570"/>
      <c r="P65" s="203"/>
      <c r="Q65" s="291"/>
      <c r="S65" s="290"/>
      <c r="T65" s="290"/>
      <c r="U65" s="290"/>
      <c r="V65" s="290"/>
      <c r="W65" s="18"/>
      <c r="X65" s="549">
        <v>509</v>
      </c>
      <c r="Y65" s="284">
        <v>509</v>
      </c>
      <c r="Z65" s="18"/>
      <c r="AA65" s="384">
        <f t="shared" si="0"/>
        <v>0</v>
      </c>
      <c r="AB65" s="284">
        <f t="shared" si="1"/>
        <v>0</v>
      </c>
    </row>
    <row r="66" spans="1:28" ht="84.75" customHeight="1" x14ac:dyDescent="0.3">
      <c r="A66" s="210">
        <f>'Unit Data from Audit Worksheet'!A75</f>
        <v>22</v>
      </c>
      <c r="B66" s="223" t="str">
        <f>'Unit Data from Audit Worksheet'!C75</f>
        <v>General Fund-Rev, Exp. Change in Fund Balance</v>
      </c>
      <c r="C66" s="209" t="str">
        <f>'Unit Data from Audit Worksheet'!D75</f>
        <v xml:space="preserve">All other items on this statement that were not included in total revenues, total expenditures, transfers in or out, or proceeds from long-term debt above.  </v>
      </c>
      <c r="D66" s="134"/>
      <c r="E66" s="229">
        <f>'Unit Data from Audit Worksheet'!F75</f>
        <v>0</v>
      </c>
      <c r="F66" s="222"/>
      <c r="G66" s="224"/>
      <c r="H66" s="221"/>
      <c r="I66" s="32"/>
      <c r="J66" s="220">
        <v>22</v>
      </c>
      <c r="K66" s="219" t="s">
        <v>203</v>
      </c>
      <c r="L66" s="287">
        <f t="shared" si="7"/>
        <v>0</v>
      </c>
      <c r="N66" s="570"/>
      <c r="P66" s="193"/>
      <c r="Q66" s="308"/>
      <c r="S66" s="307"/>
      <c r="T66" s="307"/>
      <c r="U66" s="307"/>
      <c r="V66" s="307"/>
      <c r="W66" s="307"/>
      <c r="X66" s="549">
        <v>22</v>
      </c>
      <c r="Y66" s="284">
        <v>22</v>
      </c>
      <c r="Z66" s="18"/>
      <c r="AA66" s="384">
        <f t="shared" si="0"/>
        <v>0</v>
      </c>
      <c r="AB66" s="284">
        <f t="shared" si="1"/>
        <v>0</v>
      </c>
    </row>
    <row r="67" spans="1:28" ht="74.25" customHeight="1" x14ac:dyDescent="0.3">
      <c r="A67" s="210">
        <f>'Unit Data from Audit Worksheet'!A76</f>
        <v>23</v>
      </c>
      <c r="B67" s="223" t="str">
        <f>'Unit Data from Audit Worksheet'!C76</f>
        <v>General Fund-Rev, Exp. Change in Fund Balance</v>
      </c>
      <c r="C67" s="209" t="str">
        <f>'Unit Data from Audit Worksheet'!D76</f>
        <v>Change in fund balance - (Increase in Fund balance is recorded as a positive and a decrease in fund balance is recorded as a negative)</v>
      </c>
      <c r="D67" s="134"/>
      <c r="E67" s="229">
        <f>'Unit Data from Audit Worksheet'!F76</f>
        <v>0</v>
      </c>
      <c r="F67" s="222">
        <f>IF(+L57-L59+L61-L62+L63+L64-L65+L66-L67=0,,"Error:Total revenues less toal Expenditures do not equal change in fund balance")</f>
        <v>0</v>
      </c>
      <c r="G67" s="84">
        <f>+L57-L59+L61-L62+L63+L66+L64-L65-L67</f>
        <v>0</v>
      </c>
      <c r="H67" s="221"/>
      <c r="I67" s="32"/>
      <c r="J67" s="220">
        <v>23</v>
      </c>
      <c r="K67" s="219" t="s">
        <v>206</v>
      </c>
      <c r="L67" s="287">
        <f t="shared" si="7"/>
        <v>0</v>
      </c>
      <c r="P67" s="193"/>
      <c r="X67" s="549">
        <v>23</v>
      </c>
      <c r="Y67" s="284">
        <v>23</v>
      </c>
      <c r="AA67" s="384">
        <f t="shared" si="0"/>
        <v>0</v>
      </c>
      <c r="AB67" s="284">
        <f t="shared" si="1"/>
        <v>0</v>
      </c>
    </row>
    <row r="68" spans="1:28" ht="123" customHeight="1" x14ac:dyDescent="0.3">
      <c r="A68" s="298">
        <f>'Unit Data from Audit Worksheet'!A78</f>
        <v>507</v>
      </c>
      <c r="B68" s="109" t="str">
        <f>'Unit Data from Audit Worksheet'!C78</f>
        <v>General Fund-Rev, Exp. Change in Fund Balance</v>
      </c>
      <c r="C68" s="204"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7">
        <f t="shared" si="7"/>
        <v>0</v>
      </c>
      <c r="N68" s="295"/>
      <c r="O68" s="294"/>
      <c r="P68" s="193"/>
      <c r="R68" s="384"/>
      <c r="S68" s="384"/>
      <c r="T68" s="384"/>
      <c r="U68" s="384"/>
      <c r="V68" s="384"/>
      <c r="W68" s="307"/>
      <c r="X68" s="549">
        <v>507</v>
      </c>
      <c r="Y68" s="284">
        <v>507</v>
      </c>
      <c r="Z68" s="384"/>
      <c r="AA68" s="384">
        <f t="shared" si="0"/>
        <v>0</v>
      </c>
      <c r="AB68" s="284">
        <f t="shared" si="1"/>
        <v>0</v>
      </c>
    </row>
    <row r="69" spans="1:28" s="18" customFormat="1" ht="40.5" customHeight="1" x14ac:dyDescent="0.3">
      <c r="A69" s="188">
        <f>'Unit Data from Audit Worksheet'!A79</f>
        <v>647</v>
      </c>
      <c r="B69" s="233" t="str">
        <f>'Unit Data from Audit Worksheet'!C79</f>
        <v>Debt Service Fund</v>
      </c>
      <c r="C69" s="188" t="str">
        <f>'Unit Data from Audit Worksheet'!D79</f>
        <v>Please enter the Total Fund Balance for any Debt Service Funds from the Budgeted to Actual statement</v>
      </c>
      <c r="D69" s="108"/>
      <c r="E69" s="232">
        <f>'Unit Data from Audit Worksheet'!F79</f>
        <v>0</v>
      </c>
      <c r="F69" s="217"/>
      <c r="G69" s="213"/>
      <c r="H69" s="217"/>
      <c r="I69" s="299"/>
      <c r="J69" s="216">
        <v>647</v>
      </c>
      <c r="K69" s="191" t="s">
        <v>792</v>
      </c>
      <c r="L69" s="300">
        <f>IF(D69="",E69,D69)</f>
        <v>0</v>
      </c>
      <c r="M69"/>
      <c r="N69" s="290"/>
      <c r="O69" s="306"/>
      <c r="P69" s="193"/>
      <c r="Q69" s="277"/>
      <c r="R69" s="3"/>
      <c r="S69" s="3"/>
      <c r="T69" s="3"/>
      <c r="U69" s="3"/>
      <c r="V69" s="3"/>
      <c r="W69" s="3"/>
      <c r="X69" s="549">
        <v>647</v>
      </c>
      <c r="Y69" s="284">
        <v>647</v>
      </c>
      <c r="Z69" s="3"/>
      <c r="AA69" s="384">
        <f t="shared" si="0"/>
        <v>0</v>
      </c>
      <c r="AB69" s="284">
        <f t="shared" si="1"/>
        <v>0</v>
      </c>
    </row>
    <row r="70" spans="1:28" ht="60" customHeight="1" x14ac:dyDescent="0.3">
      <c r="A70" s="285">
        <f>'Unit Data from Audit Worksheet'!A81</f>
        <v>171</v>
      </c>
      <c r="B70" s="48" t="str">
        <f>'Unit Data from Audit Worksheet'!C81</f>
        <v>Fund Statements - all Governmental Funds</v>
      </c>
      <c r="C70" s="286" t="str">
        <f>'Unit Data from Audit Worksheet'!D81</f>
        <v>Debt service expenditures from all governmental funds.  Include principal, interest paid, and debt issuance costs on long-term debt.</v>
      </c>
      <c r="D70" s="228"/>
      <c r="E70" s="142">
        <f>'Unit Data from Audit Worksheet'!F81</f>
        <v>0</v>
      </c>
      <c r="F70" s="41">
        <f>IF(L70&lt;0,"Error: Enter as a positive.",)</f>
        <v>0</v>
      </c>
      <c r="G70" s="65"/>
      <c r="H70" s="221"/>
      <c r="I70" s="32"/>
      <c r="J70" s="36">
        <v>171</v>
      </c>
      <c r="K70" s="45" t="s">
        <v>208</v>
      </c>
      <c r="L70" s="287">
        <f t="shared" si="7"/>
        <v>0</v>
      </c>
      <c r="P70" s="193"/>
      <c r="X70" s="549">
        <v>171</v>
      </c>
      <c r="Y70" s="284">
        <v>171</v>
      </c>
      <c r="AA70" s="384">
        <f t="shared" si="0"/>
        <v>0</v>
      </c>
      <c r="AB70" s="284">
        <f t="shared" si="1"/>
        <v>0</v>
      </c>
    </row>
    <row r="71" spans="1:28" ht="69" customHeight="1" x14ac:dyDescent="0.3">
      <c r="A71" s="210">
        <f>'Unit Data from Audit Worksheet'!A85</f>
        <v>596</v>
      </c>
      <c r="B71" s="223"/>
      <c r="C71" s="209" t="str">
        <f>'Unit Data from Audit Worksheet'!D85</f>
        <v>Indicate if your water/sewer system:
50 - Became Operational
51 - Ceased Operations
52 - No Change
Select from drop down.</v>
      </c>
      <c r="D71" s="134"/>
      <c r="E71" s="229">
        <f>'Unit Data from Audit Worksheet'!F85</f>
        <v>0</v>
      </c>
      <c r="F71" s="222"/>
      <c r="G71" s="222" t="str">
        <f>'Unit Data from Audit Worksheet'!G85</f>
        <v>Please do not answer this question unless the unit has a  water and/or sewer fund</v>
      </c>
      <c r="H71" s="221"/>
      <c r="I71" s="32"/>
      <c r="J71" s="220">
        <v>596</v>
      </c>
      <c r="K71" s="219" t="s">
        <v>333</v>
      </c>
      <c r="L71" s="287">
        <f t="shared" si="7"/>
        <v>0</v>
      </c>
      <c r="P71" s="194"/>
      <c r="X71" s="549">
        <v>596</v>
      </c>
      <c r="Y71" s="284">
        <v>596</v>
      </c>
      <c r="AA71" s="384">
        <f t="shared" si="0"/>
        <v>0</v>
      </c>
      <c r="AB71" s="284">
        <f t="shared" si="1"/>
        <v>0</v>
      </c>
    </row>
    <row r="72" spans="1:28" ht="82.2" customHeight="1" x14ac:dyDescent="0.3">
      <c r="A72" s="210">
        <f>'Unit Data from Audit Worksheet'!A86</f>
        <v>80</v>
      </c>
      <c r="B72" s="223" t="str">
        <f>'Unit Data from Audit Worksheet'!C86</f>
        <v>Water Sewer Net Position Statement</v>
      </c>
      <c r="C72" s="209" t="str">
        <f>'Unit Data from Audit Worksheet'!D86</f>
        <v>Unrestricted Cash and investments 
Exclude restricted cash and/or restricted investments.</v>
      </c>
      <c r="D72" s="134"/>
      <c r="E72" s="229">
        <f>'Unit Data from Audit Worksheet'!F86</f>
        <v>0</v>
      </c>
      <c r="F72" s="222">
        <f>IF(L72&lt;0,"Error: Number is normally positive.",)</f>
        <v>0</v>
      </c>
      <c r="G72" s="222" t="e">
        <f>'Unit Data from Audit Worksheet'!G86</f>
        <v>#N/A</v>
      </c>
      <c r="H72" s="221"/>
      <c r="I72" s="32"/>
      <c r="J72" s="220">
        <v>80</v>
      </c>
      <c r="K72" s="219" t="s">
        <v>209</v>
      </c>
      <c r="L72" s="287">
        <f t="shared" si="7"/>
        <v>0</v>
      </c>
      <c r="P72" s="194"/>
      <c r="X72" s="549">
        <v>80</v>
      </c>
      <c r="Y72" s="284">
        <v>80</v>
      </c>
      <c r="AA72" s="384">
        <f t="shared" ref="AA72:AA137" si="9">A72-J72</f>
        <v>0</v>
      </c>
      <c r="AB72" s="284">
        <f t="shared" ref="AB72:AB137" si="10">E72-L72</f>
        <v>0</v>
      </c>
    </row>
    <row r="73" spans="1:28" ht="43.2" x14ac:dyDescent="0.3">
      <c r="A73" s="210">
        <f>'Unit Data from Audit Worksheet'!A87</f>
        <v>81</v>
      </c>
      <c r="B73" s="223" t="str">
        <f>'Unit Data from Audit Worksheet'!C87</f>
        <v>Water Sewer Net Position Statement</v>
      </c>
      <c r="C73" s="209" t="str">
        <f>'Unit Data from Audit Worksheet'!D87</f>
        <v>Customer accounts receivable (net of allowance accounts). 
Include both billed and unbilled amounts.</v>
      </c>
      <c r="D73" s="134"/>
      <c r="E73" s="229">
        <f>'Unit Data from Audit Worksheet'!F87</f>
        <v>0</v>
      </c>
      <c r="F73" s="222">
        <f>IF(L73&lt;0,"Error: Number is normally positive.",)</f>
        <v>0</v>
      </c>
      <c r="G73" s="224"/>
      <c r="H73" s="221"/>
      <c r="I73" s="32"/>
      <c r="J73" s="220">
        <v>81</v>
      </c>
      <c r="K73" s="219" t="s">
        <v>210</v>
      </c>
      <c r="L73" s="287">
        <f t="shared" si="7"/>
        <v>0</v>
      </c>
      <c r="P73" s="194"/>
      <c r="X73" s="549">
        <v>81</v>
      </c>
      <c r="Y73" s="284">
        <v>81</v>
      </c>
      <c r="AA73" s="384">
        <f t="shared" si="9"/>
        <v>0</v>
      </c>
      <c r="AB73" s="284">
        <f t="shared" si="10"/>
        <v>0</v>
      </c>
    </row>
    <row r="74" spans="1:28" ht="68.25" customHeight="1" x14ac:dyDescent="0.3">
      <c r="A74" s="210">
        <f>'Unit Data from Audit Worksheet'!A88</f>
        <v>579</v>
      </c>
      <c r="B74" s="223" t="str">
        <f>'Unit Data from Audit Worksheet'!C88</f>
        <v>Water Sewer Net Position Statement</v>
      </c>
      <c r="C74" s="209" t="str">
        <f>'Unit Data from Audit Worksheet'!D88</f>
        <v>Water Sewer - Advance To:
Interfund loan receivable-portion of repayment plan longer than 12 months</v>
      </c>
      <c r="D74" s="134"/>
      <c r="E74" s="229">
        <f>'Unit Data from Audit Worksheet'!F88</f>
        <v>0</v>
      </c>
      <c r="F74" s="222"/>
      <c r="G74" s="224"/>
      <c r="H74" s="221"/>
      <c r="I74" s="32"/>
      <c r="J74" s="220">
        <v>579</v>
      </c>
      <c r="K74" s="219" t="s">
        <v>314</v>
      </c>
      <c r="L74" s="287">
        <f t="shared" si="7"/>
        <v>0</v>
      </c>
      <c r="N74" s="309"/>
      <c r="P74" s="194"/>
      <c r="X74" s="549">
        <v>579</v>
      </c>
      <c r="Y74" s="284">
        <v>579</v>
      </c>
      <c r="AA74" s="384">
        <f t="shared" si="9"/>
        <v>0</v>
      </c>
      <c r="AB74" s="284">
        <f t="shared" si="10"/>
        <v>0</v>
      </c>
    </row>
    <row r="75" spans="1:28" ht="47.25" customHeight="1" x14ac:dyDescent="0.3">
      <c r="A75" s="210">
        <f>'Unit Data from Audit Worksheet'!A89</f>
        <v>510</v>
      </c>
      <c r="B75" s="223" t="str">
        <f>'Unit Data from Audit Worksheet'!C89</f>
        <v>Water Sewer Net Position Statement</v>
      </c>
      <c r="C75" s="209" t="str">
        <f>'Unit Data from Audit Worksheet'!D89</f>
        <v>Amount of Inventories and Prepaid expenses in current assets</v>
      </c>
      <c r="D75" s="134"/>
      <c r="E75" s="229">
        <f>'Unit Data from Audit Worksheet'!F89</f>
        <v>0</v>
      </c>
      <c r="F75" s="222"/>
      <c r="G75" s="224"/>
      <c r="H75" s="221"/>
      <c r="I75" s="32"/>
      <c r="J75" s="220">
        <v>510</v>
      </c>
      <c r="K75" s="219" t="s">
        <v>211</v>
      </c>
      <c r="L75" s="287">
        <f t="shared" si="7"/>
        <v>0</v>
      </c>
      <c r="P75" s="194"/>
      <c r="X75" s="549">
        <v>510</v>
      </c>
      <c r="Y75" s="284">
        <v>510</v>
      </c>
      <c r="AA75" s="384">
        <f t="shared" si="9"/>
        <v>0</v>
      </c>
      <c r="AB75" s="284">
        <f t="shared" si="10"/>
        <v>0</v>
      </c>
    </row>
    <row r="76" spans="1:28" ht="43.2" x14ac:dyDescent="0.3">
      <c r="A76" s="210">
        <f>'Unit Data from Audit Worksheet'!A90</f>
        <v>654</v>
      </c>
      <c r="B76" s="223" t="str">
        <f>'Unit Data from Audit Worksheet'!C90</f>
        <v>Water Sewer Net Position Statement</v>
      </c>
      <c r="C76" s="209" t="str">
        <f>'Unit Data from Audit Worksheet'!D90</f>
        <v xml:space="preserve">Total Current assets as listed on the WS Net Position Statement.  
</v>
      </c>
      <c r="D76" s="134"/>
      <c r="E76" s="229">
        <f>'Unit Data from Audit Worksheet'!F90</f>
        <v>0</v>
      </c>
      <c r="F76" s="222">
        <f>IF((+L72+L73+L75)&gt;L76,"Please review components of current assets above Acct. (80+81+510&gt;654",)</f>
        <v>0</v>
      </c>
      <c r="G76" s="224"/>
      <c r="H76" s="221"/>
      <c r="I76" s="32"/>
      <c r="J76" s="220">
        <v>654</v>
      </c>
      <c r="K76" s="226" t="s">
        <v>413</v>
      </c>
      <c r="L76" s="287">
        <f t="shared" si="7"/>
        <v>0</v>
      </c>
      <c r="P76" s="194"/>
      <c r="X76" s="549">
        <v>654</v>
      </c>
      <c r="Y76" s="284">
        <v>654</v>
      </c>
      <c r="AA76" s="384">
        <f t="shared" si="9"/>
        <v>0</v>
      </c>
      <c r="AB76" s="284">
        <f t="shared" si="10"/>
        <v>0</v>
      </c>
    </row>
    <row r="77" spans="1:28" ht="43.2" x14ac:dyDescent="0.3">
      <c r="A77" s="210">
        <f>'Unit Data from Audit Worksheet'!A91</f>
        <v>655</v>
      </c>
      <c r="B77" s="223" t="str">
        <f>'Unit Data from Audit Worksheet'!C91</f>
        <v>Water Sewer Net Position Statement</v>
      </c>
      <c r="C77" s="209" t="str">
        <f>'Unit Data from Audit Worksheet'!D91</f>
        <v>WS-Any current assets that are restricted (Cash, Accounts Rec., etc..) and included in account 654 above</v>
      </c>
      <c r="D77" s="134"/>
      <c r="E77" s="229">
        <f>'Unit Data from Audit Worksheet'!F91</f>
        <v>0</v>
      </c>
      <c r="F77" s="222"/>
      <c r="G77" s="224"/>
      <c r="H77" s="221"/>
      <c r="I77" s="32"/>
      <c r="J77" s="220">
        <v>655</v>
      </c>
      <c r="K77" s="226" t="s">
        <v>445</v>
      </c>
      <c r="L77" s="287">
        <f t="shared" si="7"/>
        <v>0</v>
      </c>
      <c r="P77" s="194"/>
      <c r="X77" s="549">
        <v>655</v>
      </c>
      <c r="Y77" s="284">
        <v>655</v>
      </c>
      <c r="AA77" s="384">
        <f t="shared" si="9"/>
        <v>0</v>
      </c>
      <c r="AB77" s="284">
        <f t="shared" si="10"/>
        <v>0</v>
      </c>
    </row>
    <row r="78" spans="1:28" ht="42.75" customHeight="1" x14ac:dyDescent="0.3">
      <c r="A78" s="210">
        <f>'Unit Data from Audit Worksheet'!A92</f>
        <v>381</v>
      </c>
      <c r="B78" s="223" t="str">
        <f>'Unit Data from Audit Worksheet'!C92</f>
        <v>Water Sewer Net Position Statement</v>
      </c>
      <c r="C78" s="209" t="str">
        <f>'Unit Data from Audit Worksheet'!D92</f>
        <v>Total Assets and deferred outflows</v>
      </c>
      <c r="D78" s="134"/>
      <c r="E78" s="229">
        <f>'Unit Data from Audit Worksheet'!F92</f>
        <v>0</v>
      </c>
      <c r="F78" s="222" t="str">
        <f>IF(L78&lt;L76,"Please review components of current assets above acct. 381&lt;654"," ")</f>
        <v xml:space="preserve"> </v>
      </c>
      <c r="G78" s="224"/>
      <c r="H78" s="221"/>
      <c r="I78" s="32"/>
      <c r="J78" s="220">
        <v>381</v>
      </c>
      <c r="K78" s="219" t="s">
        <v>105</v>
      </c>
      <c r="L78" s="287">
        <f t="shared" si="7"/>
        <v>0</v>
      </c>
      <c r="P78" s="194"/>
      <c r="X78" s="549">
        <v>381</v>
      </c>
      <c r="Y78" s="284">
        <v>381</v>
      </c>
      <c r="AA78" s="384">
        <f t="shared" si="9"/>
        <v>0</v>
      </c>
      <c r="AB78" s="284">
        <f t="shared" si="10"/>
        <v>0</v>
      </c>
    </row>
    <row r="79" spans="1:28" ht="60.75" customHeight="1" x14ac:dyDescent="0.3">
      <c r="A79" s="298">
        <f>'Unit Data from Audit Worksheet'!A93</f>
        <v>578</v>
      </c>
      <c r="B79" s="109" t="str">
        <f>'Unit Data from Audit Worksheet'!C93</f>
        <v>Water Sewer Net Position Statement</v>
      </c>
      <c r="C79" s="289"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315</v>
      </c>
      <c r="L79" s="287">
        <f t="shared" si="7"/>
        <v>0</v>
      </c>
      <c r="P79" s="194"/>
      <c r="X79" s="549">
        <v>578</v>
      </c>
      <c r="Y79" s="284">
        <v>578</v>
      </c>
      <c r="AA79" s="384">
        <f t="shared" si="9"/>
        <v>0</v>
      </c>
      <c r="AB79" s="284">
        <f t="shared" si="10"/>
        <v>0</v>
      </c>
    </row>
    <row r="80" spans="1:28" s="18" customFormat="1" ht="169.95" customHeight="1" x14ac:dyDescent="0.3">
      <c r="A80" s="188">
        <v>633</v>
      </c>
      <c r="B80" s="233" t="str">
        <f>'Unit Data from Audit Worksheet'!C94</f>
        <v>Water Sewer Net Position Statement</v>
      </c>
      <c r="C80" s="188"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59">
        <f>'Unit Data from Audit Worksheet'!F94</f>
        <v>0</v>
      </c>
      <c r="F80"/>
      <c r="G80"/>
      <c r="H80"/>
      <c r="I80" s="656"/>
      <c r="J80" s="216">
        <v>633</v>
      </c>
      <c r="K80" s="191" t="s">
        <v>371</v>
      </c>
      <c r="L80" s="300">
        <f>IF(D80="",E80,D80)</f>
        <v>0</v>
      </c>
      <c r="M80"/>
      <c r="N80" s="290"/>
      <c r="O80" s="290"/>
      <c r="P80" s="194"/>
      <c r="Q80" s="277"/>
      <c r="R80" s="3"/>
      <c r="X80" s="549">
        <v>633</v>
      </c>
      <c r="Y80" s="284">
        <v>633</v>
      </c>
      <c r="AA80" s="384">
        <f t="shared" si="9"/>
        <v>0</v>
      </c>
      <c r="AB80" s="284">
        <f t="shared" si="10"/>
        <v>0</v>
      </c>
    </row>
    <row r="81" spans="1:28" s="18" customFormat="1" ht="130.5" customHeight="1" x14ac:dyDescent="0.3">
      <c r="A81" s="188">
        <v>634</v>
      </c>
      <c r="B81" s="233" t="str">
        <f>'Unit Data from Audit Worksheet'!C95</f>
        <v>Water Sewer Net Position Statement</v>
      </c>
      <c r="C81" s="188"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2">
        <f>'Unit Data from Audit Worksheet'!F95</f>
        <v>0</v>
      </c>
      <c r="F81" s="658"/>
      <c r="G81" s="657"/>
      <c r="H81" s="658"/>
      <c r="I81" s="299"/>
      <c r="J81" s="216">
        <v>634</v>
      </c>
      <c r="K81" s="191" t="s">
        <v>372</v>
      </c>
      <c r="L81" s="300">
        <f>IF(D81="",E81,D81)</f>
        <v>0</v>
      </c>
      <c r="M81"/>
      <c r="N81" s="290"/>
      <c r="O81" s="290"/>
      <c r="P81" s="194"/>
      <c r="Q81" s="277"/>
      <c r="R81" s="3"/>
      <c r="X81" s="549">
        <v>634</v>
      </c>
      <c r="Y81" s="284">
        <v>634</v>
      </c>
      <c r="AA81" s="384">
        <f t="shared" si="9"/>
        <v>0</v>
      </c>
      <c r="AB81" s="284">
        <f t="shared" si="10"/>
        <v>0</v>
      </c>
    </row>
    <row r="82" spans="1:28" s="18" customFormat="1" ht="105.75" customHeight="1" x14ac:dyDescent="0.3">
      <c r="A82" s="188">
        <v>635</v>
      </c>
      <c r="B82" s="233" t="str">
        <f>'Unit Data from Audit Worksheet'!C96</f>
        <v>Water Sewer Net Position Statement</v>
      </c>
      <c r="C82" s="188"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2">
        <f>'Unit Data from Audit Worksheet'!F96</f>
        <v>0</v>
      </c>
      <c r="F82" s="217"/>
      <c r="G82" s="205"/>
      <c r="H82" s="217"/>
      <c r="I82" s="299"/>
      <c r="J82" s="216">
        <v>635</v>
      </c>
      <c r="K82" s="191" t="s">
        <v>373</v>
      </c>
      <c r="L82" s="300">
        <f>IF(D82="",E82,D82)</f>
        <v>0</v>
      </c>
      <c r="M82"/>
      <c r="N82" s="290"/>
      <c r="O82" s="290"/>
      <c r="P82" s="194"/>
      <c r="Q82" s="277"/>
      <c r="R82" s="3"/>
      <c r="X82" s="549">
        <v>635</v>
      </c>
      <c r="Y82" s="284">
        <v>635</v>
      </c>
      <c r="AA82" s="384">
        <f t="shared" si="9"/>
        <v>0</v>
      </c>
      <c r="AB82" s="284">
        <f t="shared" si="10"/>
        <v>0</v>
      </c>
    </row>
    <row r="83" spans="1:28" s="18" customFormat="1" ht="105.75" customHeight="1" x14ac:dyDescent="0.3">
      <c r="A83" s="188">
        <v>636</v>
      </c>
      <c r="B83" s="233" t="str">
        <f>'Unit Data from Audit Worksheet'!C97</f>
        <v>Water Sewer Net Position Statement</v>
      </c>
      <c r="C83" s="188"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2">
        <f>'Unit Data from Audit Worksheet'!F97</f>
        <v>0</v>
      </c>
      <c r="F83" s="217"/>
      <c r="G83" s="205"/>
      <c r="H83" s="217"/>
      <c r="I83" s="299"/>
      <c r="J83" s="216">
        <v>636</v>
      </c>
      <c r="K83" s="191" t="s">
        <v>368</v>
      </c>
      <c r="L83" s="300">
        <f t="shared" ref="L83:L93" si="11">IF(D83="",E83,D83)</f>
        <v>0</v>
      </c>
      <c r="M83"/>
      <c r="N83" s="290"/>
      <c r="O83" s="290"/>
      <c r="P83" s="194"/>
      <c r="Q83" s="277"/>
      <c r="R83" s="3"/>
      <c r="X83" s="549">
        <v>636</v>
      </c>
      <c r="Y83" s="284">
        <v>636</v>
      </c>
      <c r="AA83" s="384">
        <f t="shared" si="9"/>
        <v>0</v>
      </c>
      <c r="AB83" s="284">
        <f t="shared" si="10"/>
        <v>0</v>
      </c>
    </row>
    <row r="84" spans="1:28" s="18" customFormat="1" ht="59.25" customHeight="1" x14ac:dyDescent="0.3">
      <c r="A84" s="188">
        <v>637</v>
      </c>
      <c r="B84" s="233" t="str">
        <f>'Unit Data from Audit Worksheet'!C98</f>
        <v>Water Sewer Net Position Statement</v>
      </c>
      <c r="C84" s="188" t="str">
        <f>'Unit Data from Audit Worksheet'!D98</f>
        <v>Please enter any current liabilities that are payable from restricted assets and included in account 633 above.
Enter as positive</v>
      </c>
      <c r="D84" s="102"/>
      <c r="E84" s="232">
        <f>'Unit Data from Audit Worksheet'!F98</f>
        <v>0</v>
      </c>
      <c r="F84" s="217"/>
      <c r="G84" s="205"/>
      <c r="H84" s="217"/>
      <c r="I84" s="299"/>
      <c r="J84" s="216">
        <v>637</v>
      </c>
      <c r="K84" s="191" t="s">
        <v>369</v>
      </c>
      <c r="L84" s="300">
        <f t="shared" si="11"/>
        <v>0</v>
      </c>
      <c r="M84"/>
      <c r="N84" s="290"/>
      <c r="O84" s="290"/>
      <c r="P84" s="197"/>
      <c r="Q84" s="277"/>
      <c r="R84" s="3"/>
      <c r="X84" s="549">
        <v>637</v>
      </c>
      <c r="Y84" s="284">
        <v>637</v>
      </c>
      <c r="AA84" s="384">
        <f t="shared" si="9"/>
        <v>0</v>
      </c>
      <c r="AB84" s="284">
        <f t="shared" si="10"/>
        <v>0</v>
      </c>
    </row>
    <row r="85" spans="1:28" s="18" customFormat="1" ht="115.95" customHeight="1" x14ac:dyDescent="0.3">
      <c r="A85" s="188">
        <v>638</v>
      </c>
      <c r="B85" s="233" t="str">
        <f>'Unit Data from Audit Worksheet'!C99</f>
        <v>Water Sewer Net Position Statement</v>
      </c>
      <c r="C85" s="188"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2">
        <f>'Unit Data from Audit Worksheet'!F99</f>
        <v>0</v>
      </c>
      <c r="F85" s="217"/>
      <c r="G85" s="205"/>
      <c r="H85" s="217"/>
      <c r="I85" s="299"/>
      <c r="J85" s="216">
        <v>638</v>
      </c>
      <c r="K85" s="191" t="s">
        <v>374</v>
      </c>
      <c r="L85" s="300">
        <f t="shared" si="11"/>
        <v>0</v>
      </c>
      <c r="M85"/>
      <c r="N85" s="290"/>
      <c r="O85" s="290"/>
      <c r="P85" s="194"/>
      <c r="Q85" s="277"/>
      <c r="R85" s="3"/>
      <c r="X85" s="549">
        <v>638</v>
      </c>
      <c r="Y85" s="284">
        <v>638</v>
      </c>
      <c r="AA85" s="384">
        <f t="shared" si="9"/>
        <v>0</v>
      </c>
      <c r="AB85" s="284">
        <f t="shared" si="10"/>
        <v>0</v>
      </c>
    </row>
    <row r="86" spans="1:28" ht="76.5" customHeight="1" x14ac:dyDescent="0.3">
      <c r="A86" s="285">
        <f>'Unit Data from Audit Worksheet'!A100</f>
        <v>383</v>
      </c>
      <c r="B86" s="48" t="str">
        <f>'Unit Data from Audit Worksheet'!C100</f>
        <v>Water Sewer Net Position Statement</v>
      </c>
      <c r="C86" s="286"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1"/>
      <c r="I86" s="32"/>
      <c r="J86" s="36">
        <v>383</v>
      </c>
      <c r="K86" s="45" t="s">
        <v>212</v>
      </c>
      <c r="L86" s="287">
        <f t="shared" si="11"/>
        <v>0</v>
      </c>
      <c r="P86" s="194"/>
      <c r="X86" s="549">
        <v>383</v>
      </c>
      <c r="Y86" s="284">
        <v>383</v>
      </c>
      <c r="AA86" s="384">
        <f t="shared" si="9"/>
        <v>0</v>
      </c>
      <c r="AB86" s="284">
        <f t="shared" si="10"/>
        <v>0</v>
      </c>
    </row>
    <row r="87" spans="1:28" ht="54" customHeight="1" x14ac:dyDescent="0.3">
      <c r="A87" s="210">
        <f>'Unit Data from Audit Worksheet'!A101</f>
        <v>349</v>
      </c>
      <c r="B87" s="223" t="str">
        <f>'Unit Data from Audit Worksheet'!C101</f>
        <v>Water Sewer Net Position Statement</v>
      </c>
      <c r="C87" s="209" t="str">
        <f>'Unit Data from Audit Worksheet'!D101</f>
        <v>Total Liabilities and deferred inflows</v>
      </c>
      <c r="D87" s="134"/>
      <c r="E87" s="229">
        <f>'Unit Data from Audit Worksheet'!F101</f>
        <v>0</v>
      </c>
      <c r="F87" s="222">
        <f>IF(L80&gt;L87,"Error: Please review accts 633&gt;349",)</f>
        <v>0</v>
      </c>
      <c r="G87" s="224"/>
      <c r="H87" s="221"/>
      <c r="I87" s="32"/>
      <c r="J87" s="220">
        <v>349</v>
      </c>
      <c r="K87" s="219" t="s">
        <v>114</v>
      </c>
      <c r="L87" s="287">
        <f t="shared" si="11"/>
        <v>0</v>
      </c>
      <c r="P87" s="194"/>
      <c r="X87" s="549">
        <v>349</v>
      </c>
      <c r="Y87" s="284">
        <v>349</v>
      </c>
      <c r="AA87" s="384">
        <f t="shared" si="9"/>
        <v>0</v>
      </c>
      <c r="AB87" s="284">
        <f t="shared" si="10"/>
        <v>0</v>
      </c>
    </row>
    <row r="88" spans="1:28" ht="56.25" customHeight="1" x14ac:dyDescent="0.3">
      <c r="A88" s="210">
        <f>'Unit Data from Audit Worksheet'!A102</f>
        <v>375</v>
      </c>
      <c r="B88" s="223" t="str">
        <f>'Unit Data from Audit Worksheet'!C102</f>
        <v>Water Sewer Net Position Statement</v>
      </c>
      <c r="C88" s="209" t="str">
        <f>'Unit Data from Audit Worksheet'!D102</f>
        <v>Total Net position, Unrestricted - enter negative unrestricted net position as a negative</v>
      </c>
      <c r="D88" s="134"/>
      <c r="E88" s="229">
        <f>'Unit Data from Audit Worksheet'!F102</f>
        <v>0</v>
      </c>
      <c r="F88" s="222"/>
      <c r="G88" s="224"/>
      <c r="H88" s="221"/>
      <c r="I88" s="32"/>
      <c r="J88" s="220">
        <v>375</v>
      </c>
      <c r="K88" s="219" t="s">
        <v>213</v>
      </c>
      <c r="L88" s="287">
        <f t="shared" si="11"/>
        <v>0</v>
      </c>
      <c r="P88" s="194"/>
      <c r="X88" s="549">
        <v>375</v>
      </c>
      <c r="Y88" s="284">
        <v>375</v>
      </c>
      <c r="AA88" s="384">
        <f t="shared" si="9"/>
        <v>0</v>
      </c>
      <c r="AB88" s="284">
        <f t="shared" si="10"/>
        <v>0</v>
      </c>
    </row>
    <row r="89" spans="1:28" ht="56.25" customHeight="1" x14ac:dyDescent="0.3">
      <c r="A89" s="210">
        <f>'Unit Data from Audit Worksheet'!A103</f>
        <v>83</v>
      </c>
      <c r="B89" s="223" t="str">
        <f>'Unit Data from Audit Worksheet'!C103</f>
        <v>Water Sewer Net Position Statement</v>
      </c>
      <c r="C89" s="209" t="str">
        <f>'Unit Data from Audit Worksheet'!D103</f>
        <v>Total Net position</v>
      </c>
      <c r="D89" s="134"/>
      <c r="E89" s="229">
        <f>'Unit Data from Audit Worksheet'!F103</f>
        <v>0</v>
      </c>
      <c r="F89" s="222">
        <f>IF(+L78-L87-L89=0,,"Error: Total assets less total liabilities do not equal net position acct 381-349-83=0")</f>
        <v>0</v>
      </c>
      <c r="G89" s="84">
        <f>L78-L87-L89</f>
        <v>0</v>
      </c>
      <c r="H89" s="221"/>
      <c r="I89" s="32"/>
      <c r="J89" s="220">
        <v>83</v>
      </c>
      <c r="K89" s="219" t="s">
        <v>94</v>
      </c>
      <c r="L89" s="287">
        <f t="shared" si="11"/>
        <v>0</v>
      </c>
      <c r="O89" s="294" t="e">
        <f>'Unit Data from Audit Worksheet'!E103</f>
        <v>#N/A</v>
      </c>
      <c r="P89" s="194"/>
      <c r="Q89" s="225"/>
      <c r="X89" s="549">
        <v>83</v>
      </c>
      <c r="Y89" s="284">
        <v>83</v>
      </c>
      <c r="AA89" s="384">
        <f t="shared" si="9"/>
        <v>0</v>
      </c>
      <c r="AB89" s="284">
        <f t="shared" si="10"/>
        <v>0</v>
      </c>
    </row>
    <row r="90" spans="1:28" ht="56.25" customHeight="1" x14ac:dyDescent="0.3">
      <c r="A90" s="210">
        <f>'Unit Data from Audit Worksheet'!A105</f>
        <v>90</v>
      </c>
      <c r="B90" s="223" t="str">
        <f>'Unit Data from Audit Worksheet'!C105</f>
        <v>Electric Fund Net Position Statement</v>
      </c>
      <c r="C90" s="209" t="str">
        <f>'Unit Data from Audit Worksheet'!D105</f>
        <v>All Unrestricted Cash and Investments.  
Exclude any restricted cash and investments.</v>
      </c>
      <c r="D90" s="134"/>
      <c r="E90" s="229">
        <f>'Unit Data from Audit Worksheet'!F105</f>
        <v>0</v>
      </c>
      <c r="F90" s="222">
        <f>IF(L90&lt;0,"Error: Number is normally positive.",)</f>
        <v>0</v>
      </c>
      <c r="G90" s="224"/>
      <c r="H90" s="221"/>
      <c r="I90" s="32"/>
      <c r="J90" s="220">
        <v>90</v>
      </c>
      <c r="K90" s="219" t="s">
        <v>214</v>
      </c>
      <c r="L90" s="287">
        <f t="shared" si="11"/>
        <v>0</v>
      </c>
      <c r="P90" s="194"/>
      <c r="X90" s="549">
        <v>90</v>
      </c>
      <c r="Y90" s="284">
        <v>90</v>
      </c>
      <c r="AA90" s="384">
        <f t="shared" si="9"/>
        <v>0</v>
      </c>
      <c r="AB90" s="284">
        <f t="shared" si="10"/>
        <v>0</v>
      </c>
    </row>
    <row r="91" spans="1:28" ht="56.25" customHeight="1" x14ac:dyDescent="0.3">
      <c r="A91" s="210">
        <f>'Unit Data from Audit Worksheet'!A106</f>
        <v>91</v>
      </c>
      <c r="B91" s="223" t="str">
        <f>'Unit Data from Audit Worksheet'!C106</f>
        <v>Electric Fund Net Position Statement</v>
      </c>
      <c r="C91" s="209" t="str">
        <f>'Unit Data from Audit Worksheet'!D106</f>
        <v xml:space="preserve">Customer accounts receivable (net of allowance accounts)
Include billed and unbilled amounts </v>
      </c>
      <c r="D91" s="134"/>
      <c r="E91" s="229">
        <f>'Unit Data from Audit Worksheet'!F106</f>
        <v>0</v>
      </c>
      <c r="F91" s="222">
        <f>IF(L91&lt;0,"Error: Number is normally positive.",)</f>
        <v>0</v>
      </c>
      <c r="G91" s="224"/>
      <c r="H91" s="221"/>
      <c r="I91" s="32"/>
      <c r="J91" s="220">
        <v>91</v>
      </c>
      <c r="K91" s="219" t="s">
        <v>215</v>
      </c>
      <c r="L91" s="287">
        <f t="shared" si="11"/>
        <v>0</v>
      </c>
      <c r="P91" s="194"/>
      <c r="X91" s="549">
        <v>91</v>
      </c>
      <c r="Y91" s="284">
        <v>91</v>
      </c>
      <c r="AA91" s="384">
        <f t="shared" si="9"/>
        <v>0</v>
      </c>
      <c r="AB91" s="284">
        <f t="shared" si="10"/>
        <v>0</v>
      </c>
    </row>
    <row r="92" spans="1:28" ht="56.25" customHeight="1" x14ac:dyDescent="0.3">
      <c r="A92" s="210">
        <f>'Unit Data from Audit Worksheet'!A107</f>
        <v>581</v>
      </c>
      <c r="B92" s="223" t="str">
        <f>'Unit Data from Audit Worksheet'!C107</f>
        <v>Electric Fund Net Position Statement</v>
      </c>
      <c r="C92" s="209" t="str">
        <f>'Unit Data from Audit Worksheet'!D107</f>
        <v>Electric Fund - Advance To:
Interfund loan receivable-portion of repayment plan longer than 12 months</v>
      </c>
      <c r="D92" s="134"/>
      <c r="E92" s="229">
        <f>'Unit Data from Audit Worksheet'!F107</f>
        <v>0</v>
      </c>
      <c r="F92" s="222"/>
      <c r="G92" s="224"/>
      <c r="H92" s="221"/>
      <c r="I92" s="32"/>
      <c r="J92" s="220">
        <v>581</v>
      </c>
      <c r="K92" s="219" t="s">
        <v>316</v>
      </c>
      <c r="L92" s="287">
        <f t="shared" si="11"/>
        <v>0</v>
      </c>
      <c r="P92" s="194"/>
      <c r="X92" s="549">
        <v>581</v>
      </c>
      <c r="Y92" s="284">
        <v>581</v>
      </c>
      <c r="AA92" s="384">
        <f t="shared" si="9"/>
        <v>0</v>
      </c>
      <c r="AB92" s="284">
        <f t="shared" si="10"/>
        <v>0</v>
      </c>
    </row>
    <row r="93" spans="1:28" ht="56.25" customHeight="1" x14ac:dyDescent="0.3">
      <c r="A93" s="210">
        <f>'Unit Data from Audit Worksheet'!A108</f>
        <v>511</v>
      </c>
      <c r="B93" s="223" t="str">
        <f>'Unit Data from Audit Worksheet'!C108</f>
        <v>Electric Fund Net Position Statement</v>
      </c>
      <c r="C93" s="209" t="str">
        <f>'Unit Data from Audit Worksheet'!D108</f>
        <v>Amount of inventories and prepaids</v>
      </c>
      <c r="D93" s="134"/>
      <c r="E93" s="229">
        <f>'Unit Data from Audit Worksheet'!F108</f>
        <v>0</v>
      </c>
      <c r="F93" s="222">
        <f t="shared" ref="F93:F98" si="12">IF(L93&lt;0,"Error: Number is normally positive.",)</f>
        <v>0</v>
      </c>
      <c r="G93" s="224"/>
      <c r="H93" s="221"/>
      <c r="I93" s="32"/>
      <c r="J93" s="220">
        <v>511</v>
      </c>
      <c r="K93" s="219" t="s">
        <v>216</v>
      </c>
      <c r="L93" s="287">
        <f t="shared" si="11"/>
        <v>0</v>
      </c>
      <c r="P93" s="194"/>
      <c r="X93" s="549">
        <v>511</v>
      </c>
      <c r="Y93" s="284">
        <v>511</v>
      </c>
      <c r="AA93" s="384">
        <f t="shared" si="9"/>
        <v>0</v>
      </c>
      <c r="AB93" s="284">
        <f t="shared" si="10"/>
        <v>0</v>
      </c>
    </row>
    <row r="94" spans="1:28" ht="62.25" customHeight="1" x14ac:dyDescent="0.3">
      <c r="A94" s="210">
        <f>'Unit Data from Audit Worksheet'!A109</f>
        <v>657</v>
      </c>
      <c r="B94" s="223" t="str">
        <f>'Unit Data from Audit Worksheet'!C109</f>
        <v>Electric Fund Net Position Statement</v>
      </c>
      <c r="C94" s="209" t="str">
        <f>'Unit Data from Audit Worksheet'!D109</f>
        <v xml:space="preserve">Total Current assets as listed on the Electric Net Position Statement.  
</v>
      </c>
      <c r="D94" s="134"/>
      <c r="E94" s="229">
        <f>'Unit Data from Audit Worksheet'!F109</f>
        <v>0</v>
      </c>
      <c r="F94" s="222">
        <f t="shared" si="12"/>
        <v>0</v>
      </c>
      <c r="G94" s="224"/>
      <c r="H94" s="221"/>
      <c r="I94" s="32"/>
      <c r="J94" s="220">
        <v>657</v>
      </c>
      <c r="K94" s="219" t="s">
        <v>417</v>
      </c>
      <c r="L94" s="300">
        <f>IF(D94="",E94,D94)</f>
        <v>0</v>
      </c>
      <c r="P94" s="194"/>
      <c r="X94" s="549">
        <v>657</v>
      </c>
      <c r="Y94" s="284">
        <v>657</v>
      </c>
      <c r="AA94" s="384">
        <f t="shared" si="9"/>
        <v>0</v>
      </c>
      <c r="AB94" s="284">
        <f t="shared" si="10"/>
        <v>0</v>
      </c>
    </row>
    <row r="95" spans="1:28" ht="62.25" customHeight="1" x14ac:dyDescent="0.3">
      <c r="A95" s="210">
        <f>'Unit Data from Audit Worksheet'!A110</f>
        <v>658</v>
      </c>
      <c r="B95" s="223" t="str">
        <f>'Unit Data from Audit Worksheet'!C110</f>
        <v>Electric Fund Net Position Statement</v>
      </c>
      <c r="C95" s="209" t="str">
        <f>'Unit Data from Audit Worksheet'!D110</f>
        <v>Electric-Any current assets that are restricted (Cash, Accounts Rec., etc..) and included in account 657 above</v>
      </c>
      <c r="D95" s="134"/>
      <c r="E95" s="229">
        <f>'Unit Data from Audit Worksheet'!F110</f>
        <v>0</v>
      </c>
      <c r="F95" s="222">
        <f t="shared" si="12"/>
        <v>0</v>
      </c>
      <c r="G95" s="224"/>
      <c r="H95" s="221"/>
      <c r="I95" s="32"/>
      <c r="J95" s="220">
        <v>658</v>
      </c>
      <c r="K95" s="219" t="s">
        <v>444</v>
      </c>
      <c r="L95" s="300">
        <f>IF(D95="",E95,D95)</f>
        <v>0</v>
      </c>
      <c r="P95" s="194"/>
      <c r="X95" s="549">
        <v>658</v>
      </c>
      <c r="Y95" s="284">
        <v>658</v>
      </c>
      <c r="AA95" s="384">
        <f t="shared" si="9"/>
        <v>0</v>
      </c>
      <c r="AB95" s="284">
        <f t="shared" si="10"/>
        <v>0</v>
      </c>
    </row>
    <row r="96" spans="1:28" ht="39.75" customHeight="1" x14ac:dyDescent="0.3">
      <c r="A96" s="210">
        <f>'Unit Data from Audit Worksheet'!A111</f>
        <v>382</v>
      </c>
      <c r="B96" s="223" t="str">
        <f>'Unit Data from Audit Worksheet'!C111</f>
        <v>Electric Fund Net Position Statement</v>
      </c>
      <c r="C96" s="209" t="str">
        <f>'Unit Data from Audit Worksheet'!D111</f>
        <v>Total Assets and deferred outflows</v>
      </c>
      <c r="D96" s="134"/>
      <c r="E96" s="229">
        <f>'Unit Data from Audit Worksheet'!F111</f>
        <v>0</v>
      </c>
      <c r="F96" s="222">
        <f t="shared" si="12"/>
        <v>0</v>
      </c>
      <c r="G96" s="224"/>
      <c r="H96" s="221"/>
      <c r="I96" s="32"/>
      <c r="J96" s="220">
        <v>382</v>
      </c>
      <c r="K96" s="219" t="s">
        <v>106</v>
      </c>
      <c r="L96" s="287">
        <f>IF(D96="",E96,D96)</f>
        <v>0</v>
      </c>
      <c r="P96" s="194"/>
      <c r="X96" s="549">
        <v>382</v>
      </c>
      <c r="Y96" s="284">
        <v>382</v>
      </c>
      <c r="AA96" s="384">
        <f t="shared" si="9"/>
        <v>0</v>
      </c>
      <c r="AB96" s="284">
        <f t="shared" si="10"/>
        <v>0</v>
      </c>
    </row>
    <row r="97" spans="1:28" ht="39.75" customHeight="1" x14ac:dyDescent="0.3">
      <c r="A97" s="210">
        <f>'Unit Data from Audit Worksheet'!A112</f>
        <v>360</v>
      </c>
      <c r="B97" s="223" t="str">
        <f>'Unit Data from Audit Worksheet'!C112</f>
        <v>Electric Fund Net Position Statement</v>
      </c>
      <c r="C97" s="209" t="str">
        <f>'Unit Data from Audit Worksheet'!D112</f>
        <v>Total liabilities and total deferred inflows</v>
      </c>
      <c r="D97" s="134"/>
      <c r="E97" s="229">
        <f>'Unit Data from Audit Worksheet'!F112</f>
        <v>0</v>
      </c>
      <c r="F97" s="222">
        <f t="shared" si="12"/>
        <v>0</v>
      </c>
      <c r="G97" s="224"/>
      <c r="H97" s="221"/>
      <c r="I97" s="32"/>
      <c r="J97" s="220">
        <v>360</v>
      </c>
      <c r="K97" s="101" t="s">
        <v>117</v>
      </c>
      <c r="L97" s="287">
        <f>IF(D97="",E97,D97)</f>
        <v>0</v>
      </c>
      <c r="P97" s="194"/>
      <c r="X97" s="549">
        <v>360</v>
      </c>
      <c r="Y97" s="284">
        <v>360</v>
      </c>
      <c r="AA97" s="384">
        <f t="shared" si="9"/>
        <v>0</v>
      </c>
      <c r="AB97" s="284">
        <f t="shared" si="10"/>
        <v>0</v>
      </c>
    </row>
    <row r="98" spans="1:28" ht="58.5" customHeight="1" x14ac:dyDescent="0.3">
      <c r="A98" s="210">
        <f>'Unit Data from Audit Worksheet'!A113</f>
        <v>580</v>
      </c>
      <c r="B98" s="223" t="str">
        <f>'Unit Data from Audit Worksheet'!C113</f>
        <v>Electric Fund Net Position Statement</v>
      </c>
      <c r="C98" s="209" t="str">
        <f>'Unit Data from Audit Worksheet'!D113</f>
        <v>Electric Fund - Advance From:
Interfund loans payable-portion of repayment plan longer than 12 months</v>
      </c>
      <c r="D98" s="134"/>
      <c r="E98" s="229">
        <f>'Unit Data from Audit Worksheet'!F113</f>
        <v>0</v>
      </c>
      <c r="F98" s="103">
        <f t="shared" si="12"/>
        <v>0</v>
      </c>
      <c r="G98" s="104"/>
      <c r="H98" s="105"/>
      <c r="I98" s="32"/>
      <c r="J98" s="220">
        <v>580</v>
      </c>
      <c r="K98" s="101" t="s">
        <v>317</v>
      </c>
      <c r="L98" s="287">
        <f>IF(D98="",E98,D98)</f>
        <v>0</v>
      </c>
      <c r="N98" s="295"/>
      <c r="P98" s="198"/>
      <c r="X98" s="549">
        <v>580</v>
      </c>
      <c r="Y98" s="284">
        <v>580</v>
      </c>
      <c r="AA98" s="384">
        <f t="shared" si="9"/>
        <v>0</v>
      </c>
      <c r="AB98" s="284">
        <f t="shared" si="10"/>
        <v>0</v>
      </c>
    </row>
    <row r="99" spans="1:28" s="18" customFormat="1" ht="128.4" customHeight="1" x14ac:dyDescent="0.3">
      <c r="A99" s="210">
        <f>'Unit Data from Audit Worksheet'!A114</f>
        <v>639</v>
      </c>
      <c r="B99" s="223" t="str">
        <f>'Unit Data from Audit Worksheet'!C114</f>
        <v>Electric Fund Net Position Statement</v>
      </c>
      <c r="C99" s="209"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60">
        <f>'Unit Data from Audit Worksheet'!F114</f>
        <v>0</v>
      </c>
      <c r="F99"/>
      <c r="G99"/>
      <c r="H99"/>
      <c r="I99" s="32"/>
      <c r="J99" s="220">
        <v>639</v>
      </c>
      <c r="K99" s="219" t="s">
        <v>375</v>
      </c>
      <c r="L99" s="300">
        <f t="shared" ref="L99:L123" si="13">IF(D99="",E99,D99)</f>
        <v>0</v>
      </c>
      <c r="M99"/>
      <c r="P99" s="194"/>
      <c r="Q99" s="277"/>
      <c r="R99" s="3"/>
      <c r="S99" s="3"/>
      <c r="T99" s="3"/>
      <c r="U99" s="3"/>
      <c r="V99" s="3"/>
      <c r="W99" s="3"/>
      <c r="X99" s="549">
        <v>639</v>
      </c>
      <c r="Y99" s="284">
        <v>639</v>
      </c>
      <c r="Z99" s="3"/>
      <c r="AA99" s="384">
        <f t="shared" si="9"/>
        <v>0</v>
      </c>
      <c r="AB99" s="284">
        <f t="shared" si="10"/>
        <v>0</v>
      </c>
    </row>
    <row r="100" spans="1:28" s="18" customFormat="1" ht="132" customHeight="1" x14ac:dyDescent="0.3">
      <c r="A100" s="210">
        <f>'Unit Data from Audit Worksheet'!A115</f>
        <v>640</v>
      </c>
      <c r="B100" s="223" t="str">
        <f>'Unit Data from Audit Worksheet'!C115</f>
        <v>Electric Fund Net Position Statement</v>
      </c>
      <c r="C100" s="209"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29">
        <f>'Unit Data from Audit Worksheet'!F115</f>
        <v>0</v>
      </c>
      <c r="F100" s="41">
        <f t="shared" ref="F100:F105" si="14">IF(L100&lt;0,"Error: Number is normally positive.",)</f>
        <v>0</v>
      </c>
      <c r="G100" s="65"/>
      <c r="H100" s="221"/>
      <c r="I100" s="32"/>
      <c r="J100" s="220">
        <v>640</v>
      </c>
      <c r="K100" s="219" t="s">
        <v>376</v>
      </c>
      <c r="L100" s="300">
        <f t="shared" si="13"/>
        <v>0</v>
      </c>
      <c r="M100"/>
      <c r="P100" s="194"/>
      <c r="Q100" s="277"/>
      <c r="R100" s="3"/>
      <c r="S100" s="3"/>
      <c r="T100" s="3"/>
      <c r="U100" s="3"/>
      <c r="V100" s="3"/>
      <c r="W100" s="3"/>
      <c r="X100" s="549">
        <v>640</v>
      </c>
      <c r="Y100" s="284">
        <v>640</v>
      </c>
      <c r="Z100" s="3"/>
      <c r="AA100" s="384">
        <f t="shared" si="9"/>
        <v>0</v>
      </c>
      <c r="AB100" s="284">
        <f t="shared" si="10"/>
        <v>0</v>
      </c>
    </row>
    <row r="101" spans="1:28" s="18" customFormat="1" ht="128.4" customHeight="1" x14ac:dyDescent="0.3">
      <c r="A101" s="210">
        <f>'Unit Data from Audit Worksheet'!A116</f>
        <v>641</v>
      </c>
      <c r="B101" s="223" t="str">
        <f>'Unit Data from Audit Worksheet'!C116</f>
        <v>Electric Fund Net Position Statement</v>
      </c>
      <c r="C101" s="209"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29">
        <f>'Unit Data from Audit Worksheet'!F116</f>
        <v>0</v>
      </c>
      <c r="F101" s="222">
        <f t="shared" si="14"/>
        <v>0</v>
      </c>
      <c r="G101" s="224"/>
      <c r="H101" s="221"/>
      <c r="I101" s="32"/>
      <c r="J101" s="220">
        <v>641</v>
      </c>
      <c r="K101" s="219" t="s">
        <v>377</v>
      </c>
      <c r="L101" s="300">
        <f t="shared" si="13"/>
        <v>0</v>
      </c>
      <c r="M101"/>
      <c r="P101" s="199"/>
      <c r="Q101" s="277"/>
      <c r="R101" s="3"/>
      <c r="S101" s="3"/>
      <c r="T101" s="3"/>
      <c r="U101" s="3"/>
      <c r="V101" s="3"/>
      <c r="W101" s="3"/>
      <c r="X101" s="549">
        <v>641</v>
      </c>
      <c r="Y101" s="284">
        <v>641</v>
      </c>
      <c r="Z101" s="3"/>
      <c r="AA101" s="384">
        <f t="shared" si="9"/>
        <v>0</v>
      </c>
      <c r="AB101" s="284">
        <f t="shared" si="10"/>
        <v>0</v>
      </c>
    </row>
    <row r="102" spans="1:28" s="18" customFormat="1" ht="104.25" customHeight="1" x14ac:dyDescent="0.3">
      <c r="A102" s="210">
        <f>'Unit Data from Audit Worksheet'!A117</f>
        <v>642</v>
      </c>
      <c r="B102" s="223" t="str">
        <f>'Unit Data from Audit Worksheet'!C117</f>
        <v>Electric Fund Net Position Statement</v>
      </c>
      <c r="C102" s="209"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29">
        <f>'Unit Data from Audit Worksheet'!F117</f>
        <v>0</v>
      </c>
      <c r="F102" s="222">
        <f t="shared" si="14"/>
        <v>0</v>
      </c>
      <c r="G102" s="224"/>
      <c r="H102" s="221"/>
      <c r="I102" s="32"/>
      <c r="J102" s="220">
        <v>642</v>
      </c>
      <c r="K102" s="219" t="s">
        <v>378</v>
      </c>
      <c r="L102" s="300">
        <f t="shared" si="13"/>
        <v>0</v>
      </c>
      <c r="M102"/>
      <c r="P102" s="199"/>
      <c r="Q102" s="277"/>
      <c r="R102" s="3"/>
      <c r="S102" s="3"/>
      <c r="T102" s="3"/>
      <c r="U102" s="3"/>
      <c r="V102" s="3"/>
      <c r="W102" s="3"/>
      <c r="X102" s="549">
        <v>642</v>
      </c>
      <c r="Y102" s="284">
        <v>642</v>
      </c>
      <c r="Z102" s="3"/>
      <c r="AA102" s="384">
        <f t="shared" si="9"/>
        <v>0</v>
      </c>
      <c r="AB102" s="284">
        <f t="shared" si="10"/>
        <v>0</v>
      </c>
    </row>
    <row r="103" spans="1:28" s="18" customFormat="1" ht="97.95" customHeight="1" x14ac:dyDescent="0.3">
      <c r="A103" s="210">
        <f>'Unit Data from Audit Worksheet'!A118</f>
        <v>643</v>
      </c>
      <c r="B103" s="223" t="str">
        <f>'Unit Data from Audit Worksheet'!C118</f>
        <v>Electric Fund Net Position Statement</v>
      </c>
      <c r="C103" s="209" t="str">
        <f>'Unit Data from Audit Worksheet'!D118</f>
        <v>Please enter any current liabilities that are payable from restricted assets and included in account 639 above. 
Enter as a positive</v>
      </c>
      <c r="D103" s="134"/>
      <c r="E103" s="229">
        <f>'Unit Data from Audit Worksheet'!F118</f>
        <v>0</v>
      </c>
      <c r="F103" s="222">
        <f t="shared" si="14"/>
        <v>0</v>
      </c>
      <c r="G103" s="224"/>
      <c r="H103" s="221"/>
      <c r="I103" s="32"/>
      <c r="J103" s="220">
        <v>643</v>
      </c>
      <c r="K103" s="219" t="s">
        <v>379</v>
      </c>
      <c r="L103" s="300">
        <f t="shared" si="13"/>
        <v>0</v>
      </c>
      <c r="M103"/>
      <c r="P103" s="194"/>
      <c r="Q103" s="277"/>
      <c r="R103" s="3"/>
      <c r="S103" s="3"/>
      <c r="T103" s="3"/>
      <c r="U103" s="3"/>
      <c r="V103" s="3"/>
      <c r="W103" s="3"/>
      <c r="X103" s="549">
        <v>643</v>
      </c>
      <c r="Y103" s="284">
        <v>643</v>
      </c>
      <c r="Z103" s="3"/>
      <c r="AA103" s="384">
        <f t="shared" si="9"/>
        <v>0</v>
      </c>
      <c r="AB103" s="284">
        <f t="shared" si="10"/>
        <v>0</v>
      </c>
    </row>
    <row r="104" spans="1:28" s="18" customFormat="1" ht="102" customHeight="1" x14ac:dyDescent="0.3">
      <c r="A104" s="210">
        <f>'Unit Data from Audit Worksheet'!A119</f>
        <v>644</v>
      </c>
      <c r="B104" s="223" t="str">
        <f>'Unit Data from Audit Worksheet'!C119</f>
        <v>Electric Fund Net Position Statement</v>
      </c>
      <c r="C104" s="209"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29">
        <f>'Unit Data from Audit Worksheet'!F119</f>
        <v>0</v>
      </c>
      <c r="F104" s="222">
        <f t="shared" si="14"/>
        <v>0</v>
      </c>
      <c r="G104" s="224"/>
      <c r="H104" s="221"/>
      <c r="I104" s="32"/>
      <c r="J104" s="182">
        <v>644</v>
      </c>
      <c r="K104" s="219" t="s">
        <v>380</v>
      </c>
      <c r="L104" s="300">
        <f t="shared" si="13"/>
        <v>0</v>
      </c>
      <c r="M104"/>
      <c r="P104" s="194"/>
      <c r="Q104" s="277"/>
      <c r="R104" s="3"/>
      <c r="S104" s="3"/>
      <c r="T104" s="3"/>
      <c r="U104" s="3"/>
      <c r="V104" s="3"/>
      <c r="W104" s="3"/>
      <c r="X104" s="549">
        <v>644</v>
      </c>
      <c r="Y104" s="284">
        <v>644</v>
      </c>
      <c r="Z104" s="3"/>
      <c r="AA104" s="384">
        <f t="shared" si="9"/>
        <v>0</v>
      </c>
      <c r="AB104" s="284">
        <f t="shared" si="10"/>
        <v>0</v>
      </c>
    </row>
    <row r="105" spans="1:28" ht="96" customHeight="1" x14ac:dyDescent="0.3">
      <c r="A105" s="210">
        <f>+'Unit Data from Audit Worksheet'!A120</f>
        <v>384</v>
      </c>
      <c r="B105" s="210" t="str">
        <f>+'Unit Data from Audit Worksheet'!C120</f>
        <v>Electric Fund Net Position Statement</v>
      </c>
      <c r="C105" s="210" t="str">
        <f>+'Unit Data from Audit Worksheet'!D120</f>
        <v>Unearned revenue (arising from cash receipts) that were included in Current Liabilities in account 639 above.
Enter as a positive</v>
      </c>
      <c r="D105" s="134"/>
      <c r="E105" s="229">
        <f>+'Unit Data from Audit Worksheet'!F120</f>
        <v>0</v>
      </c>
      <c r="F105" s="222">
        <f t="shared" si="14"/>
        <v>0</v>
      </c>
      <c r="G105" s="224"/>
      <c r="H105" s="221"/>
      <c r="I105" s="32"/>
      <c r="J105" s="220">
        <v>384</v>
      </c>
      <c r="K105" s="52" t="s">
        <v>116</v>
      </c>
      <c r="L105" s="287">
        <f t="shared" si="13"/>
        <v>0</v>
      </c>
      <c r="P105" s="194"/>
      <c r="X105" s="549">
        <v>384</v>
      </c>
      <c r="Y105" s="284">
        <v>384</v>
      </c>
      <c r="AA105" s="384">
        <f t="shared" si="9"/>
        <v>0</v>
      </c>
      <c r="AB105" s="284">
        <f t="shared" si="10"/>
        <v>0</v>
      </c>
    </row>
    <row r="106" spans="1:28" ht="72" x14ac:dyDescent="0.3">
      <c r="A106" s="210">
        <f>+'Unit Data from Audit Worksheet'!A121</f>
        <v>361</v>
      </c>
      <c r="B106" s="210" t="str">
        <f>+'Unit Data from Audit Worksheet'!C121</f>
        <v>Electric Fund Net Position Statement</v>
      </c>
      <c r="C106" s="210" t="str">
        <f>+'Unit Data from Audit Worksheet'!D121</f>
        <v>Total net position, unrestricted - Amount of negative unrestricted net position should be entered as a negative amount and the amount of positive unrestricted net position should be entered as a positive amount.</v>
      </c>
      <c r="D106" s="134"/>
      <c r="E106" s="229">
        <f>+'Unit Data from Audit Worksheet'!F121</f>
        <v>0</v>
      </c>
      <c r="F106" s="222"/>
      <c r="G106" s="224"/>
      <c r="H106" s="221"/>
      <c r="I106" s="32"/>
      <c r="J106" s="220">
        <v>361</v>
      </c>
      <c r="K106" s="219" t="s">
        <v>98</v>
      </c>
      <c r="L106" s="287">
        <f t="shared" si="13"/>
        <v>0</v>
      </c>
      <c r="P106" s="194"/>
      <c r="X106" s="549">
        <v>361</v>
      </c>
      <c r="Y106" s="284">
        <v>361</v>
      </c>
      <c r="AA106" s="384">
        <f t="shared" si="9"/>
        <v>0</v>
      </c>
      <c r="AB106" s="284">
        <f t="shared" si="10"/>
        <v>0</v>
      </c>
    </row>
    <row r="107" spans="1:28" ht="46.5" customHeight="1" x14ac:dyDescent="0.3">
      <c r="A107" s="210">
        <f>'Unit Data from Audit Worksheet'!A122</f>
        <v>362</v>
      </c>
      <c r="B107" s="223" t="str">
        <f>'Unit Data from Audit Worksheet'!C122</f>
        <v>Electric Fund Net Position Statement</v>
      </c>
      <c r="C107" s="209" t="str">
        <f>'Unit Data from Audit Worksheet'!D122</f>
        <v>Total net position</v>
      </c>
      <c r="D107" s="134"/>
      <c r="E107" s="229">
        <f>'Unit Data from Audit Worksheet'!F122</f>
        <v>0</v>
      </c>
      <c r="F107" s="222">
        <f>IF(L96-L97-L107=0,,"Error: Total assets less total liabilities do not equal net position acct 382-360-362=0")</f>
        <v>0</v>
      </c>
      <c r="G107" s="84">
        <f>+L96-L97-L107</f>
        <v>0</v>
      </c>
      <c r="H107" s="221"/>
      <c r="I107" s="32"/>
      <c r="J107" s="220">
        <v>362</v>
      </c>
      <c r="K107" s="219" t="s">
        <v>99</v>
      </c>
      <c r="L107" s="287">
        <f t="shared" si="13"/>
        <v>0</v>
      </c>
      <c r="O107" s="294" t="e">
        <f>'Unit Data from Audit Worksheet'!E122</f>
        <v>#N/A</v>
      </c>
      <c r="P107" s="194"/>
      <c r="X107" s="549">
        <v>362</v>
      </c>
      <c r="Y107" s="284">
        <v>362</v>
      </c>
      <c r="AA107" s="384">
        <f t="shared" si="9"/>
        <v>0</v>
      </c>
      <c r="AB107" s="284">
        <f t="shared" si="10"/>
        <v>0</v>
      </c>
    </row>
    <row r="108" spans="1:28" ht="61.5" customHeight="1" x14ac:dyDescent="0.3">
      <c r="A108" s="210">
        <f>'Unit Data from Audit Worksheet'!A125</f>
        <v>88</v>
      </c>
      <c r="B108" s="223" t="str">
        <f>'Unit Data from Audit Worksheet'!C125</f>
        <v>Water Sewer Revenue, Expenses &amp; Changes in Fund Net Position</v>
      </c>
      <c r="C108" s="209" t="str">
        <f>'Unit Data from Audit Worksheet'!D125</f>
        <v>Charges for services. 
Exclude tap, capacity fees and other misc. income .</v>
      </c>
      <c r="D108" s="134"/>
      <c r="E108" s="229">
        <f>'Unit Data from Audit Worksheet'!F125</f>
        <v>0</v>
      </c>
      <c r="F108" s="222"/>
      <c r="G108" s="224"/>
      <c r="H108" s="221"/>
      <c r="I108" s="32"/>
      <c r="J108" s="220">
        <v>88</v>
      </c>
      <c r="K108" s="219" t="s">
        <v>217</v>
      </c>
      <c r="L108" s="287">
        <f t="shared" si="13"/>
        <v>0</v>
      </c>
      <c r="P108" s="194"/>
      <c r="X108" s="549">
        <v>88</v>
      </c>
      <c r="Y108" s="284">
        <v>88</v>
      </c>
      <c r="AA108" s="384">
        <f t="shared" si="9"/>
        <v>0</v>
      </c>
      <c r="AB108" s="284">
        <f t="shared" si="10"/>
        <v>0</v>
      </c>
    </row>
    <row r="109" spans="1:28" ht="72" customHeight="1" x14ac:dyDescent="0.3">
      <c r="A109" s="210">
        <f>'Unit Data from Audit Worksheet'!A126</f>
        <v>84</v>
      </c>
      <c r="B109" s="223" t="str">
        <f>'Unit Data from Audit Worksheet'!C126</f>
        <v>Water Sewer Revenue, Expenses &amp; Changes in Fund Net Position</v>
      </c>
      <c r="C109" s="209" t="str">
        <f>'Unit Data from Audit Worksheet'!D126</f>
        <v>Total Operating revenues</v>
      </c>
      <c r="D109" s="134"/>
      <c r="E109" s="229">
        <f>'Unit Data from Audit Worksheet'!F126</f>
        <v>0</v>
      </c>
      <c r="F109" s="222" t="str">
        <f>IF(L108&gt;L109,"Error: Charges for services exceed total operating revenues. Acct # 88&gt;84"," ")</f>
        <v xml:space="preserve"> </v>
      </c>
      <c r="G109" s="224" t="str">
        <f>IF(Q90=1," Included in error count"," ")</f>
        <v xml:space="preserve"> </v>
      </c>
      <c r="H109" s="221"/>
      <c r="I109" s="32"/>
      <c r="J109" s="220">
        <v>84</v>
      </c>
      <c r="K109" s="219" t="s">
        <v>218</v>
      </c>
      <c r="L109" s="287">
        <f t="shared" si="13"/>
        <v>0</v>
      </c>
      <c r="P109" s="194"/>
      <c r="X109" s="549">
        <v>84</v>
      </c>
      <c r="Y109" s="284">
        <v>84</v>
      </c>
      <c r="AA109" s="384">
        <f t="shared" si="9"/>
        <v>0</v>
      </c>
      <c r="AB109" s="284">
        <f t="shared" si="10"/>
        <v>0</v>
      </c>
    </row>
    <row r="110" spans="1:28" ht="72" customHeight="1" x14ac:dyDescent="0.3">
      <c r="A110" s="210">
        <f>'Unit Data from Audit Worksheet'!A127</f>
        <v>49</v>
      </c>
      <c r="B110" s="223" t="str">
        <f>'Unit Data from Audit Worksheet'!C127</f>
        <v>Water Sewer Revenue, Expenses &amp; Changes in Fund Net Position</v>
      </c>
      <c r="C110" s="209" t="str">
        <f>'Unit Data from Audit Worksheet'!D127</f>
        <v>Depreciation and amortization expense</v>
      </c>
      <c r="D110" s="134"/>
      <c r="E110" s="229">
        <f>'Unit Data from Audit Worksheet'!F127</f>
        <v>0</v>
      </c>
      <c r="F110" s="222">
        <f>IF(L110&lt;0,"Error: Number is normally positive.",)</f>
        <v>0</v>
      </c>
      <c r="G110" s="224"/>
      <c r="H110" s="221"/>
      <c r="I110" s="32"/>
      <c r="J110" s="220">
        <v>49</v>
      </c>
      <c r="K110" s="219" t="s">
        <v>219</v>
      </c>
      <c r="L110" s="287">
        <f t="shared" si="13"/>
        <v>0</v>
      </c>
      <c r="O110" s="294"/>
      <c r="P110" s="194"/>
      <c r="X110" s="549">
        <v>49</v>
      </c>
      <c r="Y110" s="284">
        <v>49</v>
      </c>
      <c r="AA110" s="384">
        <f t="shared" si="9"/>
        <v>0</v>
      </c>
      <c r="AB110" s="284">
        <f t="shared" si="10"/>
        <v>0</v>
      </c>
    </row>
    <row r="111" spans="1:28" ht="48" customHeight="1" x14ac:dyDescent="0.3">
      <c r="A111" s="210">
        <f>'Unit Data from Audit Worksheet'!A128</f>
        <v>85</v>
      </c>
      <c r="B111" s="223" t="str">
        <f>'Unit Data from Audit Worksheet'!C128</f>
        <v>Water Sewer Revenue, Expenses &amp; Changes in Fund Net Position</v>
      </c>
      <c r="C111" s="209" t="str">
        <f>'Unit Data from Audit Worksheet'!D128</f>
        <v>Total Operating expenses</v>
      </c>
      <c r="D111" s="134"/>
      <c r="E111" s="229">
        <f>'Unit Data from Audit Worksheet'!F128</f>
        <v>0</v>
      </c>
      <c r="F111" s="222"/>
      <c r="G111" s="224"/>
      <c r="H111" s="221"/>
      <c r="I111" s="32"/>
      <c r="J111" s="220">
        <v>85</v>
      </c>
      <c r="K111" s="219" t="s">
        <v>220</v>
      </c>
      <c r="L111" s="287">
        <f t="shared" si="13"/>
        <v>0</v>
      </c>
      <c r="P111" s="194"/>
      <c r="X111" s="549">
        <v>85</v>
      </c>
      <c r="Y111" s="284">
        <v>85</v>
      </c>
      <c r="AA111" s="384">
        <f t="shared" si="9"/>
        <v>0</v>
      </c>
      <c r="AB111" s="284">
        <f t="shared" si="10"/>
        <v>0</v>
      </c>
    </row>
    <row r="112" spans="1:28" ht="48" customHeight="1" x14ac:dyDescent="0.3">
      <c r="A112" s="210">
        <f>'Unit Data from Audit Worksheet'!A129</f>
        <v>89</v>
      </c>
      <c r="B112" s="223" t="str">
        <f>'Unit Data from Audit Worksheet'!C129</f>
        <v>Water Sewer Revenue, Expenses &amp; Changes in Fund Net Position</v>
      </c>
      <c r="C112" s="209" t="str">
        <f>'Unit Data from Audit Worksheet'!D129</f>
        <v>Interest expense</v>
      </c>
      <c r="D112" s="134"/>
      <c r="E112" s="229">
        <f>'Unit Data from Audit Worksheet'!F129</f>
        <v>0</v>
      </c>
      <c r="F112" s="222"/>
      <c r="G112" s="224"/>
      <c r="H112" s="221"/>
      <c r="I112" s="32"/>
      <c r="J112" s="220">
        <v>89</v>
      </c>
      <c r="K112" s="219" t="s">
        <v>221</v>
      </c>
      <c r="L112" s="287">
        <f t="shared" si="13"/>
        <v>0</v>
      </c>
      <c r="P112" s="194"/>
      <c r="X112" s="549">
        <v>89</v>
      </c>
      <c r="Y112" s="284">
        <v>89</v>
      </c>
      <c r="AA112" s="384">
        <f t="shared" si="9"/>
        <v>0</v>
      </c>
      <c r="AB112" s="284">
        <f t="shared" si="10"/>
        <v>0</v>
      </c>
    </row>
    <row r="113" spans="1:28" ht="48" customHeight="1" x14ac:dyDescent="0.3">
      <c r="A113" s="210">
        <f>'Unit Data from Audit Worksheet'!A130</f>
        <v>350</v>
      </c>
      <c r="B113" s="223" t="str">
        <f>'Unit Data from Audit Worksheet'!C130</f>
        <v>Water Sewer Revenue, Expenses &amp; Changes in Fund Net Position</v>
      </c>
      <c r="C113" s="209" t="str">
        <f>'Unit Data from Audit Worksheet'!D130</f>
        <v>Total all non-operating revenues  
Exclude Capital contributions.</v>
      </c>
      <c r="D113" s="134"/>
      <c r="E113" s="229">
        <f>'Unit Data from Audit Worksheet'!F130</f>
        <v>0</v>
      </c>
      <c r="F113" s="222"/>
      <c r="G113" s="224"/>
      <c r="H113" s="221"/>
      <c r="I113" s="32"/>
      <c r="J113" s="220">
        <v>350</v>
      </c>
      <c r="K113" s="219" t="s">
        <v>222</v>
      </c>
      <c r="L113" s="287">
        <f t="shared" si="13"/>
        <v>0</v>
      </c>
      <c r="P113" s="194"/>
      <c r="X113" s="549">
        <v>350</v>
      </c>
      <c r="Y113" s="284">
        <v>350</v>
      </c>
      <c r="AA113" s="384">
        <f t="shared" si="9"/>
        <v>0</v>
      </c>
      <c r="AB113" s="284">
        <f t="shared" si="10"/>
        <v>0</v>
      </c>
    </row>
    <row r="114" spans="1:28" ht="48" customHeight="1" x14ac:dyDescent="0.3">
      <c r="A114" s="210">
        <f>'Unit Data from Audit Worksheet'!A131</f>
        <v>351</v>
      </c>
      <c r="B114" s="223" t="str">
        <f>'Unit Data from Audit Worksheet'!C131</f>
        <v>Water Sewer Revenue, Expenses &amp; Changes in Fund Net Position</v>
      </c>
      <c r="C114" s="209" t="str">
        <f>'Unit Data from Audit Worksheet'!D131</f>
        <v>Total all non-operating expenses.  
Include any negative special, extraordinary, or capital contribution.</v>
      </c>
      <c r="D114" s="134"/>
      <c r="E114" s="229">
        <f>'Unit Data from Audit Worksheet'!F131</f>
        <v>0</v>
      </c>
      <c r="F114" s="222"/>
      <c r="G114" s="224"/>
      <c r="H114" s="221"/>
      <c r="I114" s="32"/>
      <c r="J114" s="220">
        <v>351</v>
      </c>
      <c r="K114" s="219" t="s">
        <v>223</v>
      </c>
      <c r="L114" s="287">
        <f t="shared" si="13"/>
        <v>0</v>
      </c>
      <c r="P114" s="194"/>
      <c r="X114" s="549">
        <v>351</v>
      </c>
      <c r="Y114" s="284">
        <v>351</v>
      </c>
      <c r="AA114" s="384">
        <f t="shared" si="9"/>
        <v>0</v>
      </c>
      <c r="AB114" s="284">
        <f t="shared" si="10"/>
        <v>0</v>
      </c>
    </row>
    <row r="115" spans="1:28" ht="66" customHeight="1" x14ac:dyDescent="0.3">
      <c r="A115" s="210">
        <f>'Unit Data from Audit Worksheet'!A132</f>
        <v>191</v>
      </c>
      <c r="B115" s="223" t="str">
        <f>'Unit Data from Audit Worksheet'!C132</f>
        <v>Water Sewer Revenue, Expenses &amp; Changes in Fund Net Position</v>
      </c>
      <c r="C115" s="209" t="str">
        <f>'Unit Data from Audit Worksheet'!D132</f>
        <v>Capital contributions. Only include positive capital contributions.  Negative capital contributions should be included with 'Total all non-operating expenses.'</v>
      </c>
      <c r="D115" s="134"/>
      <c r="E115" s="229">
        <f>'Unit Data from Audit Worksheet'!F132</f>
        <v>0</v>
      </c>
      <c r="F115" s="222">
        <f>IF(L115&lt;0,"Error: Enter as a positive.",)</f>
        <v>0</v>
      </c>
      <c r="G115" s="224"/>
      <c r="H115" s="221"/>
      <c r="I115" s="32"/>
      <c r="J115" s="220">
        <v>191</v>
      </c>
      <c r="K115" s="219" t="s">
        <v>224</v>
      </c>
      <c r="L115" s="287">
        <f t="shared" si="13"/>
        <v>0</v>
      </c>
      <c r="P115" s="194"/>
      <c r="S115" s="18"/>
      <c r="T115" s="18"/>
      <c r="U115" s="18"/>
      <c r="V115" s="18"/>
      <c r="X115" s="549">
        <v>191</v>
      </c>
      <c r="Y115" s="284">
        <v>191</v>
      </c>
      <c r="Z115" s="18"/>
      <c r="AA115" s="384">
        <f t="shared" si="9"/>
        <v>0</v>
      </c>
      <c r="AB115" s="284">
        <f t="shared" si="10"/>
        <v>0</v>
      </c>
    </row>
    <row r="116" spans="1:28" s="384" customFormat="1" ht="66.599999999999994" customHeight="1" x14ac:dyDescent="0.3">
      <c r="A116" s="210">
        <f>'Unit Data from Audit Worksheet'!A133</f>
        <v>1053</v>
      </c>
      <c r="B116" s="223" t="str">
        <f>'Unit Data from Audit Worksheet'!C133</f>
        <v>Water &amp; Sewer Revenue, Expenses &amp; Changes in Fund Net Position</v>
      </c>
      <c r="C116" s="209" t="str">
        <f>'Unit Data from Audit Worksheet'!D133</f>
        <v>Mark to Market unrealized losses in the Water and Sewer Fund. (enter as a negative number)</v>
      </c>
      <c r="D116" s="134"/>
      <c r="E116" s="229">
        <f>'Unit Data from Audit Worksheet'!F133</f>
        <v>0</v>
      </c>
      <c r="F116" s="222"/>
      <c r="G116" s="224"/>
      <c r="H116" s="221"/>
      <c r="I116" s="32"/>
      <c r="J116" s="220">
        <v>1053</v>
      </c>
      <c r="K116" s="209" t="s">
        <v>1529</v>
      </c>
      <c r="L116" s="293">
        <f t="shared" si="13"/>
        <v>0</v>
      </c>
      <c r="M116"/>
      <c r="P116" s="194"/>
      <c r="Q116" s="277"/>
      <c r="S116" s="18"/>
      <c r="T116" s="18"/>
      <c r="U116" s="18"/>
      <c r="V116" s="18"/>
      <c r="X116" s="549"/>
      <c r="Y116" s="284"/>
      <c r="Z116" s="18"/>
      <c r="AA116" s="384">
        <f t="shared" si="9"/>
        <v>0</v>
      </c>
      <c r="AB116" s="284"/>
    </row>
    <row r="117" spans="1:28" ht="47.25" customHeight="1" x14ac:dyDescent="0.3">
      <c r="A117" s="210">
        <f>'Unit Data from Audit Worksheet'!A134</f>
        <v>352</v>
      </c>
      <c r="B117" s="223" t="str">
        <f>'Unit Data from Audit Worksheet'!C134</f>
        <v>Water Sewer Revenue, Expenses &amp; Changes in Fund Net Position</v>
      </c>
      <c r="C117" s="209" t="str">
        <f>'Unit Data from Audit Worksheet'!D134</f>
        <v>Total Transfers in - all funds (operating and capital)</v>
      </c>
      <c r="D117" s="134"/>
      <c r="E117" s="229">
        <f>'Unit Data from Audit Worksheet'!F134</f>
        <v>0</v>
      </c>
      <c r="F117" s="222"/>
      <c r="G117" s="224"/>
      <c r="H117" s="221"/>
      <c r="I117" s="32"/>
      <c r="J117" s="220">
        <v>352</v>
      </c>
      <c r="K117" s="219" t="s">
        <v>225</v>
      </c>
      <c r="L117" s="287">
        <f t="shared" si="13"/>
        <v>0</v>
      </c>
      <c r="P117" s="194"/>
      <c r="X117" s="549">
        <v>352</v>
      </c>
      <c r="Y117" s="284">
        <v>352</v>
      </c>
      <c r="AA117" s="384">
        <f t="shared" si="9"/>
        <v>0</v>
      </c>
      <c r="AB117" s="284">
        <f t="shared" si="10"/>
        <v>0</v>
      </c>
    </row>
    <row r="118" spans="1:28" ht="70.5" customHeight="1" x14ac:dyDescent="0.3">
      <c r="A118" s="210">
        <f>'Unit Data from Audit Worksheet'!A135</f>
        <v>986</v>
      </c>
      <c r="B118" s="223" t="str">
        <f>'Unit Data from Audit Worksheet'!C135</f>
        <v>Water Sewer Revenue, Expenses &amp; Changes in Fund Net Position</v>
      </c>
      <c r="C118" s="209" t="str">
        <f>'Unit Data from Audit Worksheet'!D135</f>
        <v>Of the transfers-in above in acct # 352, list amount of transfers-in that were used to support Water Sewer operations  (exclude capital transfers)</v>
      </c>
      <c r="D118" s="134"/>
      <c r="E118" s="229">
        <f>'Unit Data from Audit Worksheet'!F135</f>
        <v>0</v>
      </c>
      <c r="F118" s="222"/>
      <c r="G118" s="224"/>
      <c r="H118" s="221"/>
      <c r="I118" s="32"/>
      <c r="J118" s="220">
        <v>986</v>
      </c>
      <c r="K118" s="209" t="s">
        <v>584</v>
      </c>
      <c r="L118" s="293">
        <f t="shared" si="13"/>
        <v>0</v>
      </c>
      <c r="P118" s="194"/>
      <c r="X118" s="549">
        <v>986</v>
      </c>
      <c r="Y118" s="284">
        <v>986</v>
      </c>
      <c r="AA118" s="384">
        <f t="shared" si="9"/>
        <v>0</v>
      </c>
      <c r="AB118" s="284">
        <f t="shared" si="10"/>
        <v>0</v>
      </c>
    </row>
    <row r="119" spans="1:28" ht="47.25" customHeight="1" x14ac:dyDescent="0.3">
      <c r="A119" s="210">
        <f>'Unit Data from Audit Worksheet'!A136</f>
        <v>353</v>
      </c>
      <c r="B119" s="223" t="str">
        <f>'Unit Data from Audit Worksheet'!C136</f>
        <v>Water Sewer Revenue, Expenses &amp; Changes in Fund Net Position</v>
      </c>
      <c r="C119" s="209" t="str">
        <f>'Unit Data from Audit Worksheet'!D136</f>
        <v>Total Transfers out</v>
      </c>
      <c r="D119" s="134"/>
      <c r="E119" s="229">
        <f>'Unit Data from Audit Worksheet'!F136</f>
        <v>0</v>
      </c>
      <c r="F119" s="222">
        <f>IF(L119&lt;0,"Error: Enter as a positive.",)</f>
        <v>0</v>
      </c>
      <c r="G119" s="224"/>
      <c r="H119" s="221"/>
      <c r="I119" s="32"/>
      <c r="J119" s="34">
        <v>353</v>
      </c>
      <c r="K119" s="219" t="s">
        <v>226</v>
      </c>
      <c r="L119" s="287">
        <f t="shared" si="13"/>
        <v>0</v>
      </c>
      <c r="P119" s="194"/>
      <c r="X119" s="549">
        <v>353</v>
      </c>
      <c r="Y119" s="284">
        <v>353</v>
      </c>
      <c r="AA119" s="384">
        <f t="shared" si="9"/>
        <v>0</v>
      </c>
      <c r="AB119" s="284">
        <f t="shared" si="10"/>
        <v>0</v>
      </c>
    </row>
    <row r="120" spans="1:28" ht="72.75" customHeight="1" x14ac:dyDescent="0.3">
      <c r="A120" s="210">
        <f>'Unit Data from Audit Worksheet'!A137</f>
        <v>50</v>
      </c>
      <c r="B120" s="223" t="str">
        <f>'Unit Data from Audit Worksheet'!C137</f>
        <v>Water Sewer Revenue, Expenses &amp; Changes in Fund Net Position</v>
      </c>
      <c r="C120" s="209" t="str">
        <f>'Unit Data from Audit Worksheet'!D137</f>
        <v>Change in net position - Increase in net position is recorded as a positive and a (Decrease) in net position is recorded as a negative.</v>
      </c>
      <c r="D120" s="134"/>
      <c r="E120" s="139">
        <f>'Unit Data from Audit Worksheet'!F137</f>
        <v>0</v>
      </c>
      <c r="F120" s="222">
        <f>IF(L109-L111+L113-L114+L117+L115-L119-L120=0,,"Error:Total revenues less total expenses do not equal total change in net position. Acct # 84-85+350-351+191+352-353-50")</f>
        <v>0</v>
      </c>
      <c r="G120" s="84">
        <f>+L109-L111+L113-L114+L117+L115-L119-L120</f>
        <v>0</v>
      </c>
      <c r="H120" s="221"/>
      <c r="I120" s="32"/>
      <c r="J120" s="220">
        <v>50</v>
      </c>
      <c r="K120" s="219" t="s">
        <v>92</v>
      </c>
      <c r="L120" s="287">
        <f t="shared" si="13"/>
        <v>0</v>
      </c>
      <c r="P120" s="194"/>
      <c r="X120" s="549">
        <v>50</v>
      </c>
      <c r="Y120" s="284">
        <v>50</v>
      </c>
      <c r="AA120" s="384">
        <f t="shared" si="9"/>
        <v>0</v>
      </c>
      <c r="AB120" s="284">
        <f t="shared" si="10"/>
        <v>0</v>
      </c>
    </row>
    <row r="121" spans="1:28" ht="144" customHeight="1" x14ac:dyDescent="0.3">
      <c r="A121" s="210">
        <f>'Unit Data from Audit Worksheet'!A138</f>
        <v>377</v>
      </c>
      <c r="B121" s="223" t="str">
        <f>'Unit Data from Audit Worksheet'!C138</f>
        <v>Water Sewer Revenue, Expenses &amp; Changes in Fund Net Position</v>
      </c>
      <c r="C121" s="209"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1" t="e">
        <f>'Unit Data from Audit Worksheet'!I138</f>
        <v>#N/A</v>
      </c>
      <c r="I121" s="32"/>
      <c r="J121" s="220">
        <v>377</v>
      </c>
      <c r="K121" s="219" t="s">
        <v>101</v>
      </c>
      <c r="L121" s="287">
        <f t="shared" si="13"/>
        <v>0</v>
      </c>
      <c r="P121" s="194"/>
      <c r="X121" s="549">
        <v>377</v>
      </c>
      <c r="Y121" s="284">
        <v>377</v>
      </c>
      <c r="AA121" s="384">
        <f t="shared" si="9"/>
        <v>0</v>
      </c>
      <c r="AB121" s="284">
        <f t="shared" si="10"/>
        <v>0</v>
      </c>
    </row>
    <row r="122" spans="1:28" ht="63" customHeight="1" x14ac:dyDescent="0.3">
      <c r="A122" s="310">
        <f>'Unit Data from Audit Worksheet'!A139</f>
        <v>537</v>
      </c>
      <c r="B122" s="223" t="str">
        <f>'Unit Data from Audit Worksheet'!C139</f>
        <v>Water Sewer Revenue, Expenses &amp; Changes in Fund Net Position</v>
      </c>
      <c r="C122" s="209" t="str">
        <f>'Unit Data from Audit Worksheet'!D139</f>
        <v>Did unit raise Water Sewer rates during the audited fiscal period? - answer Yes =1 or No= 2</v>
      </c>
      <c r="D122" s="129"/>
      <c r="E122" s="229">
        <f>'Unit Data from Audit Worksheet'!F139</f>
        <v>0</v>
      </c>
      <c r="F122" s="222" t="s">
        <v>309</v>
      </c>
      <c r="G122" s="224"/>
      <c r="H122" s="221"/>
      <c r="I122" s="32"/>
      <c r="J122" s="60">
        <v>537</v>
      </c>
      <c r="K122" s="58" t="s">
        <v>280</v>
      </c>
      <c r="L122" s="287">
        <f t="shared" si="13"/>
        <v>0</v>
      </c>
      <c r="N122" s="54" t="s">
        <v>299</v>
      </c>
      <c r="P122" s="194"/>
      <c r="X122" s="549">
        <v>537</v>
      </c>
      <c r="Y122" s="284">
        <v>537</v>
      </c>
      <c r="AA122" s="384">
        <f t="shared" si="9"/>
        <v>0</v>
      </c>
      <c r="AB122" s="284">
        <f t="shared" si="10"/>
        <v>0</v>
      </c>
    </row>
    <row r="123" spans="1:28" ht="63.75" customHeight="1" x14ac:dyDescent="0.3">
      <c r="A123" s="310">
        <f>'Unit Data from Audit Worksheet'!A140</f>
        <v>538</v>
      </c>
      <c r="B123" s="223" t="str">
        <f>'Unit Data from Audit Worksheet'!C140</f>
        <v>Water Sewer Revenue, Expenses &amp; Changes in Fund Net Position</v>
      </c>
      <c r="C123" s="209" t="str">
        <f>'Unit Data from Audit Worksheet'!D140</f>
        <v>Did unit raise Water Sewer rates during the budget year following the audited fiscal year? - answer Yes=1 or No=2</v>
      </c>
      <c r="D123" s="129"/>
      <c r="E123" s="229">
        <f>'Unit Data from Audit Worksheet'!F140</f>
        <v>0</v>
      </c>
      <c r="F123" s="222" t="s">
        <v>309</v>
      </c>
      <c r="G123" s="224"/>
      <c r="H123" s="221"/>
      <c r="I123" s="32"/>
      <c r="J123" s="60">
        <v>538</v>
      </c>
      <c r="K123" s="58" t="s">
        <v>279</v>
      </c>
      <c r="L123" s="287">
        <f t="shared" si="13"/>
        <v>0</v>
      </c>
      <c r="N123" s="54" t="s">
        <v>299</v>
      </c>
      <c r="P123" s="194"/>
      <c r="X123" s="549">
        <v>538</v>
      </c>
      <c r="Y123" s="284">
        <v>538</v>
      </c>
      <c r="AA123" s="384">
        <f t="shared" si="9"/>
        <v>0</v>
      </c>
      <c r="AB123" s="284">
        <f t="shared" si="10"/>
        <v>0</v>
      </c>
    </row>
    <row r="124" spans="1:28" ht="47.25" customHeight="1" x14ac:dyDescent="0.3">
      <c r="A124" s="210">
        <f>'Unit Data from Audit Worksheet'!A142</f>
        <v>97</v>
      </c>
      <c r="B124" s="223" t="str">
        <f>'Unit Data from Audit Worksheet'!C142</f>
        <v>Electric Fund Revenue, Expenses &amp; Changes in Fund Net Position</v>
      </c>
      <c r="C124" s="209" t="str">
        <f>'Unit Data from Audit Worksheet'!D142</f>
        <v>Charges for services</v>
      </c>
      <c r="D124" s="228"/>
      <c r="E124" s="229">
        <f>'Unit Data from Audit Worksheet'!F142</f>
        <v>0</v>
      </c>
      <c r="F124" s="222">
        <f>IF(L124&lt;0,"Error: Enter as a positive.",)</f>
        <v>0</v>
      </c>
      <c r="G124" s="224"/>
      <c r="H124" s="221"/>
      <c r="I124" s="32"/>
      <c r="J124" s="220">
        <v>97</v>
      </c>
      <c r="K124" s="219" t="s">
        <v>227</v>
      </c>
      <c r="L124" s="287">
        <f t="shared" ref="L124:L200" si="15">IF(D124="",E124,D124)</f>
        <v>0</v>
      </c>
      <c r="P124" s="194"/>
      <c r="X124" s="549">
        <v>97</v>
      </c>
      <c r="Y124" s="284">
        <v>97</v>
      </c>
      <c r="AA124" s="384">
        <f t="shared" si="9"/>
        <v>0</v>
      </c>
      <c r="AB124" s="284">
        <f t="shared" si="10"/>
        <v>0</v>
      </c>
    </row>
    <row r="125" spans="1:28" ht="45.75" customHeight="1" x14ac:dyDescent="0.3">
      <c r="A125" s="210">
        <f>'Unit Data from Audit Worksheet'!A143</f>
        <v>93</v>
      </c>
      <c r="B125" s="223" t="str">
        <f>'Unit Data from Audit Worksheet'!C143</f>
        <v>Electric Fund Revenue, Expenses &amp; Changes in Fund Net Position</v>
      </c>
      <c r="C125" s="209" t="str">
        <f>'Unit Data from Audit Worksheet'!D143</f>
        <v>Total Operating revenues</v>
      </c>
      <c r="D125" s="228"/>
      <c r="E125" s="229">
        <f>'Unit Data from Audit Worksheet'!F143</f>
        <v>0</v>
      </c>
      <c r="F125" s="222" t="str">
        <f>IF(L124&gt;L125,"Error: Charges for services exceeds total operating revenues Acct 97&gt;=93"," ")</f>
        <v xml:space="preserve"> </v>
      </c>
      <c r="G125" s="224" t="str">
        <f>IF(Q105=1," Included in error count"," ")</f>
        <v xml:space="preserve"> </v>
      </c>
      <c r="H125" s="221"/>
      <c r="I125" s="32"/>
      <c r="J125" s="220">
        <v>93</v>
      </c>
      <c r="K125" s="219" t="s">
        <v>228</v>
      </c>
      <c r="L125" s="287">
        <f t="shared" si="15"/>
        <v>0</v>
      </c>
      <c r="P125" s="194"/>
      <c r="X125" s="549">
        <v>93</v>
      </c>
      <c r="Y125" s="284">
        <v>93</v>
      </c>
      <c r="AA125" s="384">
        <f t="shared" si="9"/>
        <v>0</v>
      </c>
      <c r="AB125" s="284">
        <f t="shared" si="10"/>
        <v>0</v>
      </c>
    </row>
    <row r="126" spans="1:28" ht="45.75" customHeight="1" x14ac:dyDescent="0.3">
      <c r="A126" s="210">
        <f>'Unit Data from Audit Worksheet'!A144</f>
        <v>99</v>
      </c>
      <c r="B126" s="223" t="str">
        <f>'Unit Data from Audit Worksheet'!C144</f>
        <v>Electric Fund Revenue, Expenses &amp; Changes in Fund Net Position</v>
      </c>
      <c r="C126" s="209" t="str">
        <f>'Unit Data from Audit Worksheet'!D144</f>
        <v>Electrical power purchases</v>
      </c>
      <c r="D126" s="228"/>
      <c r="E126" s="229">
        <f>'Unit Data from Audit Worksheet'!F144</f>
        <v>0</v>
      </c>
      <c r="F126" s="222">
        <f>IF(L126&lt;0,"Error: Enter as a positive.",)</f>
        <v>0</v>
      </c>
      <c r="G126" s="224"/>
      <c r="H126" s="221"/>
      <c r="I126" s="32"/>
      <c r="J126" s="220">
        <v>99</v>
      </c>
      <c r="K126" s="219" t="s">
        <v>229</v>
      </c>
      <c r="L126" s="287">
        <f t="shared" si="15"/>
        <v>0</v>
      </c>
      <c r="P126" s="194"/>
      <c r="S126" s="18"/>
      <c r="T126" s="18"/>
      <c r="U126" s="18"/>
      <c r="V126" s="18"/>
      <c r="X126" s="549">
        <v>99</v>
      </c>
      <c r="Y126" s="284">
        <v>99</v>
      </c>
      <c r="Z126" s="18"/>
      <c r="AA126" s="384">
        <f t="shared" si="9"/>
        <v>0</v>
      </c>
      <c r="AB126" s="284">
        <f t="shared" si="10"/>
        <v>0</v>
      </c>
    </row>
    <row r="127" spans="1:28" ht="45.75" customHeight="1" x14ac:dyDescent="0.3">
      <c r="A127" s="210">
        <f>'Unit Data from Audit Worksheet'!A145</f>
        <v>52</v>
      </c>
      <c r="B127" s="223" t="str">
        <f>'Unit Data from Audit Worksheet'!C145</f>
        <v>Electric Fund Revenue, Expenses &amp; Changes in Fund Net Position</v>
      </c>
      <c r="C127" s="209" t="str">
        <f>'Unit Data from Audit Worksheet'!D145</f>
        <v>Depreciation and amortization expense</v>
      </c>
      <c r="D127" s="228"/>
      <c r="E127" s="229">
        <f>'Unit Data from Audit Worksheet'!F145</f>
        <v>0</v>
      </c>
      <c r="F127" s="222">
        <f>IF(L127&lt;0,"Error: Enter as a positive.",)</f>
        <v>0</v>
      </c>
      <c r="G127" s="224"/>
      <c r="H127" s="221"/>
      <c r="I127" s="32"/>
      <c r="J127" s="220">
        <v>52</v>
      </c>
      <c r="K127" s="219" t="s">
        <v>230</v>
      </c>
      <c r="L127" s="287">
        <f t="shared" si="15"/>
        <v>0</v>
      </c>
      <c r="P127" s="194"/>
      <c r="X127" s="549">
        <v>52</v>
      </c>
      <c r="Y127" s="284">
        <v>52</v>
      </c>
      <c r="AA127" s="384">
        <f t="shared" si="9"/>
        <v>0</v>
      </c>
      <c r="AB127" s="284">
        <f t="shared" si="10"/>
        <v>0</v>
      </c>
    </row>
    <row r="128" spans="1:28" ht="45.75" customHeight="1" x14ac:dyDescent="0.3">
      <c r="A128" s="210">
        <f>'Unit Data from Audit Worksheet'!A146</f>
        <v>94</v>
      </c>
      <c r="B128" s="223" t="str">
        <f>'Unit Data from Audit Worksheet'!C146</f>
        <v>Electric Fund Revenue, Expenses &amp; Changes in Fund Net Position</v>
      </c>
      <c r="C128" s="209" t="str">
        <f>'Unit Data from Audit Worksheet'!D146</f>
        <v>Total Operating expenses</v>
      </c>
      <c r="D128" s="228"/>
      <c r="E128" s="229">
        <f>'Unit Data from Audit Worksheet'!F146</f>
        <v>0</v>
      </c>
      <c r="F128" s="222">
        <f>IF(L128&lt;0,"Error: Enter as a positive.",)</f>
        <v>0</v>
      </c>
      <c r="G128" s="224"/>
      <c r="H128" s="221"/>
      <c r="I128" s="32"/>
      <c r="J128" s="220">
        <v>94</v>
      </c>
      <c r="K128" s="219" t="s">
        <v>231</v>
      </c>
      <c r="L128" s="287">
        <f t="shared" si="15"/>
        <v>0</v>
      </c>
      <c r="P128" s="194"/>
      <c r="X128" s="549">
        <v>94</v>
      </c>
      <c r="Y128" s="284">
        <v>94</v>
      </c>
      <c r="AA128" s="384">
        <f t="shared" si="9"/>
        <v>0</v>
      </c>
      <c r="AB128" s="284">
        <f t="shared" si="10"/>
        <v>0</v>
      </c>
    </row>
    <row r="129" spans="1:28" ht="46.5" customHeight="1" x14ac:dyDescent="0.3">
      <c r="A129" s="210">
        <f>'Unit Data from Audit Worksheet'!A147</f>
        <v>98</v>
      </c>
      <c r="B129" s="223" t="str">
        <f>'Unit Data from Audit Worksheet'!C147</f>
        <v>Electric Fund Revenue, Expenses &amp; Changes in Fund Net Position</v>
      </c>
      <c r="C129" s="209" t="str">
        <f>'Unit Data from Audit Worksheet'!D147</f>
        <v>Interest expense</v>
      </c>
      <c r="D129" s="228"/>
      <c r="E129" s="229">
        <f>'Unit Data from Audit Worksheet'!F147</f>
        <v>0</v>
      </c>
      <c r="F129" s="222">
        <f>IF(L129&lt;0,"Error: Enter as a positive.",)</f>
        <v>0</v>
      </c>
      <c r="G129" s="224"/>
      <c r="H129" s="221"/>
      <c r="I129" s="32"/>
      <c r="J129" s="220">
        <v>98</v>
      </c>
      <c r="K129" s="219" t="s">
        <v>232</v>
      </c>
      <c r="L129" s="287">
        <f t="shared" si="15"/>
        <v>0</v>
      </c>
      <c r="P129" s="194"/>
      <c r="X129" s="549">
        <v>98</v>
      </c>
      <c r="Y129" s="284">
        <v>98</v>
      </c>
      <c r="AA129" s="384">
        <f t="shared" si="9"/>
        <v>0</v>
      </c>
      <c r="AB129" s="284">
        <f t="shared" si="10"/>
        <v>0</v>
      </c>
    </row>
    <row r="130" spans="1:28" ht="51" customHeight="1" x14ac:dyDescent="0.3">
      <c r="A130" s="210">
        <f>'Unit Data from Audit Worksheet'!A148</f>
        <v>363</v>
      </c>
      <c r="B130" s="223" t="str">
        <f>'Unit Data from Audit Worksheet'!C148</f>
        <v>Electric Fund Revenue, Expenses &amp; Changes in Fund Net Position</v>
      </c>
      <c r="C130" s="209" t="str">
        <f>'Unit Data from Audit Worksheet'!D148</f>
        <v>Total all the non-operating revenues  
Exclude Capital Contributions.</v>
      </c>
      <c r="D130" s="228"/>
      <c r="E130" s="229">
        <f>'Unit Data from Audit Worksheet'!F148</f>
        <v>0</v>
      </c>
      <c r="F130" s="222"/>
      <c r="G130" s="224"/>
      <c r="H130" s="221"/>
      <c r="I130" s="32"/>
      <c r="J130" s="220">
        <v>363</v>
      </c>
      <c r="K130" s="219" t="s">
        <v>233</v>
      </c>
      <c r="L130" s="287">
        <f t="shared" si="15"/>
        <v>0</v>
      </c>
      <c r="P130" s="194"/>
      <c r="X130" s="549">
        <v>363</v>
      </c>
      <c r="Y130" s="284">
        <v>363</v>
      </c>
      <c r="AA130" s="384">
        <f t="shared" si="9"/>
        <v>0</v>
      </c>
      <c r="AB130" s="284">
        <f t="shared" si="10"/>
        <v>0</v>
      </c>
    </row>
    <row r="131" spans="1:28" ht="60" customHeight="1" x14ac:dyDescent="0.3">
      <c r="A131" s="210">
        <f>'Unit Data from Audit Worksheet'!A149</f>
        <v>364</v>
      </c>
      <c r="B131" s="223" t="str">
        <f>'Unit Data from Audit Worksheet'!C149</f>
        <v>Electric Fund Revenue, Expenses &amp; Changes in Fund Net Position</v>
      </c>
      <c r="C131" s="209" t="str">
        <f>'Unit Data from Audit Worksheet'!D149</f>
        <v>Total all non-operating expenses.  
Include negative special, extraordinary, or capital contribution.</v>
      </c>
      <c r="D131" s="228"/>
      <c r="E131" s="229">
        <f>'Unit Data from Audit Worksheet'!F149</f>
        <v>0</v>
      </c>
      <c r="F131" s="222">
        <f>IF(L131&lt;0,"Error: Enter as a positive.",)</f>
        <v>0</v>
      </c>
      <c r="G131" s="224"/>
      <c r="H131" s="221"/>
      <c r="I131" s="32"/>
      <c r="J131" s="220">
        <v>364</v>
      </c>
      <c r="K131" s="219" t="s">
        <v>234</v>
      </c>
      <c r="L131" s="287">
        <f t="shared" si="15"/>
        <v>0</v>
      </c>
      <c r="P131" s="194"/>
      <c r="X131" s="549">
        <v>364</v>
      </c>
      <c r="Y131" s="284">
        <v>364</v>
      </c>
      <c r="AA131" s="384">
        <f t="shared" si="9"/>
        <v>0</v>
      </c>
      <c r="AB131" s="284">
        <f t="shared" si="10"/>
        <v>0</v>
      </c>
    </row>
    <row r="132" spans="1:28" ht="89.25" customHeight="1" x14ac:dyDescent="0.3">
      <c r="A132" s="210">
        <f>'Unit Data from Audit Worksheet'!A150</f>
        <v>192</v>
      </c>
      <c r="B132" s="223" t="str">
        <f>'Unit Data from Audit Worksheet'!C150</f>
        <v>Electric Fund Revenue, Expenses &amp; Changes in Fund Net Position</v>
      </c>
      <c r="C132" s="209" t="str">
        <f>'Unit Data from Audit Worksheet'!D150</f>
        <v>Capital Contributions.  
Include only positive capital Contributions.  Negative capital contributions should be included with 'Total all non-operating expenses.'</v>
      </c>
      <c r="D132" s="228"/>
      <c r="E132" s="229">
        <f>'Unit Data from Audit Worksheet'!F150</f>
        <v>0</v>
      </c>
      <c r="F132" s="222">
        <f>IF(L132&lt;0,"Error: Enter as a positive.",)</f>
        <v>0</v>
      </c>
      <c r="G132" s="224"/>
      <c r="H132" s="221"/>
      <c r="I132" s="32"/>
      <c r="J132" s="220">
        <v>192</v>
      </c>
      <c r="K132" s="219" t="s">
        <v>235</v>
      </c>
      <c r="L132" s="287">
        <f t="shared" si="15"/>
        <v>0</v>
      </c>
      <c r="P132" s="194"/>
      <c r="X132" s="549">
        <v>192</v>
      </c>
      <c r="Y132" s="284">
        <v>192</v>
      </c>
      <c r="AA132" s="384">
        <f t="shared" si="9"/>
        <v>0</v>
      </c>
      <c r="AB132" s="284">
        <f t="shared" si="10"/>
        <v>0</v>
      </c>
    </row>
    <row r="133" spans="1:28" s="384" customFormat="1" ht="89.25" customHeight="1" x14ac:dyDescent="0.3">
      <c r="A133" s="210">
        <f>'Unit Data from Audit Worksheet'!A151</f>
        <v>1054</v>
      </c>
      <c r="B133" s="223" t="str">
        <f>'Unit Data from Audit Worksheet'!C151</f>
        <v>Electric Fund Revenue, Expenses &amp; Changes in Fund Net Position</v>
      </c>
      <c r="C133" s="209" t="str">
        <f>'Unit Data from Audit Worksheet'!D151</f>
        <v xml:space="preserve"> Mark to Market unrealized losses in the Electric Fund. (enter as a negative number)</v>
      </c>
      <c r="D133" s="228"/>
      <c r="E133" s="229">
        <f>'Unit Data from Audit Worksheet'!F151</f>
        <v>0</v>
      </c>
      <c r="F133" s="222"/>
      <c r="G133" s="224"/>
      <c r="H133" s="221"/>
      <c r="I133" s="32"/>
      <c r="J133" s="220">
        <v>1054</v>
      </c>
      <c r="K133" s="209" t="s">
        <v>1435</v>
      </c>
      <c r="L133" s="287">
        <f t="shared" si="15"/>
        <v>0</v>
      </c>
      <c r="M133"/>
      <c r="P133" s="194"/>
      <c r="Q133" s="277"/>
      <c r="X133" s="549"/>
      <c r="Y133" s="284"/>
      <c r="AA133" s="384">
        <f t="shared" si="9"/>
        <v>0</v>
      </c>
      <c r="AB133" s="284"/>
    </row>
    <row r="134" spans="1:28" ht="42.75" customHeight="1" x14ac:dyDescent="0.3">
      <c r="A134" s="210">
        <f>'Unit Data from Audit Worksheet'!A152</f>
        <v>365</v>
      </c>
      <c r="B134" s="223" t="str">
        <f>'Unit Data from Audit Worksheet'!C152</f>
        <v>Electric Fund Revenue, Expenses &amp; Changes in Fund Net Position</v>
      </c>
      <c r="C134" s="209" t="str">
        <f>'Unit Data from Audit Worksheet'!D152</f>
        <v>Total Transfers In (From all Funds)</v>
      </c>
      <c r="D134" s="228"/>
      <c r="E134" s="229">
        <f>'Unit Data from Audit Worksheet'!F152</f>
        <v>0</v>
      </c>
      <c r="F134" s="222"/>
      <c r="G134" s="224"/>
      <c r="H134" s="221"/>
      <c r="I134" s="32"/>
      <c r="J134" s="220">
        <v>365</v>
      </c>
      <c r="K134" s="219" t="s">
        <v>236</v>
      </c>
      <c r="L134" s="287">
        <f t="shared" si="15"/>
        <v>0</v>
      </c>
      <c r="P134" s="194"/>
      <c r="X134" s="549">
        <v>365</v>
      </c>
      <c r="Y134" s="284">
        <v>365</v>
      </c>
      <c r="AA134" s="384">
        <f t="shared" si="9"/>
        <v>0</v>
      </c>
      <c r="AB134" s="284">
        <f t="shared" si="10"/>
        <v>0</v>
      </c>
    </row>
    <row r="135" spans="1:28" ht="42.75" customHeight="1" x14ac:dyDescent="0.3">
      <c r="A135" s="210">
        <f>'Unit Data from Audit Worksheet'!A153</f>
        <v>366</v>
      </c>
      <c r="B135" s="223" t="str">
        <f>'Unit Data from Audit Worksheet'!C153</f>
        <v>Electric Fund Revenue, Expenses &amp; Changes in Fund Net Position</v>
      </c>
      <c r="C135" s="209" t="str">
        <f>'Unit Data from Audit Worksheet'!D153</f>
        <v>Total Transfers Out (To all funds)</v>
      </c>
      <c r="D135" s="228"/>
      <c r="E135" s="229">
        <f>'Unit Data from Audit Worksheet'!F153</f>
        <v>0</v>
      </c>
      <c r="F135" s="222">
        <f>IF(L135&lt;0,"Error: Enter as a positive.",)</f>
        <v>0</v>
      </c>
      <c r="G135" s="224"/>
      <c r="H135" s="221"/>
      <c r="I135" s="32"/>
      <c r="J135" s="220">
        <v>366</v>
      </c>
      <c r="K135" s="219" t="s">
        <v>291</v>
      </c>
      <c r="L135" s="287">
        <f t="shared" si="15"/>
        <v>0</v>
      </c>
      <c r="P135" s="194"/>
      <c r="X135" s="549">
        <v>366</v>
      </c>
      <c r="Y135" s="284">
        <v>366</v>
      </c>
      <c r="AA135" s="384">
        <f t="shared" si="9"/>
        <v>0</v>
      </c>
      <c r="AB135" s="284">
        <f t="shared" si="10"/>
        <v>0</v>
      </c>
    </row>
    <row r="136" spans="1:28" s="18" customFormat="1" ht="76.5" customHeight="1" x14ac:dyDescent="0.3">
      <c r="A136" s="210">
        <f>'Unit Data from Audit Worksheet'!A154</f>
        <v>53</v>
      </c>
      <c r="B136" s="223" t="str">
        <f>'Unit Data from Audit Worksheet'!C154</f>
        <v>Electric Fund Revenue, Expenses &amp; Changes in Fund Net Position</v>
      </c>
      <c r="C136" s="209" t="str">
        <f>'Unit Data from Audit Worksheet'!D154</f>
        <v>Change in net position - Increase in net position is recorded as a positive and a (decrease) in net position is recorded as a negative.</v>
      </c>
      <c r="D136" s="228"/>
      <c r="E136" s="229">
        <f>'Unit Data from Audit Worksheet'!F154</f>
        <v>0</v>
      </c>
      <c r="F136" s="222">
        <f>IF(L125-L128+L130-L131+L132+L134-L135-L136=0,,"Error: Total revenues less total exp. does not equal change in net position Acct 93-94+363-364+192+365-366-53=0")</f>
        <v>0</v>
      </c>
      <c r="G136" s="84">
        <f>+L125-L128+L130-L131+L132+L134-L135-L136</f>
        <v>0</v>
      </c>
      <c r="H136" s="221"/>
      <c r="I136" s="32"/>
      <c r="J136" s="220">
        <v>53</v>
      </c>
      <c r="K136" s="219" t="s">
        <v>93</v>
      </c>
      <c r="L136" s="287">
        <f t="shared" si="15"/>
        <v>0</v>
      </c>
      <c r="M136"/>
      <c r="P136" s="194"/>
      <c r="Q136" s="277"/>
      <c r="R136" s="3"/>
      <c r="S136" s="3"/>
      <c r="T136" s="3"/>
      <c r="U136" s="3"/>
      <c r="V136" s="3"/>
      <c r="W136" s="3"/>
      <c r="X136" s="549">
        <v>53</v>
      </c>
      <c r="Y136" s="284">
        <v>53</v>
      </c>
      <c r="Z136" s="3"/>
      <c r="AA136" s="384">
        <f t="shared" si="9"/>
        <v>0</v>
      </c>
      <c r="AB136" s="284">
        <f t="shared" si="10"/>
        <v>0</v>
      </c>
    </row>
    <row r="137" spans="1:28" ht="140.25" customHeight="1" x14ac:dyDescent="0.3">
      <c r="A137" s="210">
        <f>'Unit Data from Audit Worksheet'!A155</f>
        <v>378</v>
      </c>
      <c r="B137" s="223" t="str">
        <f>'Unit Data from Audit Worksheet'!C155</f>
        <v>Electric Fund Revenue, Expenses &amp; Changes in Fund Net Position</v>
      </c>
      <c r="C137" s="209"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28"/>
      <c r="E137" s="229">
        <f>+'Unit Data from Audit Worksheet'!F155</f>
        <v>0</v>
      </c>
      <c r="F137" s="222" t="e">
        <f>IF(L107-L136-L137=O107,,"Error: Beg. Bal does not agree with our records Acct 362-53-378= pr yr 362")</f>
        <v>#N/A</v>
      </c>
      <c r="G137" s="84" t="e">
        <f>L107-L136-L137-O107</f>
        <v>#N/A</v>
      </c>
      <c r="H137" s="221" t="e">
        <f>'Unit Data from Audit Worksheet'!I155</f>
        <v>#N/A</v>
      </c>
      <c r="I137" s="32"/>
      <c r="J137" s="220">
        <v>378</v>
      </c>
      <c r="K137" s="219" t="s">
        <v>102</v>
      </c>
      <c r="L137" s="287">
        <f t="shared" si="15"/>
        <v>0</v>
      </c>
      <c r="P137" s="194"/>
      <c r="X137" s="549">
        <v>378</v>
      </c>
      <c r="Y137" s="284">
        <v>378</v>
      </c>
      <c r="AA137" s="384">
        <f t="shared" si="9"/>
        <v>0</v>
      </c>
      <c r="AB137" s="284">
        <f t="shared" si="10"/>
        <v>0</v>
      </c>
    </row>
    <row r="138" spans="1:28" ht="28.8" x14ac:dyDescent="0.3">
      <c r="A138" s="210">
        <f>'Unit Data from Audit Worksheet'!A160</f>
        <v>51</v>
      </c>
      <c r="B138" s="223" t="str">
        <f>'Unit Data from Audit Worksheet'!C160</f>
        <v>Water Sewer Cash Flow Statement</v>
      </c>
      <c r="C138" s="209" t="str">
        <f>'Unit Data from Audit Worksheet'!D160</f>
        <v>Total Cash flow from operating activities  - (Enter negative cash flows as negative)</v>
      </c>
      <c r="D138" s="228"/>
      <c r="E138" s="229">
        <f>'Unit Data from Audit Worksheet'!F160</f>
        <v>0</v>
      </c>
      <c r="F138" s="222"/>
      <c r="G138" s="224"/>
      <c r="H138" s="221"/>
      <c r="I138" s="32"/>
      <c r="J138" s="220">
        <v>51</v>
      </c>
      <c r="K138" s="219" t="s">
        <v>237</v>
      </c>
      <c r="L138" s="287">
        <f t="shared" si="15"/>
        <v>0</v>
      </c>
      <c r="P138" s="194"/>
      <c r="X138" s="549">
        <v>51</v>
      </c>
      <c r="Y138" s="284">
        <v>51</v>
      </c>
      <c r="AA138" s="384">
        <f t="shared" ref="AA138:AA209" si="16">A138-J138</f>
        <v>0</v>
      </c>
      <c r="AB138" s="284">
        <f t="shared" ref="AB138:AB209" si="17">E138-L138</f>
        <v>0</v>
      </c>
    </row>
    <row r="139" spans="1:28" ht="64.5" customHeight="1" x14ac:dyDescent="0.3">
      <c r="A139" s="210">
        <f>'Unit Data from Audit Worksheet'!A161</f>
        <v>332</v>
      </c>
      <c r="B139" s="223" t="str">
        <f>'Unit Data from Audit Worksheet'!C161</f>
        <v>Water Sewer Cash Flow Statement</v>
      </c>
      <c r="C139" s="209" t="str">
        <f>'Unit Data from Audit Worksheet'!D161</f>
        <v>Total Capital outlay. 
Include acquisition and construction of capital assets.</v>
      </c>
      <c r="D139" s="228"/>
      <c r="E139" s="229">
        <f>'Unit Data from Audit Worksheet'!F161</f>
        <v>0</v>
      </c>
      <c r="F139" s="222">
        <f>IF(L139&lt;0,"Error: Enter as a positive.",)</f>
        <v>0</v>
      </c>
      <c r="G139" s="224"/>
      <c r="H139" s="221"/>
      <c r="I139" s="32"/>
      <c r="J139" s="220">
        <v>332</v>
      </c>
      <c r="K139" s="219" t="s">
        <v>239</v>
      </c>
      <c r="L139" s="287">
        <f t="shared" si="15"/>
        <v>0</v>
      </c>
      <c r="O139" s="294"/>
      <c r="P139" s="194"/>
      <c r="X139" s="549">
        <v>332</v>
      </c>
      <c r="Y139" s="284">
        <v>332</v>
      </c>
      <c r="AA139" s="384">
        <f t="shared" si="16"/>
        <v>0</v>
      </c>
      <c r="AB139" s="284">
        <f t="shared" si="17"/>
        <v>0</v>
      </c>
    </row>
    <row r="140" spans="1:28" ht="58.5" customHeight="1" x14ac:dyDescent="0.3">
      <c r="A140" s="210">
        <f>'Unit Data from Audit Worksheet'!A162</f>
        <v>331</v>
      </c>
      <c r="B140" s="223" t="str">
        <f>'Unit Data from Audit Worksheet'!C162</f>
        <v>Water Sewer Cash Flow Statement</v>
      </c>
      <c r="C140" s="209" t="str">
        <f>'Unit Data from Audit Worksheet'!D162</f>
        <v>Principal paid on long-term debt.  Amount should be reduced by principal payments for debt refunding.</v>
      </c>
      <c r="D140" s="228"/>
      <c r="E140" s="229">
        <f>'Unit Data from Audit Worksheet'!F162</f>
        <v>0</v>
      </c>
      <c r="F140" s="222">
        <f>IF(L140&lt;0,"Error: Enter as a positive.",)</f>
        <v>0</v>
      </c>
      <c r="G140" s="224"/>
      <c r="H140" s="221"/>
      <c r="I140" s="32"/>
      <c r="J140" s="220">
        <v>331</v>
      </c>
      <c r="K140" s="219" t="s">
        <v>238</v>
      </c>
      <c r="L140" s="287">
        <f t="shared" si="15"/>
        <v>0</v>
      </c>
      <c r="O140" s="294"/>
      <c r="P140" s="194"/>
      <c r="X140" s="549">
        <v>331</v>
      </c>
      <c r="Y140" s="284">
        <v>331</v>
      </c>
      <c r="AA140" s="384">
        <f t="shared" si="16"/>
        <v>0</v>
      </c>
      <c r="AB140" s="284">
        <f t="shared" si="17"/>
        <v>0</v>
      </c>
    </row>
    <row r="141" spans="1:28" ht="51.75" customHeight="1" x14ac:dyDescent="0.3">
      <c r="A141" s="210">
        <f>'Unit Data from Audit Worksheet'!A164</f>
        <v>55</v>
      </c>
      <c r="B141" s="223" t="str">
        <f>'Unit Data from Audit Worksheet'!C164</f>
        <v>Electric Fund Cash Flow Statement</v>
      </c>
      <c r="C141" s="209" t="str">
        <f>'Unit Data from Audit Worksheet'!D164</f>
        <v>Cash flow from operating activities - (enter negative cash flows as negative)</v>
      </c>
      <c r="D141" s="228"/>
      <c r="E141" s="229">
        <f>'Unit Data from Audit Worksheet'!F164</f>
        <v>0</v>
      </c>
      <c r="F141" s="222"/>
      <c r="G141" s="224"/>
      <c r="H141" s="221"/>
      <c r="I141" s="32"/>
      <c r="J141" s="220">
        <v>55</v>
      </c>
      <c r="K141" s="219" t="s">
        <v>240</v>
      </c>
      <c r="L141" s="287">
        <f t="shared" si="15"/>
        <v>0</v>
      </c>
      <c r="P141" s="194"/>
      <c r="X141" s="549">
        <v>55</v>
      </c>
      <c r="Y141" s="284">
        <v>55</v>
      </c>
      <c r="AA141" s="384">
        <f t="shared" si="16"/>
        <v>0</v>
      </c>
      <c r="AB141" s="284">
        <f t="shared" si="17"/>
        <v>0</v>
      </c>
    </row>
    <row r="142" spans="1:28" ht="58.5" customHeight="1" x14ac:dyDescent="0.3">
      <c r="A142" s="210">
        <f>'Unit Data from Audit Worksheet'!A165</f>
        <v>101</v>
      </c>
      <c r="B142" s="223" t="str">
        <f>'Unit Data from Audit Worksheet'!C165</f>
        <v>Electric Fund Cash Flow Statement</v>
      </c>
      <c r="C142" s="209" t="str">
        <f>'Unit Data from Audit Worksheet'!D165</f>
        <v>Total Capital outlay.  
Include acquisition and construction of capital assets.</v>
      </c>
      <c r="D142" s="228"/>
      <c r="E142" s="229">
        <f>'Unit Data from Audit Worksheet'!F165</f>
        <v>0</v>
      </c>
      <c r="F142" s="222">
        <f>IF(L142&lt;0,"Error: Enter as a positive.",)</f>
        <v>0</v>
      </c>
      <c r="G142" s="224"/>
      <c r="H142" s="221"/>
      <c r="I142" s="32"/>
      <c r="J142" s="220">
        <v>101</v>
      </c>
      <c r="K142" s="219" t="s">
        <v>241</v>
      </c>
      <c r="L142" s="287">
        <f t="shared" si="15"/>
        <v>0</v>
      </c>
      <c r="P142" s="194"/>
      <c r="X142" s="549">
        <v>101</v>
      </c>
      <c r="Y142" s="284">
        <v>101</v>
      </c>
      <c r="AA142" s="384">
        <f t="shared" si="16"/>
        <v>0</v>
      </c>
      <c r="AB142" s="284">
        <f t="shared" si="17"/>
        <v>0</v>
      </c>
    </row>
    <row r="143" spans="1:28" ht="60.75" customHeight="1" x14ac:dyDescent="0.3">
      <c r="A143" s="210">
        <f>'Unit Data from Audit Worksheet'!A166</f>
        <v>100</v>
      </c>
      <c r="B143" s="223" t="str">
        <f>'Unit Data from Audit Worksheet'!C166</f>
        <v>Electric Fund Cash Flow Statement</v>
      </c>
      <c r="C143" s="209" t="str">
        <f>'Unit Data from Audit Worksheet'!D166</f>
        <v>Principal paid on long-term debt.  Amount should be reduced by principal payments for debt refunding.</v>
      </c>
      <c r="D143" s="228"/>
      <c r="E143" s="229">
        <f>'Unit Data from Audit Worksheet'!F166</f>
        <v>0</v>
      </c>
      <c r="F143" s="222">
        <f>IF(L143&lt;0,"Error: Enter as a positive.",)</f>
        <v>0</v>
      </c>
      <c r="G143" s="224"/>
      <c r="H143" s="221"/>
      <c r="I143" s="32"/>
      <c r="J143" s="220">
        <v>100</v>
      </c>
      <c r="K143" s="219" t="s">
        <v>242</v>
      </c>
      <c r="L143" s="287">
        <f t="shared" si="15"/>
        <v>0</v>
      </c>
      <c r="P143" s="194"/>
      <c r="X143" s="549">
        <v>100</v>
      </c>
      <c r="Y143" s="284">
        <v>100</v>
      </c>
      <c r="AA143" s="384">
        <f t="shared" si="16"/>
        <v>0</v>
      </c>
      <c r="AB143" s="284">
        <f t="shared" si="17"/>
        <v>0</v>
      </c>
    </row>
    <row r="144" spans="1:28" s="384" customFormat="1" ht="95.4" customHeight="1" x14ac:dyDescent="0.3">
      <c r="A144" s="210">
        <f>'Unit Data from Audit Worksheet'!A168</f>
        <v>1060</v>
      </c>
      <c r="B144" s="223">
        <f>'Unit Data from Audit Worksheet'!C168</f>
        <v>0</v>
      </c>
      <c r="C144" s="209" t="str">
        <f>'Unit Data from Audit Worksheet'!D168</f>
        <v>Total American Rescue Plan Act (ARPA) of 2021-Coronavrius State &amp; Local Fiscal Recovery Funds actually expended since inception as of June 30th.  Do not include encumbered funds in this number.</v>
      </c>
      <c r="D144" s="228"/>
      <c r="E144" s="229">
        <f>'Unit Data from Audit Worksheet'!F168</f>
        <v>0</v>
      </c>
      <c r="F144" s="222"/>
      <c r="G144" s="224"/>
      <c r="H144" s="221"/>
      <c r="I144" s="32"/>
      <c r="J144" s="220">
        <v>1060</v>
      </c>
      <c r="K144" s="209" t="s">
        <v>1436</v>
      </c>
      <c r="L144" s="287">
        <f t="shared" si="15"/>
        <v>0</v>
      </c>
      <c r="M144"/>
      <c r="P144" s="194"/>
      <c r="Q144" s="277"/>
      <c r="X144" s="549"/>
      <c r="Y144" s="284"/>
      <c r="AB144" s="284"/>
    </row>
    <row r="145" spans="1:28" s="384" customFormat="1" ht="85.95" customHeight="1" x14ac:dyDescent="0.3">
      <c r="A145" s="210">
        <f>'Unit Data from Audit Worksheet'!A169</f>
        <v>1061</v>
      </c>
      <c r="B145" s="223">
        <f>'Unit Data from Audit Worksheet'!C169</f>
        <v>0</v>
      </c>
      <c r="C145" s="209" t="str">
        <f>'Unit Data from Audit Worksheet'!D169</f>
        <v>Total American Rescue Plan Act (ARPA) of 2021-Coronavrius State &amp; Local Fiscal Recovery Funds encumbered or obligated and not yet expended since inception as of June 30th.</v>
      </c>
      <c r="D145" s="228"/>
      <c r="E145" s="229">
        <f>'Unit Data from Audit Worksheet'!F169</f>
        <v>0</v>
      </c>
      <c r="F145" s="222"/>
      <c r="G145" s="224"/>
      <c r="H145" s="221"/>
      <c r="I145" s="32"/>
      <c r="J145" s="220">
        <v>1061</v>
      </c>
      <c r="K145" s="209" t="s">
        <v>1520</v>
      </c>
      <c r="L145" s="287">
        <f t="shared" si="15"/>
        <v>0</v>
      </c>
      <c r="M145"/>
      <c r="P145" s="194"/>
      <c r="Q145" s="277"/>
      <c r="X145" s="549"/>
      <c r="Y145" s="284"/>
      <c r="AB145" s="284"/>
    </row>
    <row r="146" spans="1:28" s="384" customFormat="1" ht="81.599999999999994" customHeight="1" x14ac:dyDescent="0.3">
      <c r="A146" s="210">
        <f>'Unit Data from Audit Worksheet'!A170</f>
        <v>1062</v>
      </c>
      <c r="B146" s="223">
        <f>'Unit Data from Audit Worksheet'!C170</f>
        <v>0</v>
      </c>
      <c r="C146" s="209" t="str">
        <f>'Unit Data from Audit Worksheet'!D170</f>
        <v xml:space="preserve">Are the American Rescue Plan Act (ARPA) of 2021-Coronavrius State &amp; Local Fiscal Recovery Funds on target to be committed by December 31, 2024? (Yes = 1 or No = 2or N/A = 3 if unit did not receive funds) </v>
      </c>
      <c r="D146" s="228"/>
      <c r="E146" s="229">
        <f>'Unit Data from Audit Worksheet'!F170</f>
        <v>0</v>
      </c>
      <c r="F146" s="222"/>
      <c r="G146" s="222"/>
      <c r="H146" s="221"/>
      <c r="I146" s="32"/>
      <c r="J146" s="220">
        <v>1062</v>
      </c>
      <c r="K146" s="209" t="s">
        <v>1519</v>
      </c>
      <c r="L146" s="287">
        <f t="shared" si="15"/>
        <v>0</v>
      </c>
      <c r="M146"/>
      <c r="P146" s="194"/>
      <c r="Q146" s="277"/>
      <c r="X146" s="549"/>
      <c r="Y146" s="284"/>
      <c r="AB146" s="284"/>
    </row>
    <row r="147" spans="1:28" s="384" customFormat="1" ht="99.6" customHeight="1" x14ac:dyDescent="0.3">
      <c r="A147" s="210">
        <f>'Unit Data from Audit Worksheet'!A171</f>
        <v>1063</v>
      </c>
      <c r="B147" s="223">
        <f>'Unit Data from Audit Worksheet'!C171</f>
        <v>0</v>
      </c>
      <c r="C147" s="209" t="str">
        <f>'Unit Data from Audit Worksheet'!D171</f>
        <v>Are the American Rescue Plan Act (ARPA) of 2021-Coronavrius State &amp; Local Fiscal Recovery Funds on target to be completely expended by December 31, 2026? (Yes = 1 or No = 2 or N/A = 3 if unit did not receive funds)</v>
      </c>
      <c r="D147" s="228"/>
      <c r="E147" s="229">
        <f>'Unit Data from Audit Worksheet'!F171</f>
        <v>0</v>
      </c>
      <c r="F147" s="222"/>
      <c r="G147" s="224"/>
      <c r="H147" s="221"/>
      <c r="I147" s="32"/>
      <c r="J147" s="220">
        <v>1063</v>
      </c>
      <c r="K147" s="209" t="s">
        <v>1521</v>
      </c>
      <c r="L147" s="287">
        <f t="shared" si="15"/>
        <v>0</v>
      </c>
      <c r="M147"/>
      <c r="P147" s="194"/>
      <c r="Q147" s="277"/>
      <c r="X147" s="549"/>
      <c r="Y147" s="284"/>
      <c r="AB147" s="284"/>
    </row>
    <row r="148" spans="1:28" ht="71.25" customHeight="1" x14ac:dyDescent="0.3">
      <c r="A148" s="210">
        <f>'Unit Data from Audit Worksheet'!A173</f>
        <v>512</v>
      </c>
      <c r="B148" s="223" t="str">
        <f>'Unit Data from Audit Worksheet'!C173</f>
        <v>Fiduciary Statements</v>
      </c>
      <c r="C148" s="209" t="str">
        <f>'Unit Data from Audit Worksheet'!D173</f>
        <v>Cash and investments.  
Include:  unrestricted and restricted.  
                   cash and investments held 
                   by a third party</v>
      </c>
      <c r="D148" s="228"/>
      <c r="E148" s="229">
        <f>'Unit Data from Audit Worksheet'!F173</f>
        <v>0</v>
      </c>
      <c r="F148" s="222">
        <f>IF(L148&lt;0,"Error: Number is normally positive.",)</f>
        <v>0</v>
      </c>
      <c r="G148" s="224"/>
      <c r="H148" s="221"/>
      <c r="I148" s="32"/>
      <c r="J148" s="220">
        <v>512</v>
      </c>
      <c r="K148" s="219" t="s">
        <v>243</v>
      </c>
      <c r="L148" s="287">
        <f t="shared" si="15"/>
        <v>0</v>
      </c>
      <c r="P148" s="194"/>
      <c r="X148" s="549">
        <v>512</v>
      </c>
      <c r="Y148" s="284">
        <v>512</v>
      </c>
      <c r="AA148" s="384">
        <f t="shared" si="16"/>
        <v>0</v>
      </c>
      <c r="AB148" s="284">
        <f t="shared" si="17"/>
        <v>0</v>
      </c>
    </row>
    <row r="149" spans="1:28" ht="62.25" customHeight="1" x14ac:dyDescent="0.3">
      <c r="A149" s="210">
        <f>'Unit Data from Audit Worksheet'!A175</f>
        <v>656</v>
      </c>
      <c r="B149" s="223">
        <f>'Unit Data from Audit Worksheet'!C175</f>
        <v>0</v>
      </c>
      <c r="C149" s="209" t="str">
        <f>'Unit Data from Audit Worksheet'!D175</f>
        <v>Do you use prepared food/occupancy tax revenue stream to support debt?  Select "1" for Yes and "2" for No from drop down list.</v>
      </c>
      <c r="D149" s="129"/>
      <c r="E149" s="229">
        <f>'Unit Data from Audit Worksheet'!F175</f>
        <v>0</v>
      </c>
      <c r="F149" s="222"/>
      <c r="G149" s="224"/>
      <c r="H149" s="221"/>
      <c r="I149" s="32"/>
      <c r="J149" s="220">
        <v>656</v>
      </c>
      <c r="K149" s="226" t="s">
        <v>419</v>
      </c>
      <c r="L149" s="311">
        <f>E149</f>
        <v>0</v>
      </c>
      <c r="N149" s="18"/>
      <c r="O149" s="18"/>
      <c r="P149" s="194"/>
      <c r="X149" s="549">
        <v>656</v>
      </c>
      <c r="Y149" s="284">
        <v>656</v>
      </c>
      <c r="AA149" s="384">
        <f t="shared" si="16"/>
        <v>0</v>
      </c>
      <c r="AB149" s="284">
        <f t="shared" si="17"/>
        <v>0</v>
      </c>
    </row>
    <row r="150" spans="1:28" s="18" customFormat="1" ht="102.75" customHeight="1" x14ac:dyDescent="0.3">
      <c r="A150" s="210">
        <f>'Unit Data from Audit Worksheet'!A177</f>
        <v>535</v>
      </c>
      <c r="B150" s="223" t="str">
        <f>'Unit Data from Audit Worksheet'!C177</f>
        <v>Cash and Investment Note</v>
      </c>
      <c r="C150" s="209" t="str">
        <f>'Unit Data from Audit Worksheet'!D177</f>
        <v>Cash and Investment - Please list the book value of any unspent debt proceeds (bonds, installment, etc.) in any funds as of June 30.  This information may be on the face of your statements or in the notes</v>
      </c>
      <c r="D150" s="228"/>
      <c r="E150" s="229">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4"/>
      <c r="H150" s="221"/>
      <c r="I150" s="32"/>
      <c r="J150" s="220">
        <v>535</v>
      </c>
      <c r="K150" s="55" t="s">
        <v>244</v>
      </c>
      <c r="L150" s="287">
        <f t="shared" si="15"/>
        <v>0</v>
      </c>
      <c r="M150"/>
      <c r="P150" s="194"/>
      <c r="Q150" s="277"/>
      <c r="R150" s="3"/>
      <c r="S150" s="3"/>
      <c r="T150" s="3"/>
      <c r="U150" s="3"/>
      <c r="V150" s="3"/>
      <c r="W150" s="3"/>
      <c r="X150" s="549">
        <v>535</v>
      </c>
      <c r="Y150" s="284">
        <v>535</v>
      </c>
      <c r="Z150" s="3"/>
      <c r="AA150" s="384">
        <f t="shared" si="16"/>
        <v>0</v>
      </c>
      <c r="AB150" s="284">
        <f t="shared" si="17"/>
        <v>0</v>
      </c>
    </row>
    <row r="151" spans="1:28" ht="45.75" customHeight="1" x14ac:dyDescent="0.3">
      <c r="A151" s="210">
        <f>'Unit Data from Audit Worksheet'!A181</f>
        <v>334</v>
      </c>
      <c r="B151" s="223" t="str">
        <f>'Unit Data from Audit Worksheet'!C181</f>
        <v>Gov.-Capital Assets Schedule in the Notes</v>
      </c>
      <c r="C151" s="209" t="str">
        <f>'Unit Data from Audit Worksheet'!D181</f>
        <v>Gross value.  
Exclude non-depreciable.</v>
      </c>
      <c r="D151" s="228"/>
      <c r="E151" s="229">
        <f>'Unit Data from Audit Worksheet'!F181</f>
        <v>0</v>
      </c>
      <c r="F151" s="80"/>
      <c r="G151" s="224"/>
      <c r="H151" s="221"/>
      <c r="I151" s="32"/>
      <c r="J151" s="220">
        <v>334</v>
      </c>
      <c r="K151" s="55" t="s">
        <v>261</v>
      </c>
      <c r="L151" s="287">
        <f t="shared" si="15"/>
        <v>0</v>
      </c>
      <c r="P151" s="194"/>
      <c r="X151" s="549">
        <v>334</v>
      </c>
      <c r="Y151" s="284">
        <v>334</v>
      </c>
      <c r="AA151" s="384">
        <f t="shared" si="16"/>
        <v>0</v>
      </c>
      <c r="AB151" s="284">
        <f t="shared" si="17"/>
        <v>0</v>
      </c>
    </row>
    <row r="152" spans="1:28" ht="57" customHeight="1" x14ac:dyDescent="0.3">
      <c r="A152" s="210">
        <f>'Unit Data from Audit Worksheet'!A182</f>
        <v>373</v>
      </c>
      <c r="B152" s="223" t="str">
        <f>'Unit Data from Audit Worksheet'!C182</f>
        <v>Gov.-Capital Assets Schedule in the Notes</v>
      </c>
      <c r="C152" s="209" t="str">
        <f>'Unit Data from Audit Worksheet'!D182</f>
        <v>Accumulated depreciation</v>
      </c>
      <c r="D152" s="228"/>
      <c r="E152" s="229">
        <f>'Unit Data from Audit Worksheet'!F182</f>
        <v>0</v>
      </c>
      <c r="F152" s="80"/>
      <c r="G152" s="224"/>
      <c r="H152" s="221"/>
      <c r="I152" s="32"/>
      <c r="J152" s="220">
        <v>373</v>
      </c>
      <c r="K152" s="52" t="s">
        <v>302</v>
      </c>
      <c r="L152" s="287">
        <f t="shared" si="15"/>
        <v>0</v>
      </c>
      <c r="P152" s="194"/>
      <c r="X152" s="549">
        <v>373</v>
      </c>
      <c r="Y152" s="284">
        <v>373</v>
      </c>
      <c r="AA152" s="384">
        <f t="shared" si="16"/>
        <v>0</v>
      </c>
      <c r="AB152" s="284">
        <f t="shared" si="17"/>
        <v>0</v>
      </c>
    </row>
    <row r="153" spans="1:28" ht="102.75" customHeight="1" x14ac:dyDescent="0.3">
      <c r="A153" s="210">
        <f>'Unit Data from Audit Worksheet'!A183</f>
        <v>987</v>
      </c>
      <c r="B153" s="223">
        <f>'Unit Data from Audit Worksheet'!C183</f>
        <v>0</v>
      </c>
      <c r="C153" s="209" t="str">
        <f>'Unit Data from Audit Worksheet'!D183</f>
        <v xml:space="preserve">Estimated cost not yet budgeted of any mandate placed on unit by DEQ, a court order or some similar requirement (that has no realistic appeal path). </v>
      </c>
      <c r="D153" s="228"/>
      <c r="E153" s="229">
        <f>'Unit Data from Audit Worksheet'!F183</f>
        <v>0</v>
      </c>
      <c r="F153" s="80"/>
      <c r="G153" s="224"/>
      <c r="H153" s="221"/>
      <c r="I153" s="32"/>
      <c r="J153" s="220">
        <v>987</v>
      </c>
      <c r="K153" s="52" t="s">
        <v>634</v>
      </c>
      <c r="L153" s="293">
        <f t="shared" si="15"/>
        <v>0</v>
      </c>
      <c r="P153" s="194"/>
      <c r="X153" s="549">
        <v>987</v>
      </c>
      <c r="Y153" s="284">
        <v>987</v>
      </c>
      <c r="AA153" s="384">
        <f t="shared" si="16"/>
        <v>0</v>
      </c>
      <c r="AB153" s="284">
        <f t="shared" si="17"/>
        <v>0</v>
      </c>
    </row>
    <row r="154" spans="1:28" ht="69" customHeight="1" x14ac:dyDescent="0.3">
      <c r="A154" s="210">
        <f>'Unit Data from Audit Worksheet'!A184</f>
        <v>988</v>
      </c>
      <c r="B154" s="223">
        <f>'Unit Data from Audit Worksheet'!C184</f>
        <v>0</v>
      </c>
      <c r="C154" s="209" t="str">
        <f>'Unit Data from Audit Worksheet'!D184</f>
        <v>Do you operate a landfill that will be closing  or have a significant portion closing within the next 5 years?  Select "1" for Yes and "2" for No</v>
      </c>
      <c r="D154" s="228"/>
      <c r="E154" s="229">
        <f>'Unit Data from Audit Worksheet'!F184</f>
        <v>0</v>
      </c>
      <c r="F154" s="80"/>
      <c r="G154" s="224"/>
      <c r="H154" s="221"/>
      <c r="I154" s="32"/>
      <c r="J154" s="220">
        <v>988</v>
      </c>
      <c r="K154" s="52" t="s">
        <v>858</v>
      </c>
      <c r="L154" s="293">
        <f t="shared" si="15"/>
        <v>0</v>
      </c>
      <c r="P154" s="194"/>
      <c r="X154" s="549">
        <v>988</v>
      </c>
      <c r="Y154" s="284">
        <v>988</v>
      </c>
      <c r="AA154" s="384">
        <f t="shared" si="16"/>
        <v>0</v>
      </c>
      <c r="AB154" s="284">
        <f t="shared" si="17"/>
        <v>0</v>
      </c>
    </row>
    <row r="155" spans="1:28" ht="95.25" customHeight="1" x14ac:dyDescent="0.3">
      <c r="A155" s="210">
        <f>'Unit Data from Audit Worksheet'!A185</f>
        <v>989</v>
      </c>
      <c r="B155" s="223">
        <f>'Unit Data from Audit Worksheet'!C185</f>
        <v>0</v>
      </c>
      <c r="C155" s="209" t="str">
        <f>'Unit Data from Audit Worksheet'!D185</f>
        <v>If you answered "yes" to question #988 above, will you have the closure/postclosure cost fully funded by the date of closure?  Select "1" for Yes,  "2" for No, or "3" for N/A.</v>
      </c>
      <c r="D155" s="228"/>
      <c r="E155" s="229">
        <f>'Unit Data from Audit Worksheet'!F185</f>
        <v>0</v>
      </c>
      <c r="F155" s="80"/>
      <c r="G155" s="224"/>
      <c r="H155" s="221"/>
      <c r="I155" s="32"/>
      <c r="J155" s="220">
        <v>989</v>
      </c>
      <c r="K155" s="52" t="s">
        <v>794</v>
      </c>
      <c r="L155" s="293">
        <f t="shared" si="15"/>
        <v>0</v>
      </c>
      <c r="P155" s="194"/>
      <c r="X155" s="549">
        <v>989</v>
      </c>
      <c r="Y155" s="284">
        <v>989</v>
      </c>
      <c r="AA155" s="384">
        <f t="shared" si="16"/>
        <v>0</v>
      </c>
      <c r="AB155" s="284">
        <f t="shared" si="17"/>
        <v>0</v>
      </c>
    </row>
    <row r="156" spans="1:28" ht="57" customHeight="1" x14ac:dyDescent="0.3">
      <c r="A156" s="210">
        <f>'Unit Data from Audit Worksheet'!A189</f>
        <v>327</v>
      </c>
      <c r="B156" s="223" t="str">
        <f>'Unit Data from Audit Worksheet'!C189</f>
        <v>WS-Capital Assets Schedule in the Notes</v>
      </c>
      <c r="C156" s="209" t="str">
        <f>'Unit Data from Audit Worksheet'!D189</f>
        <v>Land and all other non depreciable capital assets 
Exclude construction in progress</v>
      </c>
      <c r="D156" s="228"/>
      <c r="E156" s="229">
        <f>'Unit Data from Audit Worksheet'!F189</f>
        <v>0</v>
      </c>
      <c r="F156" s="80"/>
      <c r="G156" s="224"/>
      <c r="H156" s="221"/>
      <c r="I156" s="32"/>
      <c r="J156" s="220">
        <v>327</v>
      </c>
      <c r="K156" s="52" t="s">
        <v>303</v>
      </c>
      <c r="L156" s="287">
        <f t="shared" si="15"/>
        <v>0</v>
      </c>
      <c r="P156" s="194"/>
      <c r="X156" s="549">
        <v>327</v>
      </c>
      <c r="Y156" s="284">
        <v>327</v>
      </c>
      <c r="AA156" s="384">
        <f t="shared" si="16"/>
        <v>0</v>
      </c>
      <c r="AB156" s="284">
        <f t="shared" si="17"/>
        <v>0</v>
      </c>
    </row>
    <row r="157" spans="1:28" ht="57" customHeight="1" x14ac:dyDescent="0.3">
      <c r="A157" s="210">
        <f>'Unit Data from Audit Worksheet'!A190</f>
        <v>328</v>
      </c>
      <c r="B157" s="223" t="str">
        <f>'Unit Data from Audit Worksheet'!C190</f>
        <v>WS-Capital Assets Schedule in the Notes</v>
      </c>
      <c r="C157" s="209" t="str">
        <f>'Unit Data from Audit Worksheet'!D190</f>
        <v>Construction in progress</v>
      </c>
      <c r="D157" s="228"/>
      <c r="E157" s="229">
        <f>'Unit Data from Audit Worksheet'!F190</f>
        <v>0</v>
      </c>
      <c r="F157" s="80"/>
      <c r="G157" s="224"/>
      <c r="H157" s="221"/>
      <c r="I157" s="32"/>
      <c r="J157" s="220">
        <v>328</v>
      </c>
      <c r="K157" s="52" t="s">
        <v>304</v>
      </c>
      <c r="L157" s="287">
        <f t="shared" si="15"/>
        <v>0</v>
      </c>
      <c r="P157" s="194"/>
      <c r="X157" s="549">
        <v>328</v>
      </c>
      <c r="Y157" s="284">
        <v>328</v>
      </c>
      <c r="AA157" s="384">
        <f t="shared" si="16"/>
        <v>0</v>
      </c>
      <c r="AB157" s="284">
        <f t="shared" si="17"/>
        <v>0</v>
      </c>
    </row>
    <row r="158" spans="1:28" ht="46.5" customHeight="1" x14ac:dyDescent="0.3">
      <c r="A158" s="210">
        <f>'Unit Data from Audit Worksheet'!A194</f>
        <v>515</v>
      </c>
      <c r="B158" s="223" t="str">
        <f>'Unit Data from Audit Worksheet'!C194</f>
        <v>WS Capital Assets Schedule-Gross Value</v>
      </c>
      <c r="C158" s="209" t="str">
        <f>'Unit Data from Audit Worksheet'!D194</f>
        <v>Buildings</v>
      </c>
      <c r="D158" s="228"/>
      <c r="E158" s="229">
        <f>'Unit Data from Audit Worksheet'!F194</f>
        <v>0</v>
      </c>
      <c r="F158" s="80"/>
      <c r="G158" s="224"/>
      <c r="H158" s="221"/>
      <c r="I158" s="32"/>
      <c r="J158" s="220">
        <v>515</v>
      </c>
      <c r="K158" s="52" t="s">
        <v>262</v>
      </c>
      <c r="L158" s="287">
        <f t="shared" si="15"/>
        <v>0</v>
      </c>
      <c r="P158" s="194"/>
      <c r="X158" s="549">
        <v>515</v>
      </c>
      <c r="Y158" s="284">
        <v>515</v>
      </c>
      <c r="AA158" s="384">
        <f t="shared" si="16"/>
        <v>0</v>
      </c>
      <c r="AB158" s="284">
        <f t="shared" si="17"/>
        <v>0</v>
      </c>
    </row>
    <row r="159" spans="1:28" ht="46.5" customHeight="1" x14ac:dyDescent="0.3">
      <c r="A159" s="210">
        <f>'Unit Data from Audit Worksheet'!A195</f>
        <v>516</v>
      </c>
      <c r="B159" s="223" t="str">
        <f>'Unit Data from Audit Worksheet'!C195</f>
        <v>WS Capital Assets Schedule-Gross Value</v>
      </c>
      <c r="C159" s="209" t="str">
        <f>'Unit Data from Audit Worksheet'!D195</f>
        <v>Plant / distributions systems / water lines</v>
      </c>
      <c r="D159" s="228"/>
      <c r="E159" s="229">
        <f>'Unit Data from Audit Worksheet'!F195</f>
        <v>0</v>
      </c>
      <c r="F159" s="80"/>
      <c r="G159" s="224"/>
      <c r="H159" s="221"/>
      <c r="I159" s="32"/>
      <c r="J159" s="220">
        <v>516</v>
      </c>
      <c r="K159" s="52" t="s">
        <v>263</v>
      </c>
      <c r="L159" s="287">
        <f t="shared" si="15"/>
        <v>0</v>
      </c>
      <c r="P159" s="194"/>
      <c r="X159" s="549">
        <v>516</v>
      </c>
      <c r="Y159" s="284">
        <v>516</v>
      </c>
      <c r="AA159" s="384">
        <f t="shared" si="16"/>
        <v>0</v>
      </c>
      <c r="AB159" s="284">
        <f t="shared" si="17"/>
        <v>0</v>
      </c>
    </row>
    <row r="160" spans="1:28" ht="46.5" customHeight="1" x14ac:dyDescent="0.3">
      <c r="A160" s="210">
        <f>'Unit Data from Audit Worksheet'!A196</f>
        <v>517</v>
      </c>
      <c r="B160" s="223" t="str">
        <f>'Unit Data from Audit Worksheet'!C196</f>
        <v>WS Capital Assets Schedule-Gross Value</v>
      </c>
      <c r="C160" s="209" t="str">
        <f>'Unit Data from Audit Worksheet'!D196</f>
        <v>Infrastructure(other infrastructure)</v>
      </c>
      <c r="D160" s="228"/>
      <c r="E160" s="229">
        <f>'Unit Data from Audit Worksheet'!F196</f>
        <v>0</v>
      </c>
      <c r="F160" s="80"/>
      <c r="G160" s="224"/>
      <c r="H160" s="221"/>
      <c r="I160" s="32"/>
      <c r="J160" s="220">
        <v>517</v>
      </c>
      <c r="K160" s="312" t="s">
        <v>264</v>
      </c>
      <c r="L160" s="287">
        <f t="shared" si="15"/>
        <v>0</v>
      </c>
      <c r="P160" s="194"/>
      <c r="X160" s="549">
        <v>517</v>
      </c>
      <c r="Y160" s="284">
        <v>517</v>
      </c>
      <c r="AA160" s="384">
        <f t="shared" si="16"/>
        <v>0</v>
      </c>
      <c r="AB160" s="284">
        <f t="shared" si="17"/>
        <v>0</v>
      </c>
    </row>
    <row r="161" spans="1:28" ht="46.5" customHeight="1" x14ac:dyDescent="0.3">
      <c r="A161" s="210">
        <f>'Unit Data from Audit Worksheet'!A197</f>
        <v>518</v>
      </c>
      <c r="B161" s="223" t="str">
        <f>'Unit Data from Audit Worksheet'!C197</f>
        <v>WS Capital Assets Schedule-Gross Value</v>
      </c>
      <c r="C161" s="209" t="str">
        <f>'Unit Data from Audit Worksheet'!D197</f>
        <v>All other depreciable capital assets</v>
      </c>
      <c r="D161" s="228"/>
      <c r="E161" s="229">
        <f>'Unit Data from Audit Worksheet'!F197</f>
        <v>0</v>
      </c>
      <c r="F161" s="80"/>
      <c r="G161" s="224"/>
      <c r="H161" s="221"/>
      <c r="I161" s="32"/>
      <c r="J161" s="220">
        <v>518</v>
      </c>
      <c r="K161" s="312" t="s">
        <v>265</v>
      </c>
      <c r="L161" s="287">
        <f t="shared" si="15"/>
        <v>0</v>
      </c>
      <c r="P161" s="194"/>
      <c r="X161" s="549">
        <v>518</v>
      </c>
      <c r="Y161" s="284">
        <v>518</v>
      </c>
      <c r="AA161" s="384">
        <f t="shared" si="16"/>
        <v>0</v>
      </c>
      <c r="AB161" s="284">
        <f t="shared" si="17"/>
        <v>0</v>
      </c>
    </row>
    <row r="162" spans="1:28" ht="52.5" customHeight="1" x14ac:dyDescent="0.3">
      <c r="A162" s="210">
        <f>'Unit Data from Audit Worksheet'!A200</f>
        <v>519</v>
      </c>
      <c r="B162" s="223" t="str">
        <f>'Unit Data from Audit Worksheet'!C200</f>
        <v>WS Capital Assets Schedule-Annual Depreciation</v>
      </c>
      <c r="C162" s="209" t="str">
        <f>'Unit Data from Audit Worksheet'!D200</f>
        <v>Buildings annual depreciation</v>
      </c>
      <c r="D162" s="228"/>
      <c r="E162" s="229">
        <f>'Unit Data from Audit Worksheet'!F200</f>
        <v>0</v>
      </c>
      <c r="F162" s="80"/>
      <c r="G162" s="224"/>
      <c r="H162" s="221"/>
      <c r="I162" s="32"/>
      <c r="J162" s="220">
        <v>519</v>
      </c>
      <c r="K162" s="312" t="s">
        <v>266</v>
      </c>
      <c r="L162" s="287">
        <f t="shared" si="15"/>
        <v>0</v>
      </c>
      <c r="P162" s="315"/>
      <c r="X162" s="549">
        <v>519</v>
      </c>
      <c r="Y162" s="284">
        <v>519</v>
      </c>
      <c r="AA162" s="384">
        <f t="shared" si="16"/>
        <v>0</v>
      </c>
      <c r="AB162" s="284">
        <f t="shared" si="17"/>
        <v>0</v>
      </c>
    </row>
    <row r="163" spans="1:28" ht="52.5" customHeight="1" x14ac:dyDescent="0.3">
      <c r="A163" s="210">
        <f>'Unit Data from Audit Worksheet'!A201</f>
        <v>520</v>
      </c>
      <c r="B163" s="223" t="str">
        <f>'Unit Data from Audit Worksheet'!C201</f>
        <v>WS Capital Assets Schedule-Annual Depreciation</v>
      </c>
      <c r="C163" s="209" t="str">
        <f>'Unit Data from Audit Worksheet'!D201</f>
        <v>Plant / distributions systems / water lines annual depreciation</v>
      </c>
      <c r="D163" s="228"/>
      <c r="E163" s="229">
        <f>'Unit Data from Audit Worksheet'!F201</f>
        <v>0</v>
      </c>
      <c r="F163" s="80"/>
      <c r="G163" s="224"/>
      <c r="H163" s="221"/>
      <c r="I163" s="32"/>
      <c r="J163" s="220">
        <v>520</v>
      </c>
      <c r="K163" s="312" t="s">
        <v>267</v>
      </c>
      <c r="L163" s="287">
        <f t="shared" si="15"/>
        <v>0</v>
      </c>
      <c r="P163" s="318"/>
      <c r="Q163" s="316"/>
      <c r="X163" s="549">
        <v>520</v>
      </c>
      <c r="Y163" s="284">
        <v>520</v>
      </c>
      <c r="AA163" s="384">
        <f t="shared" si="16"/>
        <v>0</v>
      </c>
      <c r="AB163" s="284">
        <f t="shared" si="17"/>
        <v>0</v>
      </c>
    </row>
    <row r="164" spans="1:28" ht="52.5" customHeight="1" x14ac:dyDescent="0.3">
      <c r="A164" s="210">
        <f>'Unit Data from Audit Worksheet'!A202</f>
        <v>521</v>
      </c>
      <c r="B164" s="223" t="str">
        <f>'Unit Data from Audit Worksheet'!C202</f>
        <v>WS Capital Assets Schedule-Annual Depreciation</v>
      </c>
      <c r="C164" s="209" t="str">
        <f>'Unit Data from Audit Worksheet'!D202</f>
        <v>Infrastructure(other infrastructure) annual depreciation</v>
      </c>
      <c r="D164" s="228"/>
      <c r="E164" s="229">
        <f>'Unit Data from Audit Worksheet'!F202</f>
        <v>0</v>
      </c>
      <c r="F164" s="80"/>
      <c r="G164" s="224"/>
      <c r="H164" s="221"/>
      <c r="I164" s="32"/>
      <c r="J164" s="220">
        <v>521</v>
      </c>
      <c r="K164" s="52" t="s">
        <v>268</v>
      </c>
      <c r="L164" s="287">
        <f t="shared" si="15"/>
        <v>0</v>
      </c>
      <c r="P164" s="194"/>
      <c r="Q164" s="186"/>
      <c r="X164" s="549">
        <v>521</v>
      </c>
      <c r="Y164" s="284">
        <v>521</v>
      </c>
      <c r="AA164" s="384">
        <f t="shared" si="16"/>
        <v>0</v>
      </c>
      <c r="AB164" s="284">
        <f t="shared" si="17"/>
        <v>0</v>
      </c>
    </row>
    <row r="165" spans="1:28" ht="42.75" customHeight="1" x14ac:dyDescent="0.3">
      <c r="A165" s="210">
        <f>'Unit Data from Audit Worksheet'!A203</f>
        <v>522</v>
      </c>
      <c r="B165" s="223" t="str">
        <f>'Unit Data from Audit Worksheet'!C203</f>
        <v>WS Capital Assets Schedule-Annual Depreciation</v>
      </c>
      <c r="C165" s="209" t="str">
        <f>'Unit Data from Audit Worksheet'!D203</f>
        <v>All other depreciable capital assets annual depreciation</v>
      </c>
      <c r="D165" s="228"/>
      <c r="E165" s="229">
        <f>'Unit Data from Audit Worksheet'!F203</f>
        <v>0</v>
      </c>
      <c r="F165" s="80"/>
      <c r="G165" s="224"/>
      <c r="H165" s="221"/>
      <c r="I165" s="32"/>
      <c r="J165" s="220">
        <v>522</v>
      </c>
      <c r="K165" s="52" t="s">
        <v>269</v>
      </c>
      <c r="L165" s="287">
        <f t="shared" si="15"/>
        <v>0</v>
      </c>
      <c r="P165" s="315"/>
      <c r="S165" s="18"/>
      <c r="T165" s="18"/>
      <c r="U165" s="18"/>
      <c r="V165" s="18"/>
      <c r="X165" s="549">
        <v>522</v>
      </c>
      <c r="Y165" s="284">
        <v>522</v>
      </c>
      <c r="Z165" s="18"/>
      <c r="AA165" s="384">
        <f t="shared" si="16"/>
        <v>0</v>
      </c>
      <c r="AB165" s="284">
        <f t="shared" si="17"/>
        <v>0</v>
      </c>
    </row>
    <row r="166" spans="1:28" ht="42.75" customHeight="1" x14ac:dyDescent="0.3">
      <c r="A166" s="210">
        <f>'Unit Data from Audit Worksheet'!A206</f>
        <v>523</v>
      </c>
      <c r="B166" s="223" t="str">
        <f>'Unit Data from Audit Worksheet'!C206</f>
        <v>WS Capital Assets Schedule-Accumulated Depreciation</v>
      </c>
      <c r="C166" s="209" t="str">
        <f>'Unit Data from Audit Worksheet'!D206</f>
        <v>Building accumulated depreciation</v>
      </c>
      <c r="D166" s="228"/>
      <c r="E166" s="229">
        <f>'Unit Data from Audit Worksheet'!F206</f>
        <v>0</v>
      </c>
      <c r="F166" s="80"/>
      <c r="G166" s="224"/>
      <c r="H166" s="221"/>
      <c r="I166" s="32"/>
      <c r="J166" s="220">
        <v>523</v>
      </c>
      <c r="K166" s="52" t="s">
        <v>270</v>
      </c>
      <c r="L166" s="287">
        <f t="shared" si="15"/>
        <v>0</v>
      </c>
      <c r="P166" s="315"/>
      <c r="S166" s="18"/>
      <c r="T166" s="18"/>
      <c r="U166" s="18"/>
      <c r="V166" s="18"/>
      <c r="X166" s="549">
        <v>523</v>
      </c>
      <c r="Y166" s="284">
        <v>523</v>
      </c>
      <c r="Z166" s="18"/>
      <c r="AA166" s="384">
        <f t="shared" si="16"/>
        <v>0</v>
      </c>
      <c r="AB166" s="284">
        <f t="shared" si="17"/>
        <v>0</v>
      </c>
    </row>
    <row r="167" spans="1:28" ht="51" customHeight="1" x14ac:dyDescent="0.3">
      <c r="A167" s="210">
        <f>'Unit Data from Audit Worksheet'!A207</f>
        <v>524</v>
      </c>
      <c r="B167" s="223" t="str">
        <f>'Unit Data from Audit Worksheet'!C207</f>
        <v>WS Capital Assets Schedule-Accumulated Depreciation</v>
      </c>
      <c r="C167" s="209" t="str">
        <f>'Unit Data from Audit Worksheet'!D207</f>
        <v>Plant / distributions systems / water lines accumulated depreciation</v>
      </c>
      <c r="D167" s="228"/>
      <c r="E167" s="229">
        <f>'Unit Data from Audit Worksheet'!F207</f>
        <v>0</v>
      </c>
      <c r="F167" s="80"/>
      <c r="G167" s="224"/>
      <c r="H167" s="221"/>
      <c r="I167" s="32"/>
      <c r="J167" s="220">
        <v>524</v>
      </c>
      <c r="K167" s="52" t="s">
        <v>271</v>
      </c>
      <c r="L167" s="287">
        <f t="shared" si="15"/>
        <v>0</v>
      </c>
      <c r="P167" s="315"/>
      <c r="S167" s="18"/>
      <c r="T167" s="18"/>
      <c r="U167" s="18"/>
      <c r="V167" s="18"/>
      <c r="X167" s="549">
        <v>524</v>
      </c>
      <c r="Y167" s="284">
        <v>524</v>
      </c>
      <c r="Z167" s="18"/>
      <c r="AA167" s="384">
        <f t="shared" si="16"/>
        <v>0</v>
      </c>
      <c r="AB167" s="284">
        <f t="shared" si="17"/>
        <v>0</v>
      </c>
    </row>
    <row r="168" spans="1:28" ht="57.75" customHeight="1" x14ac:dyDescent="0.3">
      <c r="A168" s="210">
        <f>'Unit Data from Audit Worksheet'!A208</f>
        <v>525</v>
      </c>
      <c r="B168" s="223" t="str">
        <f>'Unit Data from Audit Worksheet'!C208</f>
        <v>WS Capital Assets Schedule-Accumulated Depreciation</v>
      </c>
      <c r="C168" s="209" t="str">
        <f>'Unit Data from Audit Worksheet'!D208</f>
        <v>Infrastructure(other infrastructure) accumulated depreciation</v>
      </c>
      <c r="D168" s="228"/>
      <c r="E168" s="229">
        <f>'Unit Data from Audit Worksheet'!F208</f>
        <v>0</v>
      </c>
      <c r="F168" s="80"/>
      <c r="G168" s="224"/>
      <c r="H168" s="221"/>
      <c r="I168" s="32"/>
      <c r="J168" s="220">
        <v>525</v>
      </c>
      <c r="K168" s="52" t="s">
        <v>272</v>
      </c>
      <c r="L168" s="287">
        <f t="shared" si="15"/>
        <v>0</v>
      </c>
      <c r="P168" s="200"/>
      <c r="Q168" s="316"/>
      <c r="X168" s="549">
        <v>525</v>
      </c>
      <c r="Y168" s="284">
        <v>525</v>
      </c>
      <c r="AA168" s="384">
        <f t="shared" si="16"/>
        <v>0</v>
      </c>
      <c r="AB168" s="284">
        <f t="shared" si="17"/>
        <v>0</v>
      </c>
    </row>
    <row r="169" spans="1:28" ht="48" customHeight="1" x14ac:dyDescent="0.3">
      <c r="A169" s="210">
        <f>'Unit Data from Audit Worksheet'!A209</f>
        <v>526</v>
      </c>
      <c r="B169" s="223" t="str">
        <f>'Unit Data from Audit Worksheet'!C209</f>
        <v>WS Capital Assets Schedule-Accumulated Depreciation</v>
      </c>
      <c r="C169" s="209" t="str">
        <f>'Unit Data from Audit Worksheet'!D209</f>
        <v>All other depreciable capital assets accumulated depreciation</v>
      </c>
      <c r="D169" s="228"/>
      <c r="E169" s="229">
        <f>'Unit Data from Audit Worksheet'!F209</f>
        <v>0</v>
      </c>
      <c r="F169" s="80"/>
      <c r="G169" s="224"/>
      <c r="H169" s="221"/>
      <c r="I169" s="32"/>
      <c r="J169" s="220">
        <v>526</v>
      </c>
      <c r="K169" s="52" t="s">
        <v>273</v>
      </c>
      <c r="L169" s="287">
        <f t="shared" si="15"/>
        <v>0</v>
      </c>
      <c r="P169" s="194"/>
      <c r="Q169" s="3"/>
      <c r="X169" s="549">
        <v>526</v>
      </c>
      <c r="Y169" s="284">
        <v>526</v>
      </c>
      <c r="AA169" s="384">
        <f t="shared" si="16"/>
        <v>0</v>
      </c>
      <c r="AB169" s="284">
        <f t="shared" si="17"/>
        <v>0</v>
      </c>
    </row>
    <row r="170" spans="1:28" ht="50.25" customHeight="1" x14ac:dyDescent="0.3">
      <c r="A170" s="210">
        <f>'Unit Data from Audit Worksheet'!A214</f>
        <v>527</v>
      </c>
      <c r="B170" s="223" t="str">
        <f>'Unit Data from Audit Worksheet'!C214</f>
        <v>Electric Assets</v>
      </c>
      <c r="C170" s="209" t="str">
        <f>'Unit Data from Audit Worksheet'!D214</f>
        <v>Total Assets Gross value not being depreciated for Electric Fund</v>
      </c>
      <c r="D170" s="228"/>
      <c r="E170" s="229">
        <f>'Unit Data from Audit Worksheet'!F214</f>
        <v>0</v>
      </c>
      <c r="F170" s="80"/>
      <c r="G170" s="224"/>
      <c r="H170" s="221"/>
      <c r="I170" s="32"/>
      <c r="J170" s="220">
        <v>527</v>
      </c>
      <c r="K170" s="52" t="s">
        <v>274</v>
      </c>
      <c r="L170" s="287">
        <f t="shared" si="15"/>
        <v>0</v>
      </c>
      <c r="P170" s="194"/>
      <c r="X170" s="549">
        <v>527</v>
      </c>
      <c r="Y170" s="284">
        <v>527</v>
      </c>
      <c r="AA170" s="384">
        <f t="shared" si="16"/>
        <v>0</v>
      </c>
      <c r="AB170" s="284">
        <f t="shared" si="17"/>
        <v>0</v>
      </c>
    </row>
    <row r="171" spans="1:28" ht="54.75" customHeight="1" x14ac:dyDescent="0.3">
      <c r="A171" s="210">
        <f>'Unit Data from Audit Worksheet'!A215</f>
        <v>356</v>
      </c>
      <c r="B171" s="223" t="str">
        <f>'Unit Data from Audit Worksheet'!C215</f>
        <v>Electric Assets</v>
      </c>
      <c r="C171" s="209" t="str">
        <f>'Unit Data from Audit Worksheet'!D215</f>
        <v>Total Assets Gross value of assets being depreciated for Electric Fund</v>
      </c>
      <c r="D171" s="228"/>
      <c r="E171" s="229">
        <f>'Unit Data from Audit Worksheet'!F215</f>
        <v>0</v>
      </c>
      <c r="F171" s="80"/>
      <c r="G171" s="224"/>
      <c r="H171" s="221"/>
      <c r="I171" s="32"/>
      <c r="J171" s="220">
        <v>356</v>
      </c>
      <c r="K171" s="52" t="s">
        <v>305</v>
      </c>
      <c r="L171" s="287">
        <f t="shared" si="15"/>
        <v>0</v>
      </c>
      <c r="P171" s="194"/>
      <c r="X171" s="549">
        <v>356</v>
      </c>
      <c r="Y171" s="284">
        <v>356</v>
      </c>
      <c r="AA171" s="384">
        <f t="shared" si="16"/>
        <v>0</v>
      </c>
      <c r="AB171" s="284">
        <f t="shared" si="17"/>
        <v>0</v>
      </c>
    </row>
    <row r="172" spans="1:28" ht="54.75" customHeight="1" x14ac:dyDescent="0.3">
      <c r="A172" s="210">
        <f>'Unit Data from Audit Worksheet'!A216</f>
        <v>357</v>
      </c>
      <c r="B172" s="223" t="str">
        <f>'Unit Data from Audit Worksheet'!C216</f>
        <v>Electric Accumulated Depreciation</v>
      </c>
      <c r="C172" s="209" t="str">
        <f>'Unit Data from Audit Worksheet'!D216</f>
        <v>Total accumulated depreciation for Electric Fund assets</v>
      </c>
      <c r="D172" s="228"/>
      <c r="E172" s="229">
        <f>'Unit Data from Audit Worksheet'!F216</f>
        <v>0</v>
      </c>
      <c r="F172" s="80"/>
      <c r="G172" s="224"/>
      <c r="H172" s="221"/>
      <c r="I172" s="32"/>
      <c r="J172" s="220">
        <v>357</v>
      </c>
      <c r="K172" s="52" t="s">
        <v>306</v>
      </c>
      <c r="L172" s="287">
        <f t="shared" si="15"/>
        <v>0</v>
      </c>
      <c r="P172" s="194"/>
      <c r="X172" s="549">
        <v>357</v>
      </c>
      <c r="Y172" s="284">
        <v>357</v>
      </c>
      <c r="AA172" s="384">
        <f t="shared" si="16"/>
        <v>0</v>
      </c>
      <c r="AB172" s="284">
        <f t="shared" si="17"/>
        <v>0</v>
      </c>
    </row>
    <row r="173" spans="1:28" ht="191.25" customHeight="1" x14ac:dyDescent="0.3">
      <c r="A173" s="210">
        <f>'Unit Data from Audit Worksheet'!A218</f>
        <v>337</v>
      </c>
      <c r="B173" s="223" t="str">
        <f>'Unit Data from Audit Worksheet'!C218</f>
        <v>Long-Term Liability Note - Governmental Activities</v>
      </c>
      <c r="C173" s="223"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28"/>
      <c r="E173" s="229">
        <f>'Unit Data from Audit Worksheet'!F218</f>
        <v>0</v>
      </c>
      <c r="F173" s="222">
        <f>IF(L173&lt;0,"Error: Enter as a positive.",)</f>
        <v>0</v>
      </c>
      <c r="G173" s="224"/>
      <c r="H173" s="221"/>
      <c r="I173" s="32"/>
      <c r="J173" s="220">
        <v>337</v>
      </c>
      <c r="K173" s="219" t="s">
        <v>245</v>
      </c>
      <c r="L173" s="287">
        <f t="shared" si="15"/>
        <v>0</v>
      </c>
      <c r="P173" s="194"/>
      <c r="X173" s="549">
        <v>337</v>
      </c>
      <c r="Y173" s="284">
        <v>337</v>
      </c>
      <c r="AA173" s="384">
        <f t="shared" si="16"/>
        <v>0</v>
      </c>
      <c r="AB173" s="284">
        <f t="shared" si="17"/>
        <v>0</v>
      </c>
    </row>
    <row r="174" spans="1:28" ht="76.5" customHeight="1" x14ac:dyDescent="0.3">
      <c r="A174" s="210">
        <f>'Unit Data from Audit Worksheet'!A219</f>
        <v>343</v>
      </c>
      <c r="B174" s="223" t="str">
        <f>'Unit Data from Audit Worksheet'!C219</f>
        <v>Long-Term Liability Note - Governmental Activities</v>
      </c>
      <c r="C174" s="209" t="str">
        <f>'Unit Data from Audit Worksheet'!D219</f>
        <v>Decreases made (principal paid) on Long-Term Debt in current fiscal year.  Reduce for debt refunding.</v>
      </c>
      <c r="D174" s="228"/>
      <c r="E174" s="229">
        <f>'Unit Data from Audit Worksheet'!F219</f>
        <v>0</v>
      </c>
      <c r="F174" s="222">
        <f>IF(L174&lt;0,"Error: Enter as a positive.",)</f>
        <v>0</v>
      </c>
      <c r="G174" s="224"/>
      <c r="H174" s="221"/>
      <c r="I174" s="32"/>
      <c r="J174" s="220">
        <v>343</v>
      </c>
      <c r="K174" s="219" t="s">
        <v>246</v>
      </c>
      <c r="L174" s="287">
        <f t="shared" si="15"/>
        <v>0</v>
      </c>
      <c r="P174" s="194"/>
      <c r="X174" s="549">
        <v>343</v>
      </c>
      <c r="Y174" s="292">
        <v>343</v>
      </c>
      <c r="AA174" s="384">
        <f t="shared" si="16"/>
        <v>0</v>
      </c>
      <c r="AB174" s="284">
        <f t="shared" si="17"/>
        <v>0</v>
      </c>
    </row>
    <row r="175" spans="1:28" ht="193.5" customHeight="1" x14ac:dyDescent="0.3">
      <c r="A175" s="210">
        <f>'Unit Data from Audit Worksheet'!A220</f>
        <v>82</v>
      </c>
      <c r="B175" s="223" t="str">
        <f>'Unit Data from Audit Worksheet'!C220</f>
        <v>Long-Term Liability Note - Water Sewer Activities</v>
      </c>
      <c r="C175" s="223"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28"/>
      <c r="E175" s="229">
        <f>'Unit Data from Audit Worksheet'!F220</f>
        <v>0</v>
      </c>
      <c r="F175" s="222">
        <f>IF(L175&lt;0,"Error: Enter as a positive.",)</f>
        <v>0</v>
      </c>
      <c r="G175" s="224"/>
      <c r="H175" s="221"/>
      <c r="I175" s="32"/>
      <c r="J175" s="220">
        <v>82</v>
      </c>
      <c r="K175" s="62" t="s">
        <v>307</v>
      </c>
      <c r="L175" s="287">
        <f t="shared" si="15"/>
        <v>0</v>
      </c>
      <c r="P175" s="194"/>
      <c r="X175" s="549">
        <v>82</v>
      </c>
      <c r="Y175" s="284">
        <v>82</v>
      </c>
      <c r="AA175" s="384">
        <f t="shared" si="16"/>
        <v>0</v>
      </c>
      <c r="AB175" s="284">
        <f t="shared" si="17"/>
        <v>0</v>
      </c>
    </row>
    <row r="176" spans="1:28" ht="206.25" customHeight="1" x14ac:dyDescent="0.3">
      <c r="A176" s="210">
        <f>'Unit Data from Audit Worksheet'!A221</f>
        <v>359</v>
      </c>
      <c r="B176" s="223" t="str">
        <f>'Unit Data from Audit Worksheet'!C221</f>
        <v>Long-Term Liability Note - Electric Activities</v>
      </c>
      <c r="C176" s="223"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28"/>
      <c r="E176" s="229">
        <f>'Unit Data from Audit Worksheet'!F221</f>
        <v>0</v>
      </c>
      <c r="F176" s="222">
        <f>IF(L176&lt;0,"Error: Enter as a positive.",)</f>
        <v>0</v>
      </c>
      <c r="G176" s="224"/>
      <c r="H176" s="221"/>
      <c r="I176" s="32"/>
      <c r="J176" s="220">
        <v>359</v>
      </c>
      <c r="K176" s="219" t="s">
        <v>247</v>
      </c>
      <c r="L176" s="287">
        <f t="shared" si="15"/>
        <v>0</v>
      </c>
      <c r="P176" s="194"/>
      <c r="X176" s="549">
        <v>359</v>
      </c>
      <c r="Y176" s="284">
        <v>359</v>
      </c>
      <c r="AA176" s="384">
        <f t="shared" si="16"/>
        <v>0</v>
      </c>
      <c r="AB176" s="284">
        <f t="shared" si="17"/>
        <v>0</v>
      </c>
    </row>
    <row r="177" spans="1:28" ht="87.6" customHeight="1" x14ac:dyDescent="0.3">
      <c r="A177" s="210">
        <f>'Unit Data from Audit Worksheet'!A223</f>
        <v>622</v>
      </c>
      <c r="B177" s="223" t="str">
        <f>'Unit Data from Audit Worksheet'!C223</f>
        <v>FS., Pension note or RSI</v>
      </c>
      <c r="C177" s="223"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28"/>
      <c r="E177" s="229">
        <f>'Unit Data from Audit Worksheet'!F223</f>
        <v>0</v>
      </c>
      <c r="F177" s="222"/>
      <c r="G177" s="224"/>
      <c r="H177" s="221"/>
      <c r="I177" s="32"/>
      <c r="J177" s="220">
        <v>622</v>
      </c>
      <c r="K177" s="226" t="s">
        <v>357</v>
      </c>
      <c r="L177" s="287">
        <f t="shared" si="15"/>
        <v>0</v>
      </c>
      <c r="P177" s="194"/>
      <c r="S177" s="18"/>
      <c r="T177" s="18"/>
      <c r="U177" s="18"/>
      <c r="V177" s="18"/>
      <c r="X177" s="549">
        <v>622</v>
      </c>
      <c r="Y177" s="284">
        <v>622</v>
      </c>
      <c r="Z177" s="18"/>
      <c r="AA177" s="384">
        <f t="shared" si="16"/>
        <v>0</v>
      </c>
      <c r="AB177" s="284">
        <f t="shared" si="17"/>
        <v>0</v>
      </c>
    </row>
    <row r="178" spans="1:28" ht="138.75" customHeight="1" x14ac:dyDescent="0.3">
      <c r="A178" s="210">
        <f>'Unit Data from Audit Worksheet'!A224</f>
        <v>577</v>
      </c>
      <c r="B178" s="223" t="str">
        <f>'Unit Data from Audit Worksheet'!C224</f>
        <v>Pension Notes</v>
      </c>
      <c r="C178" s="223"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28"/>
      <c r="E178" s="229">
        <f>'Unit Data from Audit Worksheet'!F224</f>
        <v>0</v>
      </c>
      <c r="F178" s="222"/>
      <c r="G178" s="224"/>
      <c r="H178" s="221"/>
      <c r="I178" s="32"/>
      <c r="J178" s="220">
        <v>577</v>
      </c>
      <c r="K178" s="226" t="s">
        <v>329</v>
      </c>
      <c r="L178" s="287">
        <f t="shared" si="15"/>
        <v>0</v>
      </c>
      <c r="P178" s="194"/>
      <c r="S178" s="18"/>
      <c r="T178" s="18"/>
      <c r="U178" s="18"/>
      <c r="V178" s="18"/>
      <c r="X178" s="549">
        <v>577</v>
      </c>
      <c r="Y178" s="284">
        <v>577</v>
      </c>
      <c r="Z178" s="18"/>
      <c r="AA178" s="384">
        <f t="shared" si="16"/>
        <v>0</v>
      </c>
      <c r="AB178" s="284">
        <f t="shared" si="17"/>
        <v>0</v>
      </c>
    </row>
    <row r="179" spans="1:28" ht="115.5" customHeight="1" x14ac:dyDescent="0.3">
      <c r="A179" s="313">
        <f>'Unit Data from Audit Worksheet'!A226</f>
        <v>598</v>
      </c>
      <c r="B179" s="223" t="str">
        <f>'Unit Data from Audit Worksheet'!C226</f>
        <v>LEO Note</v>
      </c>
      <c r="C179" s="209" t="str">
        <f>'Unit Data from Audit Worksheet'!D226</f>
        <v>Amount the unit paid out in benefits under LEO special separation allowance to retired law enforcement officers this fiscal year if you report under GASB 68 or GASB 73.</v>
      </c>
      <c r="D179" s="228"/>
      <c r="E179" s="229">
        <f>'Unit Data from Audit Worksheet'!F226</f>
        <v>0</v>
      </c>
      <c r="F179" s="222">
        <f>IF(L179&lt;0,"Error: Enter as a positive.",)</f>
        <v>0</v>
      </c>
      <c r="G179" s="224"/>
      <c r="H179" s="221"/>
      <c r="I179" s="32"/>
      <c r="J179" s="220">
        <v>598</v>
      </c>
      <c r="K179" s="87" t="s">
        <v>341</v>
      </c>
      <c r="L179" s="287">
        <f t="shared" si="15"/>
        <v>0</v>
      </c>
      <c r="P179" s="194"/>
      <c r="S179" s="18"/>
      <c r="T179" s="18"/>
      <c r="U179" s="18"/>
      <c r="V179" s="18"/>
      <c r="X179" s="549">
        <v>598</v>
      </c>
      <c r="Y179" s="284">
        <v>598</v>
      </c>
      <c r="Z179" s="18"/>
      <c r="AA179" s="384">
        <f t="shared" si="16"/>
        <v>0</v>
      </c>
      <c r="AB179" s="284">
        <f t="shared" si="17"/>
        <v>0</v>
      </c>
    </row>
    <row r="180" spans="1:28" ht="84" customHeight="1" x14ac:dyDescent="0.3">
      <c r="A180" s="210">
        <f>'Unit Data from Audit Worksheet'!A227</f>
        <v>599</v>
      </c>
      <c r="B180" s="223" t="str">
        <f>'Unit Data from Audit Worksheet'!C227</f>
        <v>LEO Note</v>
      </c>
      <c r="C180" s="209" t="str">
        <f>'Unit Data from Audit Worksheet'!D227</f>
        <v>The total LEO pension liability if you report under GASB 68 or GASB 73.</v>
      </c>
      <c r="D180" s="228"/>
      <c r="E180" s="229">
        <f>'Unit Data from Audit Worksheet'!F227</f>
        <v>0</v>
      </c>
      <c r="F180" s="222">
        <f>IF(L180&lt;0,"Error: Enter as a positive.",)</f>
        <v>0</v>
      </c>
      <c r="G180" s="224"/>
      <c r="H180" s="221"/>
      <c r="I180" s="32"/>
      <c r="J180" s="220">
        <v>599</v>
      </c>
      <c r="K180" s="86" t="s">
        <v>340</v>
      </c>
      <c r="L180" s="287">
        <f t="shared" si="15"/>
        <v>0</v>
      </c>
      <c r="P180" s="194"/>
      <c r="X180" s="549">
        <v>599</v>
      </c>
      <c r="Y180" s="284">
        <v>599</v>
      </c>
      <c r="AA180" s="384">
        <f t="shared" si="16"/>
        <v>0</v>
      </c>
      <c r="AB180" s="284">
        <f t="shared" si="17"/>
        <v>0</v>
      </c>
    </row>
    <row r="181" spans="1:28" ht="102.75" customHeight="1" x14ac:dyDescent="0.3">
      <c r="A181" s="210">
        <f>'Unit Data from Audit Worksheet'!A228</f>
        <v>602</v>
      </c>
      <c r="B181" s="223" t="str">
        <f>'Unit Data from Audit Worksheet'!C228</f>
        <v>LEO Note</v>
      </c>
      <c r="C181" s="209" t="str">
        <f>'Unit Data from Audit Worksheet'!D228</f>
        <v>If you have LEO pension assets and are reporting under GASB 68 please enter "Plan Fiduciary Net Position" which can be found on your RSI schedules and the Notes.</v>
      </c>
      <c r="D181" s="228"/>
      <c r="E181" s="229">
        <f>'Unit Data from Audit Worksheet'!F228</f>
        <v>0</v>
      </c>
      <c r="F181" s="222">
        <f>IF(L181&lt;0,"Error: Enter as a positive.",)</f>
        <v>0</v>
      </c>
      <c r="G181" s="224"/>
      <c r="H181" s="221"/>
      <c r="I181" s="32"/>
      <c r="J181" s="220">
        <v>602</v>
      </c>
      <c r="K181" s="23" t="s">
        <v>342</v>
      </c>
      <c r="L181" s="287">
        <f t="shared" si="15"/>
        <v>0</v>
      </c>
      <c r="P181" s="194"/>
      <c r="X181" s="549">
        <v>602</v>
      </c>
      <c r="Y181" s="284">
        <v>602</v>
      </c>
      <c r="AA181" s="384">
        <f t="shared" si="16"/>
        <v>0</v>
      </c>
      <c r="AB181" s="284">
        <f t="shared" si="17"/>
        <v>0</v>
      </c>
    </row>
    <row r="182" spans="1:28" ht="123" customHeight="1" x14ac:dyDescent="0.3">
      <c r="A182" s="210">
        <f>'Unit Data from Audit Worksheet'!A229</f>
        <v>619</v>
      </c>
      <c r="B182" s="223"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2" t="str">
        <f>IF(H182=L182,"","Column L does not equal Column H")</f>
        <v/>
      </c>
      <c r="G182" s="224"/>
      <c r="H182" s="95">
        <f>ROUND(IFERROR((L181/L180)*100,0),1)</f>
        <v>0</v>
      </c>
      <c r="I182" s="32"/>
      <c r="J182" s="212">
        <v>619</v>
      </c>
      <c r="K182" s="94" t="s">
        <v>446</v>
      </c>
      <c r="L182" s="719">
        <f t="shared" si="15"/>
        <v>0</v>
      </c>
      <c r="P182" s="194"/>
      <c r="X182" s="549">
        <v>619</v>
      </c>
      <c r="Y182" s="284">
        <v>619</v>
      </c>
      <c r="AA182" s="384">
        <f t="shared" si="16"/>
        <v>0</v>
      </c>
      <c r="AB182" s="284">
        <f t="shared" si="17"/>
        <v>0</v>
      </c>
    </row>
    <row r="183" spans="1:28" ht="113.25" customHeight="1" x14ac:dyDescent="0.3">
      <c r="A183" s="210">
        <v>621</v>
      </c>
      <c r="B183" s="51" t="s">
        <v>351</v>
      </c>
      <c r="C183" s="317" t="str">
        <f>'Unit Data from Audit Worksheet'!D231</f>
        <v xml:space="preserve">Unit's share of Retirement Health Benefit Fund Net OPEB Liability ($s)
- unit of government is a participating employer in the State's RHBF </v>
      </c>
      <c r="D183" s="88"/>
      <c r="E183" s="229">
        <f>'Unit Data from Audit Worksheet'!F231</f>
        <v>0</v>
      </c>
      <c r="F183" s="222">
        <f>IF(L183&lt;0,"Error: Enter as a positive.",)</f>
        <v>0</v>
      </c>
      <c r="G183" s="120"/>
      <c r="H183" s="221"/>
      <c r="I183" s="32"/>
      <c r="J183" s="318">
        <v>621</v>
      </c>
      <c r="K183" s="121" t="s">
        <v>450</v>
      </c>
      <c r="L183" s="287">
        <f t="shared" si="15"/>
        <v>0</v>
      </c>
      <c r="P183" s="195"/>
      <c r="X183" s="549">
        <v>621</v>
      </c>
      <c r="Y183" s="284">
        <v>621</v>
      </c>
      <c r="AA183" s="384">
        <f t="shared" si="16"/>
        <v>0</v>
      </c>
      <c r="AB183" s="284">
        <f t="shared" si="17"/>
        <v>0</v>
      </c>
    </row>
    <row r="184" spans="1:28" s="18" customFormat="1" ht="127.5" customHeight="1" x14ac:dyDescent="0.3">
      <c r="A184" s="313">
        <f>'Unit Data from Audit Worksheet'!A232</f>
        <v>547</v>
      </c>
      <c r="B184" s="223" t="str">
        <f>'Unit Data from Audit Worksheet'!C232</f>
        <v>OPEB Note</v>
      </c>
      <c r="C184" s="223"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28"/>
      <c r="E184" s="229">
        <f>'Unit Data from Audit Worksheet'!F232</f>
        <v>0</v>
      </c>
      <c r="F184" s="222" t="str">
        <f>IF(L187&lt;1,"Please answer this question","")</f>
        <v>Please answer this question</v>
      </c>
      <c r="G184" s="224"/>
      <c r="H184" s="221"/>
      <c r="I184" s="32"/>
      <c r="J184" s="220">
        <v>547</v>
      </c>
      <c r="K184" s="319" t="s">
        <v>295</v>
      </c>
      <c r="L184" s="287">
        <f t="shared" si="15"/>
        <v>0</v>
      </c>
      <c r="M184"/>
      <c r="P184" s="195"/>
      <c r="Q184" s="277"/>
      <c r="R184" s="3"/>
      <c r="S184" s="3"/>
      <c r="T184" s="3"/>
      <c r="U184" s="3"/>
      <c r="V184" s="3"/>
      <c r="W184" s="3"/>
      <c r="X184" s="549">
        <v>547</v>
      </c>
      <c r="Y184" s="284">
        <v>547</v>
      </c>
      <c r="Z184" s="3"/>
      <c r="AA184" s="384">
        <f t="shared" si="16"/>
        <v>0</v>
      </c>
      <c r="AB184" s="284">
        <f t="shared" si="17"/>
        <v>0</v>
      </c>
    </row>
    <row r="185" spans="1:28" s="18" customFormat="1" ht="99" customHeight="1" x14ac:dyDescent="0.3">
      <c r="A185" s="210">
        <f>'Unit Data from Audit Worksheet'!A233</f>
        <v>659</v>
      </c>
      <c r="B185" s="223" t="str">
        <f>'Unit Data from Audit Worksheet'!C233</f>
        <v>OPEB
 Note or RSI</v>
      </c>
      <c r="C185" s="209" t="str">
        <f>'Unit Data from Audit Worksheet'!D233</f>
        <v>Total OPEB benefits - total OPEB liability
If you do not provide benefit, please enter 0</v>
      </c>
      <c r="D185" s="228"/>
      <c r="E185" s="229">
        <f>'Unit Data from Audit Worksheet'!F233</f>
        <v>0</v>
      </c>
      <c r="F185" s="222">
        <f>IF(L185&lt;0,"Error: Enter as a positive.",)</f>
        <v>0</v>
      </c>
      <c r="G185" s="320" t="s">
        <v>1481</v>
      </c>
      <c r="H185" s="221"/>
      <c r="I185" s="32"/>
      <c r="J185" s="212">
        <v>659</v>
      </c>
      <c r="K185" s="211" t="s">
        <v>415</v>
      </c>
      <c r="L185" s="300">
        <f t="shared" si="15"/>
        <v>0</v>
      </c>
      <c r="M185"/>
      <c r="P185" s="195"/>
      <c r="Q185" s="277"/>
      <c r="R185" s="3"/>
      <c r="S185" s="3"/>
      <c r="T185" s="3"/>
      <c r="U185" s="3"/>
      <c r="V185" s="3"/>
      <c r="W185" s="3"/>
      <c r="X185" s="549">
        <v>659</v>
      </c>
      <c r="Y185" s="284">
        <v>659</v>
      </c>
      <c r="Z185" s="3"/>
      <c r="AA185" s="384">
        <f t="shared" si="16"/>
        <v>0</v>
      </c>
      <c r="AB185" s="284">
        <f t="shared" si="17"/>
        <v>0</v>
      </c>
    </row>
    <row r="186" spans="1:28" s="18" customFormat="1" ht="131.25" customHeight="1" x14ac:dyDescent="0.3">
      <c r="A186" s="210">
        <f>'Unit Data from Audit Worksheet'!A234</f>
        <v>660</v>
      </c>
      <c r="B186" s="223" t="str">
        <f>'Unit Data from Audit Worksheet'!C234</f>
        <v>OPEB
 Note or RSI</v>
      </c>
      <c r="C186" s="209" t="str">
        <f>'Unit Data from Audit Worksheet'!D234</f>
        <v>Total OPEB benefits- OPEB plan fiduciary net position
If no fiduciary net position, enter 0</v>
      </c>
      <c r="D186" s="228"/>
      <c r="E186" s="229">
        <f>'Unit Data from Audit Worksheet'!F234</f>
        <v>0</v>
      </c>
      <c r="F186" s="218">
        <f>IF(L186&lt;0,"Note: Number is normally positive.",)</f>
        <v>0</v>
      </c>
      <c r="G186" s="320" t="s">
        <v>1481</v>
      </c>
      <c r="H186" s="221"/>
      <c r="I186" s="32"/>
      <c r="J186" s="212">
        <v>660</v>
      </c>
      <c r="K186" s="211" t="s">
        <v>416</v>
      </c>
      <c r="L186" s="300">
        <f t="shared" si="15"/>
        <v>0</v>
      </c>
      <c r="M186"/>
      <c r="P186" s="195"/>
      <c r="Q186" s="277"/>
      <c r="R186" s="3"/>
      <c r="S186" s="3"/>
      <c r="T186" s="3"/>
      <c r="U186" s="3"/>
      <c r="V186" s="3"/>
      <c r="W186" s="3"/>
      <c r="X186" s="549">
        <v>660</v>
      </c>
      <c r="Y186" s="284">
        <v>660</v>
      </c>
      <c r="Z186" s="3"/>
      <c r="AA186" s="384">
        <f t="shared" si="16"/>
        <v>0</v>
      </c>
      <c r="AB186" s="284">
        <f t="shared" si="17"/>
        <v>0</v>
      </c>
    </row>
    <row r="187" spans="1:28" ht="134.25" customHeight="1" x14ac:dyDescent="0.3">
      <c r="A187" s="210">
        <f>'Unit Data from Audit Worksheet'!A235</f>
        <v>661</v>
      </c>
      <c r="B187" s="223" t="str">
        <f>'Unit Data from Audit Worksheet'!C235</f>
        <v>OPEB
RSI</v>
      </c>
      <c r="C187" s="209"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08">
        <f>'Unit Data from Audit Worksheet'!F235</f>
        <v>0</v>
      </c>
      <c r="F187" s="222" t="str">
        <f>IF(H187=L187,"","Column L does not equal Column H")</f>
        <v/>
      </c>
      <c r="G187" s="320" t="s">
        <v>1481</v>
      </c>
      <c r="H187" s="160">
        <f>ROUND(IFERROR((L186/L185)*100,0),1)</f>
        <v>0</v>
      </c>
      <c r="I187" s="32"/>
      <c r="J187" s="212">
        <v>661</v>
      </c>
      <c r="K187" s="226" t="s">
        <v>418</v>
      </c>
      <c r="L187" s="720">
        <f>IF(D187="",E187,D187)</f>
        <v>0</v>
      </c>
      <c r="P187" s="195"/>
      <c r="X187" s="549">
        <v>661</v>
      </c>
      <c r="Y187" s="3">
        <v>661</v>
      </c>
      <c r="AA187" s="384">
        <f t="shared" si="16"/>
        <v>0</v>
      </c>
      <c r="AB187" s="284">
        <f t="shared" si="17"/>
        <v>0</v>
      </c>
    </row>
    <row r="188" spans="1:28" ht="65.25" customHeight="1" x14ac:dyDescent="0.3">
      <c r="A188" s="210">
        <f>'Unit Data from Audit Worksheet'!A238</f>
        <v>371</v>
      </c>
      <c r="B188" s="223" t="str">
        <f>'Unit Data from Audit Worksheet'!C238</f>
        <v>Transfer Note</v>
      </c>
      <c r="C188" s="209" t="str">
        <f>'Unit Data from Audit Worksheet'!D238</f>
        <v>Amount of Transfers from the General Fund to the Debt Service Fund (Enter as positive)</v>
      </c>
      <c r="D188" s="228"/>
      <c r="E188" s="229">
        <f>'Unit Data from Audit Worksheet'!F238</f>
        <v>0</v>
      </c>
      <c r="F188" s="222">
        <f>IF(L188&lt;0,"Error: Enter as a positive.",)</f>
        <v>0</v>
      </c>
      <c r="G188" s="224"/>
      <c r="H188" s="221"/>
      <c r="I188" s="32"/>
      <c r="J188" s="33">
        <v>371</v>
      </c>
      <c r="K188" s="219" t="s">
        <v>248</v>
      </c>
      <c r="L188" s="287">
        <f t="shared" si="15"/>
        <v>0</v>
      </c>
      <c r="P188" s="197"/>
      <c r="X188" s="549">
        <v>371</v>
      </c>
      <c r="Y188" s="3">
        <v>371</v>
      </c>
      <c r="AA188" s="384">
        <f t="shared" si="16"/>
        <v>0</v>
      </c>
      <c r="AB188" s="284">
        <f t="shared" si="17"/>
        <v>0</v>
      </c>
    </row>
    <row r="189" spans="1:28" s="384" customFormat="1" ht="65.25" customHeight="1" x14ac:dyDescent="0.3">
      <c r="A189" s="302">
        <f>'Unit Data from Audit Worksheet'!A239</f>
        <v>1075</v>
      </c>
      <c r="B189" s="227" t="str">
        <f>'Unit Data from Audit Worksheet'!C239</f>
        <v>Transfer Note</v>
      </c>
      <c r="C189" s="303" t="str">
        <f>'Unit Data from Audit Worksheet'!D239</f>
        <v>Transfers from General Fund to Water and Sewer Fund.  (Enter as positive)</v>
      </c>
      <c r="D189" s="228"/>
      <c r="E189" s="230">
        <f>'Unit Data from Audit Worksheet'!F239</f>
        <v>0</v>
      </c>
      <c r="F189" s="222"/>
      <c r="G189" s="224"/>
      <c r="H189" s="221"/>
      <c r="I189" s="32"/>
      <c r="J189" s="782">
        <v>1075</v>
      </c>
      <c r="K189" s="118" t="s">
        <v>1573</v>
      </c>
      <c r="L189" s="304">
        <f t="shared" si="15"/>
        <v>0</v>
      </c>
      <c r="M189" s="180"/>
      <c r="P189" s="197"/>
      <c r="Q189" s="277"/>
      <c r="X189" s="549"/>
      <c r="AB189" s="284"/>
    </row>
    <row r="190" spans="1:28" s="384" customFormat="1" ht="65.25" customHeight="1" x14ac:dyDescent="0.3">
      <c r="A190" s="302">
        <f>'Unit Data from Audit Worksheet'!A240</f>
        <v>1076</v>
      </c>
      <c r="B190" s="227" t="str">
        <f>'Unit Data from Audit Worksheet'!C240</f>
        <v>Transfer Note</v>
      </c>
      <c r="C190" s="303" t="str">
        <f>'Unit Data from Audit Worksheet'!D240</f>
        <v>Transfers from Water and Sewer to General Fund.  (Enter as positive)</v>
      </c>
      <c r="D190" s="228"/>
      <c r="E190" s="230">
        <f>'Unit Data from Audit Worksheet'!F240</f>
        <v>0</v>
      </c>
      <c r="F190" s="222"/>
      <c r="G190" s="224"/>
      <c r="H190" s="221"/>
      <c r="I190" s="32"/>
      <c r="J190" s="782">
        <v>1076</v>
      </c>
      <c r="K190" s="118" t="s">
        <v>1574</v>
      </c>
      <c r="L190" s="304">
        <f t="shared" si="15"/>
        <v>0</v>
      </c>
      <c r="M190" s="180"/>
      <c r="P190" s="197"/>
      <c r="Q190" s="277"/>
      <c r="X190" s="549"/>
      <c r="AB190" s="284"/>
    </row>
    <row r="191" spans="1:28" s="384" customFormat="1" ht="65.25" customHeight="1" x14ac:dyDescent="0.3">
      <c r="A191" s="302">
        <f>'Unit Data from Audit Worksheet'!A241</f>
        <v>1077</v>
      </c>
      <c r="B191" s="227" t="str">
        <f>'Unit Data from Audit Worksheet'!C241</f>
        <v>Water and Sewer - Fund Revenue, Expenses &amp; Changes in Fund Net Position or Notes to Financial Statements</v>
      </c>
      <c r="C191" s="303" t="str">
        <f>'Unit Data from Audit Worksheet'!D241</f>
        <v>Amount transferred from the Water and Sewer Fund to  Water and Sewer Capital Project Funds</v>
      </c>
      <c r="D191" s="228"/>
      <c r="E191" s="230">
        <f>'Unit Data from Audit Worksheet'!F241</f>
        <v>0</v>
      </c>
      <c r="F191" s="222"/>
      <c r="G191" s="224"/>
      <c r="H191" s="221"/>
      <c r="I191" s="32"/>
      <c r="J191" s="782">
        <v>1077</v>
      </c>
      <c r="K191" s="118" t="s">
        <v>1941</v>
      </c>
      <c r="L191" s="304">
        <f t="shared" si="15"/>
        <v>0</v>
      </c>
      <c r="M191" s="180"/>
      <c r="P191" s="197"/>
      <c r="Q191" s="277"/>
      <c r="X191" s="549"/>
      <c r="AB191" s="284"/>
    </row>
    <row r="192" spans="1:28" ht="63" customHeight="1" x14ac:dyDescent="0.3">
      <c r="A192" s="210">
        <f>'Unit Data from Audit Worksheet'!A242</f>
        <v>513</v>
      </c>
      <c r="B192" s="223" t="str">
        <f>'Unit Data from Audit Worksheet'!C242</f>
        <v>Transfer Note</v>
      </c>
      <c r="C192" s="209" t="str">
        <f>'Unit Data from Audit Worksheet'!D242</f>
        <v>Amount of Transfers from the General Fund to the Electric Fund  (Enter as positive)</v>
      </c>
      <c r="D192" s="228"/>
      <c r="E192" s="229">
        <f>'Unit Data from Audit Worksheet'!F242</f>
        <v>0</v>
      </c>
      <c r="F192" s="222">
        <f>IF(L192&lt;0,"Error: Enter as a positive.",)</f>
        <v>0</v>
      </c>
      <c r="G192" s="224"/>
      <c r="H192" s="221"/>
      <c r="I192" s="32"/>
      <c r="J192" s="220">
        <v>513</v>
      </c>
      <c r="K192" s="219" t="s">
        <v>249</v>
      </c>
      <c r="L192" s="287">
        <f t="shared" si="15"/>
        <v>0</v>
      </c>
      <c r="P192" s="197"/>
      <c r="X192" s="549">
        <v>513</v>
      </c>
      <c r="Y192" s="3">
        <v>513</v>
      </c>
      <c r="AA192" s="384">
        <f t="shared" si="16"/>
        <v>0</v>
      </c>
      <c r="AB192" s="284">
        <f t="shared" si="17"/>
        <v>0</v>
      </c>
    </row>
    <row r="193" spans="1:28" ht="89.25" customHeight="1" x14ac:dyDescent="0.3">
      <c r="A193" s="210">
        <f>'Unit Data from Audit Worksheet'!A243</f>
        <v>514</v>
      </c>
      <c r="B193" s="223" t="str">
        <f>'Unit Data from Audit Worksheet'!C243</f>
        <v>Transfer Note</v>
      </c>
      <c r="C193" s="209" t="str">
        <f>'Unit Data from Audit Worksheet'!D243</f>
        <v>Amount of Transfers from the Electric Fund to the General Fund  (Enter as positive)
Include:  Payment in Lieu of Taxes (PILOT)</v>
      </c>
      <c r="D193" s="228"/>
      <c r="E193" s="229">
        <f>'Unit Data from Audit Worksheet'!F243</f>
        <v>0</v>
      </c>
      <c r="F193" s="222">
        <f>IF(L193&lt;0,"Error: Enter as a positive.",)</f>
        <v>0</v>
      </c>
      <c r="G193" s="224"/>
      <c r="H193" s="221"/>
      <c r="I193" s="32"/>
      <c r="J193" s="220">
        <v>514</v>
      </c>
      <c r="K193" s="219" t="s">
        <v>250</v>
      </c>
      <c r="L193" s="287">
        <f t="shared" si="15"/>
        <v>0</v>
      </c>
      <c r="P193" s="197"/>
      <c r="X193" s="549">
        <v>514</v>
      </c>
      <c r="Y193" s="3">
        <v>514</v>
      </c>
      <c r="AA193" s="384">
        <f t="shared" si="16"/>
        <v>0</v>
      </c>
      <c r="AB193" s="284">
        <f t="shared" si="17"/>
        <v>0</v>
      </c>
    </row>
    <row r="194" spans="1:28" ht="89.25" customHeight="1" x14ac:dyDescent="0.3">
      <c r="A194" s="210">
        <f>'Unit Data from Audit Worksheet'!A244</f>
        <v>990</v>
      </c>
      <c r="B194" s="223" t="str">
        <f>'Unit Data from Audit Worksheet'!C244</f>
        <v>Transfer Note</v>
      </c>
      <c r="C194" s="209" t="str">
        <f>'Unit Data from Audit Worksheet'!D244</f>
        <v>Amount of transfer out of the Electric to the General Fund that is for Payment in Lieu of Taxes (PILOT)</v>
      </c>
      <c r="D194" s="228"/>
      <c r="E194" s="229">
        <f>'Unit Data from Audit Worksheet'!F244</f>
        <v>0</v>
      </c>
      <c r="F194" s="222"/>
      <c r="G194" s="224"/>
      <c r="H194" s="221"/>
      <c r="I194" s="32"/>
      <c r="J194" s="220">
        <v>990</v>
      </c>
      <c r="K194" s="219" t="s">
        <v>575</v>
      </c>
      <c r="L194" s="287">
        <f t="shared" si="15"/>
        <v>0</v>
      </c>
      <c r="P194" s="197"/>
      <c r="X194" s="549">
        <v>990</v>
      </c>
      <c r="Y194" s="3">
        <v>990</v>
      </c>
      <c r="AA194" s="384">
        <f t="shared" si="16"/>
        <v>0</v>
      </c>
      <c r="AB194" s="284">
        <f t="shared" si="17"/>
        <v>0</v>
      </c>
    </row>
    <row r="195" spans="1:28" s="384" customFormat="1" ht="89.25" customHeight="1" x14ac:dyDescent="0.3">
      <c r="A195" s="210">
        <f>'Unit Data from Audit Worksheet'!A245</f>
        <v>1051</v>
      </c>
      <c r="B195" s="223" t="str">
        <f>'Unit Data from Audit Worksheet'!C245</f>
        <v>Electric Fund Revenue, Expenses &amp; Changes in Fund Net Position or Notes to Financial Statements</v>
      </c>
      <c r="C195" s="209" t="str">
        <f>'Unit Data from Audit Worksheet'!D245</f>
        <v>Transfers to Electric Capital Projects</v>
      </c>
      <c r="D195" s="228"/>
      <c r="E195" s="229">
        <f>'Unit Data from Audit Worksheet'!F245</f>
        <v>0</v>
      </c>
      <c r="F195" s="222"/>
      <c r="G195" s="224"/>
      <c r="H195" s="221"/>
      <c r="I195" s="32"/>
      <c r="J195" s="220">
        <v>1051</v>
      </c>
      <c r="K195" s="219" t="s">
        <v>1424</v>
      </c>
      <c r="L195" s="293">
        <f t="shared" si="15"/>
        <v>0</v>
      </c>
      <c r="M195"/>
      <c r="P195" s="197"/>
      <c r="Q195" s="277"/>
      <c r="X195" s="549"/>
      <c r="AB195" s="284"/>
    </row>
    <row r="196" spans="1:28" ht="84.75" customHeight="1" x14ac:dyDescent="0.3">
      <c r="A196" s="321">
        <f>'Unit Data from Audit Worksheet'!A247</f>
        <v>6</v>
      </c>
      <c r="B196" s="47" t="str">
        <f>'Unit Data from Audit Worksheet'!C247</f>
        <v>Fund Balance Note</v>
      </c>
      <c r="C196" s="296" t="str">
        <f>'Unit Data from Audit Worksheet'!D247</f>
        <v>General Fund -  Total Encumbrances.  You will probably have to refer to the note disclosure where the amount of encumbrances is listed.</v>
      </c>
      <c r="D196" s="228"/>
      <c r="E196" s="144">
        <f>'Unit Data from Audit Worksheet'!F247</f>
        <v>0</v>
      </c>
      <c r="F196" s="31">
        <f>IF(L196&lt;0,"Error: Enter as a positive.",)</f>
        <v>0</v>
      </c>
      <c r="G196" s="66"/>
      <c r="H196" s="221"/>
      <c r="I196" s="32"/>
      <c r="J196" s="35">
        <v>6</v>
      </c>
      <c r="K196" s="125" t="s">
        <v>251</v>
      </c>
      <c r="L196" s="287">
        <f t="shared" si="15"/>
        <v>0</v>
      </c>
      <c r="P196" s="197"/>
      <c r="X196" s="549">
        <v>6</v>
      </c>
      <c r="Y196" s="3">
        <v>6</v>
      </c>
      <c r="AA196" s="384">
        <f t="shared" si="16"/>
        <v>0</v>
      </c>
      <c r="AB196" s="284">
        <f t="shared" si="17"/>
        <v>0</v>
      </c>
    </row>
    <row r="197" spans="1:28" ht="117.75" customHeight="1" x14ac:dyDescent="0.3">
      <c r="A197" s="210">
        <f>'Unit Data from Audit Worksheet'!A249</f>
        <v>541</v>
      </c>
      <c r="B197" s="223" t="str">
        <f>'Unit Data from Audit Worksheet'!C249</f>
        <v>Water Sewer - Budget Actual Statement</v>
      </c>
      <c r="C197" s="223"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28"/>
      <c r="E197" s="229">
        <f>'Unit Data from Audit Worksheet'!F249</f>
        <v>0</v>
      </c>
      <c r="F197" s="222"/>
      <c r="G197" s="224"/>
      <c r="H197" s="221"/>
      <c r="I197" s="32"/>
      <c r="J197" s="220">
        <v>541</v>
      </c>
      <c r="K197" s="81" t="s">
        <v>308</v>
      </c>
      <c r="L197" s="287">
        <f t="shared" si="15"/>
        <v>0</v>
      </c>
      <c r="P197" s="197"/>
      <c r="X197" s="549">
        <v>541</v>
      </c>
      <c r="Y197" s="3">
        <v>541</v>
      </c>
      <c r="AA197" s="384">
        <f t="shared" si="16"/>
        <v>0</v>
      </c>
      <c r="AB197" s="284">
        <f t="shared" si="17"/>
        <v>0</v>
      </c>
    </row>
    <row r="198" spans="1:28" ht="94.5" customHeight="1" x14ac:dyDescent="0.3">
      <c r="A198" s="210">
        <f>'Unit Data from Audit Worksheet'!A251</f>
        <v>542</v>
      </c>
      <c r="B198" s="223" t="str">
        <f>'Unit Data from Audit Worksheet'!C251</f>
        <v>Water Sewer - Disclosed in the Notes or in the recently approved Budget for next year.</v>
      </c>
      <c r="C198" s="209" t="str">
        <f>'Unit Data from Audit Worksheet'!D251</f>
        <v>Amount of the Water Sewer Fund Balance appropriated in next year's budget?</v>
      </c>
      <c r="D198" s="228"/>
      <c r="E198" s="229">
        <f>'Unit Data from Audit Worksheet'!F251</f>
        <v>0</v>
      </c>
      <c r="F198" s="222"/>
      <c r="G198" s="224"/>
      <c r="H198" s="221"/>
      <c r="I198" s="32"/>
      <c r="J198" s="220">
        <v>542</v>
      </c>
      <c r="K198" s="219" t="s">
        <v>252</v>
      </c>
      <c r="L198" s="287">
        <f t="shared" si="15"/>
        <v>0</v>
      </c>
      <c r="N198" s="54" t="s">
        <v>299</v>
      </c>
      <c r="P198" s="197"/>
      <c r="X198" s="549">
        <v>542</v>
      </c>
      <c r="Y198" s="3">
        <v>542</v>
      </c>
      <c r="AA198" s="384">
        <f t="shared" si="16"/>
        <v>0</v>
      </c>
      <c r="AB198" s="284">
        <f t="shared" si="17"/>
        <v>0</v>
      </c>
    </row>
    <row r="199" spans="1:28" ht="93.75" customHeight="1" x14ac:dyDescent="0.3">
      <c r="A199" s="210">
        <f>'Unit Data from Audit Worksheet'!A254</f>
        <v>528</v>
      </c>
      <c r="B199" s="223" t="str">
        <f>'Unit Data from Audit Worksheet'!C254</f>
        <v>Analysis of Current Tax Levy Schedule</v>
      </c>
      <c r="C199" s="209" t="str">
        <f>'Unit Data from Audit Worksheet'!D254</f>
        <v>Please enter the Net Current year's levy for property excluding registered motor vehicles-- (after adjusting for discoveries and abatements) - 
Exclude Supplemental Taxes</v>
      </c>
      <c r="D199" s="228"/>
      <c r="E199" s="229">
        <f>'Unit Data from Audit Worksheet'!F254</f>
        <v>0</v>
      </c>
      <c r="F199" s="75" t="str">
        <f>IF(L199=0,"Must be completed if unit levys taxes","")</f>
        <v>Must be completed if unit levys taxes</v>
      </c>
      <c r="G199" s="224"/>
      <c r="H199" s="221"/>
      <c r="I199" s="32"/>
      <c r="J199" s="220">
        <v>528</v>
      </c>
      <c r="K199" s="322" t="s">
        <v>257</v>
      </c>
      <c r="L199" s="287">
        <f t="shared" si="15"/>
        <v>0</v>
      </c>
      <c r="N199" s="76"/>
      <c r="P199" s="197"/>
      <c r="X199" s="549">
        <v>528</v>
      </c>
      <c r="Y199" s="3">
        <v>528</v>
      </c>
      <c r="AA199" s="384">
        <f t="shared" si="16"/>
        <v>0</v>
      </c>
      <c r="AB199" s="284">
        <f t="shared" si="17"/>
        <v>0</v>
      </c>
    </row>
    <row r="200" spans="1:28" s="18" customFormat="1" ht="79.5" customHeight="1" x14ac:dyDescent="0.3">
      <c r="A200" s="210">
        <f>'Unit Data from Audit Worksheet'!A255</f>
        <v>529</v>
      </c>
      <c r="B200" s="223" t="str">
        <f>'Unit Data from Audit Worksheet'!C255</f>
        <v>Analysis of Current Tax Levy Schedule</v>
      </c>
      <c r="C200" s="209" t="str">
        <f>'Unit Data from Audit Worksheet'!D255</f>
        <v>Please enter the Net Current year's levy -- Motor vehicles (only) (after adjusting for discoveries and abatements)
Exclude supplemental taxes</v>
      </c>
      <c r="D200" s="228"/>
      <c r="E200" s="229">
        <f>'Unit Data from Audit Worksheet'!F255</f>
        <v>0</v>
      </c>
      <c r="F200" s="75" t="str">
        <f>IF(L200=0,"Must be completed if unit levys taxes","")</f>
        <v>Must be completed if unit levys taxes</v>
      </c>
      <c r="G200" s="224"/>
      <c r="H200" s="221"/>
      <c r="I200" s="32"/>
      <c r="J200" s="220">
        <v>529</v>
      </c>
      <c r="K200" s="322" t="s">
        <v>258</v>
      </c>
      <c r="L200" s="287">
        <f t="shared" si="15"/>
        <v>0</v>
      </c>
      <c r="M200"/>
      <c r="N200" s="76"/>
      <c r="P200" s="197"/>
      <c r="Q200" s="277"/>
      <c r="R200" s="3"/>
      <c r="S200" s="3"/>
      <c r="T200" s="3"/>
      <c r="U200" s="3"/>
      <c r="V200" s="3"/>
      <c r="W200" s="3"/>
      <c r="X200" s="549">
        <v>529</v>
      </c>
      <c r="Y200" s="3">
        <v>529</v>
      </c>
      <c r="Z200" s="3"/>
      <c r="AA200" s="384">
        <f t="shared" si="16"/>
        <v>0</v>
      </c>
      <c r="AB200" s="284">
        <f t="shared" si="17"/>
        <v>0</v>
      </c>
    </row>
    <row r="201" spans="1:28" s="18" customFormat="1" ht="75" customHeight="1" x14ac:dyDescent="0.3">
      <c r="A201" s="210">
        <f>'Unit Data from Audit Worksheet'!A256</f>
        <v>530</v>
      </c>
      <c r="B201" s="223" t="str">
        <f>'Unit Data from Audit Worksheet'!C256</f>
        <v>Analysis of Current Tax Levy Schedule</v>
      </c>
      <c r="C201" s="209" t="str">
        <f>'Unit Data from Audit Worksheet'!D256</f>
        <v>Uncollected Taxes - Curr Year's Levy Exclude Motor Vehicles
Exclude supplemental taxes</v>
      </c>
      <c r="D201" s="228"/>
      <c r="E201" s="229">
        <f>'Unit Data from Audit Worksheet'!F256</f>
        <v>0</v>
      </c>
      <c r="F201" s="75" t="str">
        <f>IF(L201=0,"Must be completed if unit levys taxes","")</f>
        <v>Must be completed if unit levys taxes</v>
      </c>
      <c r="G201" s="224"/>
      <c r="H201" s="221"/>
      <c r="I201" s="32"/>
      <c r="J201" s="220">
        <v>530</v>
      </c>
      <c r="K201" s="322" t="s">
        <v>259</v>
      </c>
      <c r="L201" s="287">
        <f t="shared" ref="L201:L207" si="18">IF(D201="",E201,D201)</f>
        <v>0</v>
      </c>
      <c r="M201"/>
      <c r="N201" s="76"/>
      <c r="P201" s="197"/>
      <c r="Q201" s="277"/>
      <c r="R201" s="3"/>
      <c r="S201" s="3"/>
      <c r="T201" s="3"/>
      <c r="U201" s="3"/>
      <c r="V201" s="3"/>
      <c r="W201" s="3"/>
      <c r="X201" s="549">
        <v>530</v>
      </c>
      <c r="Y201" s="3">
        <v>530</v>
      </c>
      <c r="Z201" s="3"/>
      <c r="AA201" s="384">
        <f t="shared" si="16"/>
        <v>0</v>
      </c>
      <c r="AB201" s="284">
        <f t="shared" si="17"/>
        <v>0</v>
      </c>
    </row>
    <row r="202" spans="1:28" s="18" customFormat="1" ht="68.25" customHeight="1" x14ac:dyDescent="0.3">
      <c r="A202" s="210">
        <f>'Unit Data from Audit Worksheet'!A257</f>
        <v>531</v>
      </c>
      <c r="B202" s="223" t="str">
        <f>'Unit Data from Audit Worksheet'!C257</f>
        <v>Analysis of Current Tax Levy Schedule</v>
      </c>
      <c r="C202" s="209" t="str">
        <f>'Unit Data from Audit Worksheet'!D257</f>
        <v>Uncollected Taxes - Curr Year's Levy Motor Vehicles
Exclude supplemental taxes</v>
      </c>
      <c r="D202" s="228"/>
      <c r="E202" s="229">
        <f>'Unit Data from Audit Worksheet'!F257</f>
        <v>0</v>
      </c>
      <c r="F202" s="75"/>
      <c r="G202" s="224"/>
      <c r="H202" s="221"/>
      <c r="I202" s="32"/>
      <c r="J202" s="220">
        <v>531</v>
      </c>
      <c r="K202" s="322" t="s">
        <v>260</v>
      </c>
      <c r="L202" s="287">
        <f t="shared" si="18"/>
        <v>0</v>
      </c>
      <c r="M202"/>
      <c r="N202" s="76" t="str">
        <f>IF(T183=0,"Must be completed if unit levys taxes, zero acceptable if Motor Vehicle collection rate is 100%","")</f>
        <v>Must be completed if unit levys taxes, zero acceptable if Motor Vehicle collection rate is 100%</v>
      </c>
      <c r="P202" s="197"/>
      <c r="Q202" s="277"/>
      <c r="R202" s="3"/>
      <c r="S202" s="3"/>
      <c r="T202" s="3"/>
      <c r="U202" s="3"/>
      <c r="V202" s="3"/>
      <c r="W202" s="3"/>
      <c r="X202" s="549">
        <v>531</v>
      </c>
      <c r="Y202" s="3">
        <v>531</v>
      </c>
      <c r="Z202" s="3"/>
      <c r="AA202" s="384">
        <f t="shared" si="16"/>
        <v>0</v>
      </c>
      <c r="AB202" s="284">
        <f t="shared" si="17"/>
        <v>0</v>
      </c>
    </row>
    <row r="203" spans="1:28" ht="90.75" customHeight="1" x14ac:dyDescent="0.3">
      <c r="A203" s="210">
        <f>'Unit Data from Audit Worksheet'!A258</f>
        <v>61</v>
      </c>
      <c r="B203" s="223" t="str">
        <f>'Unit Data from Audit Worksheet'!C258</f>
        <v>Analysis of Current Tax Levy Schedule</v>
      </c>
      <c r="C203" s="209"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4" t="str">
        <f>IF(Q180=1," Included in error count"," ")</f>
        <v xml:space="preserve"> </v>
      </c>
      <c r="H203" s="224">
        <f>ROUND(IFERROR(((L199+L200)-(L201+L202))/(L199+L200)*100,0),2)</f>
        <v>0</v>
      </c>
      <c r="I203" s="32"/>
      <c r="J203" s="220">
        <v>61</v>
      </c>
      <c r="K203" s="52" t="s">
        <v>254</v>
      </c>
      <c r="L203" s="721">
        <f t="shared" si="18"/>
        <v>0</v>
      </c>
      <c r="N203" s="76"/>
      <c r="P203" s="197"/>
      <c r="X203" s="549">
        <v>61</v>
      </c>
      <c r="Y203" s="3">
        <v>61</v>
      </c>
      <c r="AA203" s="384">
        <f t="shared" si="16"/>
        <v>0</v>
      </c>
      <c r="AB203" s="284">
        <f t="shared" si="17"/>
        <v>0</v>
      </c>
    </row>
    <row r="204" spans="1:28" ht="89.25" customHeight="1" x14ac:dyDescent="0.3">
      <c r="A204" s="210">
        <f>'Unit Data from Audit Worksheet'!A259</f>
        <v>102</v>
      </c>
      <c r="B204" s="223" t="str">
        <f>'Unit Data from Audit Worksheet'!C259</f>
        <v>Analysis of Current Tax Levy Schedule</v>
      </c>
      <c r="C204" s="209"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4" t="str">
        <f>IF(Q181=1," Included in error count"," ")</f>
        <v xml:space="preserve"> </v>
      </c>
      <c r="H204" s="224">
        <f>ROUND(IFERROR(((L199)-(L201))/(L199)*100,0),2)</f>
        <v>0</v>
      </c>
      <c r="I204" s="32"/>
      <c r="J204" s="220">
        <v>102</v>
      </c>
      <c r="K204" s="52" t="s">
        <v>255</v>
      </c>
      <c r="L204" s="721">
        <f t="shared" si="18"/>
        <v>0</v>
      </c>
      <c r="N204" s="76"/>
      <c r="P204" s="197"/>
      <c r="X204" s="549">
        <v>102</v>
      </c>
      <c r="Y204" s="3">
        <v>102</v>
      </c>
      <c r="AA204" s="384">
        <f t="shared" si="16"/>
        <v>0</v>
      </c>
      <c r="AB204" s="284">
        <f t="shared" si="17"/>
        <v>0</v>
      </c>
    </row>
    <row r="205" spans="1:28" ht="87.75" customHeight="1" x14ac:dyDescent="0.3">
      <c r="A205" s="210">
        <f>'Unit Data from Audit Worksheet'!A260</f>
        <v>103</v>
      </c>
      <c r="B205" s="223" t="str">
        <f>'Unit Data from Audit Worksheet'!C260</f>
        <v>Analysis of Current Tax Levy Schedule</v>
      </c>
      <c r="C205" s="209"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4" t="str">
        <f>IF(Q182=1," Included in error count"," ")</f>
        <v xml:space="preserve"> </v>
      </c>
      <c r="H205" s="224">
        <f>ROUND(IFERROR(((L200)-(L202))/(L200)*100,0),2)</f>
        <v>0</v>
      </c>
      <c r="I205" s="32"/>
      <c r="J205" s="220">
        <v>103</v>
      </c>
      <c r="K205" s="52" t="s">
        <v>256</v>
      </c>
      <c r="L205" s="721">
        <f t="shared" si="18"/>
        <v>0</v>
      </c>
      <c r="N205" s="76"/>
      <c r="P205" s="197"/>
      <c r="X205" s="549">
        <v>103</v>
      </c>
      <c r="Y205" s="3">
        <v>103</v>
      </c>
      <c r="AA205" s="384">
        <f t="shared" si="16"/>
        <v>0</v>
      </c>
      <c r="AB205" s="284">
        <f t="shared" si="17"/>
        <v>0</v>
      </c>
    </row>
    <row r="206" spans="1:28" ht="86.25" customHeight="1" x14ac:dyDescent="0.3">
      <c r="A206" s="210">
        <f>'Unit Data from Audit Worksheet'!A261</f>
        <v>544</v>
      </c>
      <c r="B206" s="223" t="str">
        <f>'Unit Data from Audit Worksheet'!C261</f>
        <v>Analysis of Current Tax Levy Schedule</v>
      </c>
      <c r="C206" s="209" t="str">
        <f>'Unit Data from Audit Worksheet'!D261</f>
        <v>Property Tax Increase for Year Audited- enter amount of  increase in cents per $100 - leave blank if no increase 
Exclude supplemental taxes</v>
      </c>
      <c r="D206" s="228"/>
      <c r="E206" s="138">
        <f>'Unit Data from Audit Worksheet'!F261</f>
        <v>0</v>
      </c>
      <c r="F206" s="96"/>
      <c r="G206" s="224"/>
      <c r="H206" s="221">
        <f>'Unit Data from Audit Worksheet'!I261</f>
        <v>0</v>
      </c>
      <c r="I206" s="32"/>
      <c r="J206" s="220">
        <v>544</v>
      </c>
      <c r="K206" s="52" t="s">
        <v>52</v>
      </c>
      <c r="L206" s="323">
        <f t="shared" si="18"/>
        <v>0</v>
      </c>
      <c r="N206" s="54" t="s">
        <v>299</v>
      </c>
      <c r="P206" s="197"/>
      <c r="X206" s="549">
        <v>544</v>
      </c>
      <c r="Y206" s="3">
        <v>544</v>
      </c>
      <c r="AA206" s="384">
        <f t="shared" si="16"/>
        <v>0</v>
      </c>
      <c r="AB206" s="284">
        <f t="shared" si="17"/>
        <v>0</v>
      </c>
    </row>
    <row r="207" spans="1:28" ht="93.75" customHeight="1" x14ac:dyDescent="0.3">
      <c r="A207" s="210">
        <f>'Unit Data from Audit Worksheet'!A262</f>
        <v>545</v>
      </c>
      <c r="B207" s="223" t="str">
        <f>'Unit Data from Audit Worksheet'!C262</f>
        <v>Analysis of Current Tax Levy Schedule</v>
      </c>
      <c r="C207" s="209" t="str">
        <f>'Unit Data from Audit Worksheet'!D262</f>
        <v>Property Tax Increase for budget year after fiscal year being reported - enter amount of increase in cents per $100- leave blank if no increase
Exclude supplemental taxes</v>
      </c>
      <c r="D207" s="228"/>
      <c r="E207" s="138">
        <f>'Unit Data from Audit Worksheet'!F262</f>
        <v>0</v>
      </c>
      <c r="F207" s="222"/>
      <c r="G207" s="224"/>
      <c r="H207" s="221">
        <f>'Unit Data from Audit Worksheet'!I262</f>
        <v>0</v>
      </c>
      <c r="I207" s="32"/>
      <c r="J207" s="97">
        <v>545</v>
      </c>
      <c r="K207" s="52" t="s">
        <v>53</v>
      </c>
      <c r="L207" s="323">
        <f t="shared" si="18"/>
        <v>0</v>
      </c>
      <c r="N207" s="54" t="s">
        <v>299</v>
      </c>
      <c r="O207" s="295"/>
      <c r="P207" s="197"/>
      <c r="X207" s="549">
        <v>545</v>
      </c>
      <c r="Y207" s="3">
        <v>545</v>
      </c>
      <c r="AA207" s="384">
        <f t="shared" si="16"/>
        <v>0</v>
      </c>
      <c r="AB207" s="284">
        <f t="shared" si="17"/>
        <v>0</v>
      </c>
    </row>
    <row r="208" spans="1:28" ht="72.75" customHeight="1" x14ac:dyDescent="0.3">
      <c r="A208" s="210">
        <f>'Unit Data from Audit Worksheet'!A263</f>
        <v>624</v>
      </c>
      <c r="B208" s="223"/>
      <c r="C208" s="209" t="str">
        <f>'Unit Data from Audit Worksheet'!D263</f>
        <v>Does the County collect real estate property taxes on your behalf? Select "1" for "yes and "2" for "No"</v>
      </c>
      <c r="D208" s="228"/>
      <c r="E208" s="146">
        <f>'Unit Data from Audit Worksheet'!F263</f>
        <v>0</v>
      </c>
      <c r="F208" s="222"/>
      <c r="G208" s="224"/>
      <c r="H208" s="221"/>
      <c r="I208" s="32"/>
      <c r="J208" s="97">
        <v>624</v>
      </c>
      <c r="K208" s="52" t="s">
        <v>356</v>
      </c>
      <c r="L208" s="287">
        <f t="shared" ref="L208:L226" si="19">IF(D208="",E208,D208)</f>
        <v>0</v>
      </c>
      <c r="P208" s="197"/>
      <c r="X208" s="549">
        <v>624</v>
      </c>
      <c r="Y208" s="3">
        <v>624</v>
      </c>
      <c r="AA208" s="384">
        <f t="shared" si="16"/>
        <v>0</v>
      </c>
      <c r="AB208" s="284">
        <f t="shared" si="17"/>
        <v>0</v>
      </c>
    </row>
    <row r="209" spans="1:28" ht="72.75" customHeight="1" x14ac:dyDescent="0.3">
      <c r="A209" s="210">
        <f>'Unit Data from Audit Worksheet'!A264</f>
        <v>648</v>
      </c>
      <c r="B209" s="223"/>
      <c r="C209" s="209" t="str">
        <f>'Unit Data from Audit Worksheet'!D264</f>
        <v>Please enter your tax rate for ad valorem in effect for fiscal year audited.  Example 60 cents per 100 would be entered as .60</v>
      </c>
      <c r="D209" s="228"/>
      <c r="E209" s="138">
        <f>'Unit Data from Audit Worksheet'!F264</f>
        <v>0</v>
      </c>
      <c r="F209" s="222"/>
      <c r="G209" s="224"/>
      <c r="H209" s="221"/>
      <c r="I209" s="32"/>
      <c r="J209" s="97">
        <v>648</v>
      </c>
      <c r="K209" s="324" t="s">
        <v>597</v>
      </c>
      <c r="L209" s="722">
        <f t="shared" si="19"/>
        <v>0</v>
      </c>
      <c r="P209" s="197"/>
      <c r="X209" s="549">
        <v>648</v>
      </c>
      <c r="Y209" s="3">
        <v>648</v>
      </c>
      <c r="AA209" s="384">
        <f t="shared" si="16"/>
        <v>0</v>
      </c>
      <c r="AB209" s="284">
        <f t="shared" si="17"/>
        <v>0</v>
      </c>
    </row>
    <row r="210" spans="1:28" ht="161.25" customHeight="1" x14ac:dyDescent="0.3">
      <c r="A210" s="210">
        <f>'Unit Data from Audit Worksheet'!A265</f>
        <v>991</v>
      </c>
      <c r="B210" s="223"/>
      <c r="C210" s="209" t="str">
        <f>'Unit Data from Audit Worksheet'!D265</f>
        <v>The Counties listed in cell H260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210" s="228"/>
      <c r="E210" s="146">
        <f>'Unit Data from Audit Worksheet'!F265</f>
        <v>0</v>
      </c>
      <c r="F210" s="222"/>
      <c r="G210" s="224"/>
      <c r="H210" s="221" t="str">
        <f>'Unit Data from Audit Worksheet'!H265</f>
        <v xml:space="preserve">Beaufort, Buncombe, Caldwell, Carteret, Chatham, Cleveland, Cumberland, Dare, Davie, Duplin, Durham, Forsyth, Gates, Haywood, Jackson, Johnston, Lenoir, Martin, New Hanover, Orange, Person, Polk, Stanly, Stokes, Surry, Transylvania, Tyrrell, Union, Warren, Wayne, Wilkes </v>
      </c>
      <c r="I210" s="32"/>
      <c r="J210" s="97">
        <v>991</v>
      </c>
      <c r="K210" s="52" t="s">
        <v>856</v>
      </c>
      <c r="L210" s="287">
        <f t="shared" si="19"/>
        <v>0</v>
      </c>
      <c r="P210" s="197"/>
      <c r="X210" s="549">
        <v>991</v>
      </c>
      <c r="Y210" s="3">
        <v>991</v>
      </c>
      <c r="AA210" s="384">
        <f t="shared" ref="AA210:AA260" si="20">A210-J210</f>
        <v>0</v>
      </c>
      <c r="AB210" s="284">
        <f t="shared" ref="AB210:AB246" si="21">E210-L210</f>
        <v>0</v>
      </c>
    </row>
    <row r="211" spans="1:28" ht="87.75" customHeight="1" x14ac:dyDescent="0.3">
      <c r="A211" s="210">
        <f>'Unit Data from Audit Worksheet'!A267</f>
        <v>620</v>
      </c>
      <c r="B211" s="223"/>
      <c r="C211" s="209" t="str">
        <f>'Unit Data from Audit Worksheet'!D267</f>
        <v>Do you expect to issue debt requiring LGC approval within 12 months from the date that the audit is submitted - select "1" for yes and "2" for no</v>
      </c>
      <c r="D211" s="228"/>
      <c r="E211" s="146">
        <f>'Unit Data from Audit Worksheet'!F267</f>
        <v>0</v>
      </c>
      <c r="F211" s="222"/>
      <c r="G211" s="224"/>
      <c r="H211" s="221">
        <f>'Unit Data from Audit Worksheet'!I267</f>
        <v>0</v>
      </c>
      <c r="I211" s="32"/>
      <c r="J211" s="97">
        <v>620</v>
      </c>
      <c r="K211" s="52" t="s">
        <v>593</v>
      </c>
      <c r="L211" s="287">
        <f t="shared" si="19"/>
        <v>0</v>
      </c>
      <c r="N211" s="128"/>
      <c r="P211" s="197"/>
      <c r="X211" s="549">
        <v>620</v>
      </c>
      <c r="Y211" s="3">
        <v>620</v>
      </c>
      <c r="AA211" s="384">
        <f t="shared" si="20"/>
        <v>0</v>
      </c>
      <c r="AB211" s="284">
        <f t="shared" si="21"/>
        <v>0</v>
      </c>
    </row>
    <row r="212" spans="1:28" ht="87.75" customHeight="1" x14ac:dyDescent="0.3">
      <c r="A212" s="210">
        <f>'TD Info Completed by Auditor'!A11</f>
        <v>906</v>
      </c>
      <c r="B212" s="124" t="s">
        <v>590</v>
      </c>
      <c r="C212" s="210" t="str">
        <f>'TD Info Completed by Auditor'!B11</f>
        <v>Is the Independent Auditor's Report Opinion Unmodified?</v>
      </c>
      <c r="D212" s="228"/>
      <c r="E212" s="212">
        <f>IF(+'TD Info Completed by Auditor'!C11="Yes",1,IF(+'TD Info Completed by Auditor'!C11="No",2,IF(+'TD Info Completed by Auditor'!C11="N/A",3,0)))</f>
        <v>0</v>
      </c>
      <c r="F212" s="222"/>
      <c r="G212" s="224"/>
      <c r="H212" s="221"/>
      <c r="I212" s="32"/>
      <c r="J212" s="182">
        <v>906</v>
      </c>
      <c r="K212" s="52" t="s">
        <v>467</v>
      </c>
      <c r="L212" s="293">
        <f t="shared" si="19"/>
        <v>0</v>
      </c>
      <c r="N212" s="244" t="s">
        <v>644</v>
      </c>
      <c r="P212" s="193"/>
      <c r="X212" s="284" t="e">
        <v>#N/A</v>
      </c>
      <c r="AA212" s="384">
        <f t="shared" si="20"/>
        <v>0</v>
      </c>
      <c r="AB212" s="284">
        <f t="shared" si="21"/>
        <v>0</v>
      </c>
    </row>
    <row r="213" spans="1:28" ht="87.75" customHeight="1" x14ac:dyDescent="0.3">
      <c r="A213" s="210">
        <f>'TD Info Completed by Auditor'!A12</f>
        <v>907</v>
      </c>
      <c r="B213" s="124" t="s">
        <v>590</v>
      </c>
      <c r="C213" s="210" t="str">
        <f>'TD Info Completed by Auditor'!B12</f>
        <v xml:space="preserve">Is there a finding for lack of segregation of duties at this unit? </v>
      </c>
      <c r="D213" s="228"/>
      <c r="E213" s="212">
        <f>IF(+'TD Info Completed by Auditor'!C12="Yes",1,IF(+'TD Info Completed by Auditor'!C12="No",2,IF(+'TD Info Completed by Auditor'!C12="N/A",3,0)))</f>
        <v>0</v>
      </c>
      <c r="F213" s="222"/>
      <c r="G213" s="224"/>
      <c r="H213" s="221"/>
      <c r="I213" s="32"/>
      <c r="J213" s="182">
        <v>907</v>
      </c>
      <c r="K213" s="52" t="s">
        <v>468</v>
      </c>
      <c r="L213" s="293">
        <f t="shared" si="19"/>
        <v>0</v>
      </c>
      <c r="N213" s="244" t="s">
        <v>644</v>
      </c>
      <c r="P213" s="194"/>
      <c r="X213" s="284" t="e">
        <v>#N/A</v>
      </c>
      <c r="Y213" s="384"/>
      <c r="AA213" s="384">
        <f t="shared" si="20"/>
        <v>0</v>
      </c>
      <c r="AB213" s="284">
        <f t="shared" si="21"/>
        <v>0</v>
      </c>
    </row>
    <row r="214" spans="1:28" s="384" customFormat="1" ht="87.75" customHeight="1" x14ac:dyDescent="0.3">
      <c r="A214" s="210">
        <f>'TD Info Completed by Auditor'!A13</f>
        <v>1055</v>
      </c>
      <c r="B214" s="124"/>
      <c r="C214" s="210" t="str">
        <f>'TD Info Completed by Auditor'!B13</f>
        <v xml:space="preserve"> Did your audit disclose bank reconciliations or subsidiary ledger reconciliations not performed timely? (Yes or No)</v>
      </c>
      <c r="D214" s="228"/>
      <c r="E214" s="212">
        <f>IF(+'TD Info Completed by Auditor'!C13="Yes",1,IF(+'TD Info Completed by Auditor'!C13="No",2,IF(+'TD Info Completed by Auditor'!C13="N/A",3,0)))</f>
        <v>0</v>
      </c>
      <c r="F214" s="222"/>
      <c r="G214" s="224"/>
      <c r="H214" s="221"/>
      <c r="I214" s="32"/>
      <c r="J214" s="182">
        <v>1055</v>
      </c>
      <c r="K214" s="210" t="s">
        <v>1522</v>
      </c>
      <c r="L214" s="293">
        <f t="shared" si="19"/>
        <v>0</v>
      </c>
      <c r="M214"/>
      <c r="N214" s="244" t="s">
        <v>644</v>
      </c>
      <c r="P214" s="195"/>
      <c r="Q214" s="277"/>
      <c r="X214" s="284"/>
      <c r="AA214" s="384">
        <f t="shared" si="20"/>
        <v>0</v>
      </c>
      <c r="AB214" s="284"/>
    </row>
    <row r="215" spans="1:28" s="384" customFormat="1" ht="87.75" customHeight="1" x14ac:dyDescent="0.3">
      <c r="A215" s="210">
        <f>'TD Info Completed by Auditor'!A14</f>
        <v>1056</v>
      </c>
      <c r="B215" s="124"/>
      <c r="C215" s="210" t="str">
        <f>'TD Info Completed by Auditor'!B14</f>
        <v>Did your audit disclose as a finding that the unit’s records were not completed by the agreed upon time? (Yes or No)</v>
      </c>
      <c r="D215" s="228"/>
      <c r="E215" s="212">
        <f>IF(+'TD Info Completed by Auditor'!C14="Yes",1,IF(+'TD Info Completed by Auditor'!C14="No",2,IF(+'TD Info Completed by Auditor'!C14="N/A",3,0)))</f>
        <v>0</v>
      </c>
      <c r="F215" s="222"/>
      <c r="G215" s="224"/>
      <c r="H215" s="221"/>
      <c r="I215" s="32"/>
      <c r="J215" s="182">
        <v>1056</v>
      </c>
      <c r="K215" s="210" t="s">
        <v>1523</v>
      </c>
      <c r="L215" s="293">
        <f t="shared" si="19"/>
        <v>0</v>
      </c>
      <c r="M215"/>
      <c r="N215" s="244" t="s">
        <v>644</v>
      </c>
      <c r="P215" s="195"/>
      <c r="Q215" s="277"/>
      <c r="X215" s="284"/>
      <c r="AA215" s="384">
        <f t="shared" si="20"/>
        <v>0</v>
      </c>
      <c r="AB215" s="284"/>
    </row>
    <row r="216" spans="1:28" s="384" customFormat="1" ht="87.75" customHeight="1" x14ac:dyDescent="0.3">
      <c r="A216" s="210">
        <f>'TD Info Completed by Auditor'!A15</f>
        <v>1057</v>
      </c>
      <c r="B216" s="124"/>
      <c r="C216" s="210" t="str">
        <f>'TD Info Completed by Auditor'!B15</f>
        <v>Did your audit disclose any budget violations at the adopted ordinance level? (Yes or No)</v>
      </c>
      <c r="D216" s="228"/>
      <c r="E216" s="212">
        <f>IF(+'TD Info Completed by Auditor'!C15="Yes",1,IF(+'TD Info Completed by Auditor'!C15="No",2,IF(+'TD Info Completed by Auditor'!C15="N/A",3,0)))</f>
        <v>0</v>
      </c>
      <c r="F216" s="222"/>
      <c r="G216" s="224"/>
      <c r="H216" s="221"/>
      <c r="I216" s="32"/>
      <c r="J216" s="182">
        <v>1057</v>
      </c>
      <c r="K216" s="765" t="s">
        <v>1923</v>
      </c>
      <c r="L216" s="293">
        <f t="shared" si="19"/>
        <v>0</v>
      </c>
      <c r="M216"/>
      <c r="N216" s="244" t="s">
        <v>644</v>
      </c>
      <c r="P216" s="195"/>
      <c r="Q216" s="277"/>
      <c r="X216" s="284"/>
      <c r="AA216" s="384">
        <f t="shared" si="20"/>
        <v>0</v>
      </c>
      <c r="AB216" s="284"/>
    </row>
    <row r="217" spans="1:28" s="384" customFormat="1" ht="87.75" customHeight="1" x14ac:dyDescent="0.3">
      <c r="A217" s="210">
        <f>'TD Info Completed by Auditor'!A16</f>
        <v>1058</v>
      </c>
      <c r="B217" s="124"/>
      <c r="C217" s="210" t="str">
        <f>'TD Info Completed by Auditor'!B16</f>
        <v>Did your audit disclose as a finding any statutory violations? (not including budget violations) (Yes or No) If the answer  is "Yes", review whether this needs to be disclosed in the Stewardship, Compliance and Accountability Note</v>
      </c>
      <c r="D217" s="228"/>
      <c r="E217" s="212">
        <f>IF(+'TD Info Completed by Auditor'!C16="Yes",1,IF(+'TD Info Completed by Auditor'!C16="No",2,IF(+'TD Info Completed by Auditor'!C16="N/A",3,0)))</f>
        <v>0</v>
      </c>
      <c r="F217" s="222"/>
      <c r="G217" s="224"/>
      <c r="H217" s="221"/>
      <c r="I217" s="32"/>
      <c r="J217" s="182">
        <v>1058</v>
      </c>
      <c r="K217" s="179" t="s">
        <v>1524</v>
      </c>
      <c r="L217" s="293">
        <f t="shared" si="19"/>
        <v>0</v>
      </c>
      <c r="M217"/>
      <c r="N217" s="244" t="s">
        <v>644</v>
      </c>
      <c r="P217" s="195"/>
      <c r="Q217" s="277"/>
      <c r="X217" s="284"/>
      <c r="AA217" s="384">
        <f t="shared" si="20"/>
        <v>0</v>
      </c>
      <c r="AB217" s="284"/>
    </row>
    <row r="218" spans="1:28" s="384" customFormat="1" ht="159" customHeight="1" x14ac:dyDescent="0.3">
      <c r="A218" s="210">
        <f>'TD Info Completed by Auditor'!A17</f>
        <v>1059</v>
      </c>
      <c r="B218" s="124"/>
      <c r="C218" s="302"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28"/>
      <c r="E218" s="212">
        <f>IF(+'TD Info Completed by Auditor'!C17="Yes",1,IF(+'TD Info Completed by Auditor'!C17="No",2,IF(+'TD Info Completed by Auditor'!C17="N/A",3,0)))</f>
        <v>0</v>
      </c>
      <c r="F218" s="222"/>
      <c r="G218" s="224"/>
      <c r="H218" s="221"/>
      <c r="I218" s="32"/>
      <c r="J218" s="182">
        <v>1059</v>
      </c>
      <c r="K218" s="765" t="s">
        <v>1560</v>
      </c>
      <c r="L218" s="293">
        <f t="shared" si="19"/>
        <v>0</v>
      </c>
      <c r="M218"/>
      <c r="N218" s="244" t="s">
        <v>644</v>
      </c>
      <c r="P218" s="195"/>
      <c r="Q218" s="277"/>
      <c r="X218" s="284"/>
      <c r="AA218" s="384">
        <f t="shared" si="20"/>
        <v>0</v>
      </c>
      <c r="AB218" s="284"/>
    </row>
    <row r="219" spans="1:28" s="384" customFormat="1" ht="159" customHeight="1" x14ac:dyDescent="0.3">
      <c r="A219" s="302">
        <v>1078</v>
      </c>
      <c r="B219" s="207"/>
      <c r="C219" s="302"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28"/>
      <c r="E219" s="981">
        <f>IF(+'TD Info Completed by Auditor'!C18="Yes",1,IF(+'TD Info Completed by Auditor'!C18="No",2,IF(+'TD Info Completed by Auditor'!C18="N/A",3,0)))</f>
        <v>0</v>
      </c>
      <c r="F219" s="225"/>
      <c r="G219" s="224"/>
      <c r="H219" s="221"/>
      <c r="I219" s="32"/>
      <c r="J219" s="119">
        <v>1078</v>
      </c>
      <c r="K219" s="302" t="s">
        <v>1921</v>
      </c>
      <c r="L219" s="982">
        <f t="shared" si="19"/>
        <v>0</v>
      </c>
      <c r="M219" s="180"/>
      <c r="N219" s="244"/>
      <c r="P219" s="195"/>
      <c r="Q219" s="277"/>
      <c r="X219" s="284"/>
      <c r="AB219" s="284"/>
    </row>
    <row r="220" spans="1:28" s="384" customFormat="1" ht="133.19999999999999" customHeight="1" x14ac:dyDescent="0.3">
      <c r="A220" s="302">
        <v>1067</v>
      </c>
      <c r="B220" s="207"/>
      <c r="C220" s="302"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28"/>
      <c r="E220" s="212">
        <f>IF(+'TD Info Completed by Auditor'!C19="Yes",1,IF(+'TD Info Completed by Auditor'!C19="No",2,IF(+'TD Info Completed by Auditor'!C19="N/A",3,0)))</f>
        <v>0</v>
      </c>
      <c r="G220" s="222"/>
      <c r="H220" s="221"/>
      <c r="I220" s="32"/>
      <c r="J220" s="119">
        <v>1067</v>
      </c>
      <c r="K220" s="302" t="s">
        <v>1917</v>
      </c>
      <c r="L220" s="304">
        <f t="shared" si="19"/>
        <v>0</v>
      </c>
      <c r="M220" s="180"/>
      <c r="N220" s="244" t="s">
        <v>644</v>
      </c>
      <c r="P220" s="195"/>
      <c r="Q220" s="277"/>
      <c r="X220" s="284"/>
      <c r="AB220" s="284"/>
    </row>
    <row r="221" spans="1:28" s="384" customFormat="1" ht="87.75" customHeight="1" x14ac:dyDescent="0.3">
      <c r="A221" s="210">
        <f>'TD Info Completed by Auditor'!A20</f>
        <v>951</v>
      </c>
      <c r="B221" s="124" t="s">
        <v>590</v>
      </c>
      <c r="C221" s="210" t="str">
        <f>'TD Info Completed by Auditor'!B20</f>
        <v>Is there a finding for lack of technical skills, knowledge and experience (SKE) at this unit?</v>
      </c>
      <c r="D221" s="228"/>
      <c r="E221" s="212">
        <f>IF(+'TD Info Completed by Auditor'!C20="Yes",1,IF(+'TD Info Completed by Auditor'!C20="No",2,IF(+'TD Info Completed by Auditor'!C20="N/A",3,0)))</f>
        <v>0</v>
      </c>
      <c r="F221" s="222"/>
      <c r="G221" s="224"/>
      <c r="H221" s="221"/>
      <c r="I221" s="32"/>
      <c r="J221" s="182">
        <v>951</v>
      </c>
      <c r="K221" s="52" t="s">
        <v>469</v>
      </c>
      <c r="L221" s="293">
        <f>IF(D221="",E221,D221)</f>
        <v>0</v>
      </c>
      <c r="M221"/>
      <c r="N221" s="244" t="s">
        <v>644</v>
      </c>
      <c r="P221" s="195"/>
      <c r="Q221" s="277"/>
      <c r="X221" s="284"/>
      <c r="AB221" s="284"/>
    </row>
    <row r="222" spans="1:28" ht="87.75" customHeight="1" x14ac:dyDescent="0.3">
      <c r="A222" s="210">
        <f>'TD Info Completed by Auditor'!A21</f>
        <v>953</v>
      </c>
      <c r="B222" s="124" t="s">
        <v>590</v>
      </c>
      <c r="C222" s="210" t="str">
        <f>'TD Info Completed by Auditor'!B21</f>
        <v xml:space="preserve">Is there is a going concern noted in the audit report? </v>
      </c>
      <c r="D222" s="228"/>
      <c r="E222" s="212">
        <f>IF(+'TD Info Completed by Auditor'!C21="Yes",1,IF(+'TD Info Completed by Auditor'!C21="No",2,IF(+'TD Info Completed by Auditor'!C21="N/A",3,0)))</f>
        <v>0</v>
      </c>
      <c r="F222" s="222"/>
      <c r="G222" s="224"/>
      <c r="H222" s="221"/>
      <c r="I222" s="32"/>
      <c r="J222" s="182">
        <v>953</v>
      </c>
      <c r="K222" s="980" t="s">
        <v>1922</v>
      </c>
      <c r="L222" s="293">
        <f t="shared" si="19"/>
        <v>0</v>
      </c>
      <c r="N222" s="244" t="s">
        <v>644</v>
      </c>
      <c r="P222" s="195"/>
      <c r="X222" s="284" t="e">
        <v>#N/A</v>
      </c>
      <c r="Y222" s="384"/>
      <c r="AA222" s="384">
        <f t="shared" si="20"/>
        <v>0</v>
      </c>
      <c r="AB222" s="284">
        <f t="shared" si="21"/>
        <v>0</v>
      </c>
    </row>
    <row r="223" spans="1:28" ht="87.75" customHeight="1" x14ac:dyDescent="0.3">
      <c r="A223" s="210">
        <f>'TD Info Completed by Auditor'!A22</f>
        <v>955</v>
      </c>
      <c r="B223" s="124" t="s">
        <v>590</v>
      </c>
      <c r="C223" s="210" t="str">
        <f>'TD Info Completed by Auditor'!B22</f>
        <v>Number of significant deficiency findings (financial statement findings only)
Exclude findings reported in questions  907, 951</v>
      </c>
      <c r="D223" s="228"/>
      <c r="E223" s="212">
        <f>'TD Info Completed by Auditor'!C22</f>
        <v>0</v>
      </c>
      <c r="F223" s="222"/>
      <c r="G223" s="224"/>
      <c r="H223" s="221"/>
      <c r="I223" s="32"/>
      <c r="J223" s="182">
        <v>955</v>
      </c>
      <c r="K223" s="52" t="s">
        <v>594</v>
      </c>
      <c r="L223" s="293">
        <f t="shared" si="19"/>
        <v>0</v>
      </c>
      <c r="N223" s="244" t="s">
        <v>644</v>
      </c>
      <c r="P223" s="195"/>
      <c r="X223" s="284" t="e">
        <v>#N/A</v>
      </c>
      <c r="Y223" s="384"/>
      <c r="AA223" s="384">
        <f t="shared" si="20"/>
        <v>0</v>
      </c>
      <c r="AB223" s="284">
        <f t="shared" si="21"/>
        <v>0</v>
      </c>
    </row>
    <row r="224" spans="1:28" ht="87.75" customHeight="1" x14ac:dyDescent="0.3">
      <c r="A224" s="210">
        <f>'TD Info Completed by Auditor'!A23</f>
        <v>957</v>
      </c>
      <c r="B224" s="124" t="s">
        <v>590</v>
      </c>
      <c r="C224" s="210" t="str">
        <f>'TD Info Completed by Auditor'!B23</f>
        <v>Number of material weakness findings (financial statement findings only)
Exclude findings reported in questions  907, 951</v>
      </c>
      <c r="D224" s="228"/>
      <c r="E224" s="212">
        <f>'TD Info Completed by Auditor'!C23</f>
        <v>0</v>
      </c>
      <c r="F224" s="222"/>
      <c r="G224" s="224"/>
      <c r="H224" s="221"/>
      <c r="I224" s="32"/>
      <c r="J224" s="182">
        <v>957</v>
      </c>
      <c r="K224" s="52" t="s">
        <v>595</v>
      </c>
      <c r="L224" s="293">
        <f t="shared" si="19"/>
        <v>0</v>
      </c>
      <c r="N224" s="244" t="s">
        <v>644</v>
      </c>
      <c r="P224" s="195"/>
      <c r="X224" s="284" t="e">
        <v>#N/A</v>
      </c>
      <c r="Y224" s="384"/>
      <c r="AA224" s="384">
        <f t="shared" si="20"/>
        <v>0</v>
      </c>
      <c r="AB224" s="284">
        <f t="shared" si="21"/>
        <v>0</v>
      </c>
    </row>
    <row r="225" spans="1:28" ht="289.2" customHeight="1" x14ac:dyDescent="0.3">
      <c r="A225" s="210">
        <f>'TD Info Completed by Auditor'!A24</f>
        <v>973</v>
      </c>
      <c r="B225" s="124" t="s">
        <v>590</v>
      </c>
      <c r="C225" s="210"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28"/>
      <c r="E225" s="212">
        <f>IF(+'TD Info Completed by Auditor'!C24&gt;0,1,IF(+'TD Info Completed by Auditor'!C24&gt;0,2,IF(+'TD Info Completed by Auditor'!C24&gt;0,3,0)))</f>
        <v>0</v>
      </c>
      <c r="F225" s="222"/>
      <c r="G225" s="224"/>
      <c r="H225" s="221"/>
      <c r="I225" s="32"/>
      <c r="J225" s="182">
        <v>973</v>
      </c>
      <c r="K225" s="52" t="s">
        <v>1484</v>
      </c>
      <c r="L225" s="293">
        <f>IF(D225="",E225,D225)</f>
        <v>0</v>
      </c>
      <c r="N225" s="244" t="s">
        <v>644</v>
      </c>
      <c r="P225" s="201"/>
      <c r="X225" s="284" t="e">
        <v>#N/A</v>
      </c>
      <c r="Y225" s="384"/>
      <c r="AA225" s="384">
        <f>A225-J225</f>
        <v>0</v>
      </c>
      <c r="AB225" s="284">
        <f>E225-L225</f>
        <v>0</v>
      </c>
    </row>
    <row r="226" spans="1:28" ht="87.75" customHeight="1" x14ac:dyDescent="0.3">
      <c r="A226" s="210">
        <f>'TD Info Completed by Auditor'!A25</f>
        <v>959</v>
      </c>
      <c r="B226" s="124" t="s">
        <v>590</v>
      </c>
      <c r="C226" s="210" t="str">
        <f>'TD Info Completed by Auditor'!B25</f>
        <v>Did the Unit have debt service payments deferred or restructured in this fiscal year? (does not include refinancings designed to take advantage of lower interest rates)  Select Yes, No, or NA</v>
      </c>
      <c r="D226" s="228"/>
      <c r="E226" s="212">
        <f>IF(+'TD Info Completed by Auditor'!C25="Yes",1,IF(+'TD Info Completed by Auditor'!C25="No",2,IF(+'TD Info Completed by Auditor'!C25="N/A",3,0)))</f>
        <v>0</v>
      </c>
      <c r="F226" s="222"/>
      <c r="G226" s="224"/>
      <c r="H226" s="221"/>
      <c r="I226" s="32"/>
      <c r="J226" s="182">
        <v>959</v>
      </c>
      <c r="K226" s="52" t="s">
        <v>646</v>
      </c>
      <c r="L226" s="293">
        <f t="shared" si="19"/>
        <v>0</v>
      </c>
      <c r="N226" s="244" t="s">
        <v>644</v>
      </c>
      <c r="P226" s="195"/>
      <c r="X226" s="284" t="e">
        <v>#N/A</v>
      </c>
      <c r="Y226" s="384"/>
      <c r="AA226" s="384">
        <f t="shared" si="20"/>
        <v>0</v>
      </c>
      <c r="AB226" s="284">
        <f t="shared" si="21"/>
        <v>0</v>
      </c>
    </row>
    <row r="227" spans="1:28" s="384" customFormat="1" ht="177.75" customHeight="1" x14ac:dyDescent="0.3">
      <c r="A227" s="210">
        <f>'TD Info Completed by Auditor'!A26</f>
        <v>974</v>
      </c>
      <c r="B227" s="124" t="s">
        <v>590</v>
      </c>
      <c r="C227" s="210"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28"/>
      <c r="E227" s="212">
        <f>IF(+'TD Info Completed by Auditor'!C26="Yes",1,IF(+'TD Info Completed by Auditor'!C26="No",2,IF(+'TD Info Completed by Auditor'!C26="N/A",3,0)))</f>
        <v>0</v>
      </c>
      <c r="F227" s="222"/>
      <c r="G227" s="224"/>
      <c r="H227" s="221"/>
      <c r="I227" s="32"/>
      <c r="J227" s="182">
        <v>974</v>
      </c>
      <c r="K227" s="52" t="s">
        <v>793</v>
      </c>
      <c r="L227" s="293">
        <f t="shared" ref="L227" si="22">IF(D227="",E227,D227)</f>
        <v>0</v>
      </c>
      <c r="M227"/>
      <c r="N227" s="244" t="s">
        <v>644</v>
      </c>
      <c r="P227" s="201"/>
      <c r="Q227" s="277"/>
      <c r="X227" s="284"/>
      <c r="AB227" s="284"/>
    </row>
    <row r="228" spans="1:28" ht="87.75" customHeight="1" x14ac:dyDescent="0.3">
      <c r="A228" s="210">
        <f>'TD Info Completed by Auditor'!A33</f>
        <v>975</v>
      </c>
      <c r="B228" s="124" t="s">
        <v>590</v>
      </c>
      <c r="C228" s="209" t="str">
        <f>'TD Info Completed by Auditor'!B33</f>
        <v>Does the Performance Indicator Print worksheet in this workbook have a red shaded cell?</v>
      </c>
      <c r="D228" s="228"/>
      <c r="E228" s="212">
        <f>IF(+'TD Info Completed by Auditor'!C33="Yes",1,IF(+'TD Info Completed by Auditor'!C33="No",2,IF(+'TD Info Completed by Auditor'!C33="N/A",3,0)))</f>
        <v>0</v>
      </c>
      <c r="F228" s="222"/>
      <c r="G228" s="224"/>
      <c r="H228" s="221"/>
      <c r="I228" s="32"/>
      <c r="J228" s="182">
        <v>975</v>
      </c>
      <c r="K228" s="980" t="s">
        <v>1924</v>
      </c>
      <c r="L228" s="293">
        <f>IF(D228="",E228,D228)</f>
        <v>0</v>
      </c>
      <c r="N228" s="244" t="s">
        <v>644</v>
      </c>
      <c r="P228" s="201"/>
      <c r="Q228" s="316"/>
      <c r="X228" s="284" t="e">
        <v>#N/A</v>
      </c>
      <c r="Y228" s="384"/>
      <c r="AA228" s="384">
        <f t="shared" si="20"/>
        <v>0</v>
      </c>
      <c r="AB228" s="284">
        <f t="shared" si="21"/>
        <v>0</v>
      </c>
    </row>
    <row r="229" spans="1:28" s="384" customFormat="1" ht="87.75" customHeight="1" x14ac:dyDescent="0.3">
      <c r="A229" s="302">
        <v>1068</v>
      </c>
      <c r="B229" s="302" t="s">
        <v>590</v>
      </c>
      <c r="C229" s="302" t="str">
        <f>'TD Info Completed by Auditor'!B35</f>
        <v xml:space="preserve">Does the unit have a self-insurance fund? </v>
      </c>
      <c r="D229" s="228"/>
      <c r="E229" s="766">
        <f>IF(+'TD Info Completed by Auditor'!C35="Yes",1,IF(+'TD Info Completed by Auditor'!C35="No",2,IF(+'TD Info Completed by Auditor'!C35="N/A",3,0)))</f>
        <v>0</v>
      </c>
      <c r="F229" s="767"/>
      <c r="G229" s="768"/>
      <c r="H229" s="769"/>
      <c r="I229" s="32"/>
      <c r="J229" s="770">
        <v>1068</v>
      </c>
      <c r="K229" s="302" t="s">
        <v>1565</v>
      </c>
      <c r="L229" s="983">
        <f t="shared" ref="L229:L232" si="23">IF(D229="",E229,D229)</f>
        <v>0</v>
      </c>
      <c r="M229" s="180"/>
      <c r="N229" s="244" t="s">
        <v>644</v>
      </c>
      <c r="P229" s="201"/>
      <c r="Q229" s="316"/>
      <c r="X229" s="284"/>
      <c r="AB229" s="284"/>
    </row>
    <row r="230" spans="1:28" s="384" customFormat="1" ht="87.75" customHeight="1" x14ac:dyDescent="0.3">
      <c r="A230" s="302">
        <v>1069</v>
      </c>
      <c r="B230" s="302" t="s">
        <v>590</v>
      </c>
      <c r="C230" s="620" t="str">
        <f>'TD Info Completed by Auditor'!B36</f>
        <v>If the unit is self-insured for employee health care, does the unit use a qualified consultant to establish rates and appropriate reserve levels?</v>
      </c>
      <c r="D230" s="228"/>
      <c r="E230" s="766">
        <f>IF(+'TD Info Completed by Auditor'!C36="Yes",1,IF(+'TD Info Completed by Auditor'!C36="No",2,IF(+'TD Info Completed by Auditor'!C36="N/A",3,0)))</f>
        <v>0</v>
      </c>
      <c r="F230" s="767"/>
      <c r="G230" s="768"/>
      <c r="H230" s="769"/>
      <c r="I230" s="32"/>
      <c r="J230" s="770">
        <v>1069</v>
      </c>
      <c r="K230" s="620" t="s">
        <v>1571</v>
      </c>
      <c r="L230" s="983">
        <f t="shared" si="23"/>
        <v>0</v>
      </c>
      <c r="M230" s="180"/>
      <c r="N230" s="244" t="s">
        <v>644</v>
      </c>
      <c r="P230" s="201"/>
      <c r="Q230" s="316"/>
      <c r="X230" s="284"/>
      <c r="AB230" s="284"/>
    </row>
    <row r="231" spans="1:28" s="384" customFormat="1" ht="96" customHeight="1" x14ac:dyDescent="0.3">
      <c r="A231" s="302">
        <v>1070</v>
      </c>
      <c r="B231" s="302" t="s">
        <v>590</v>
      </c>
      <c r="C231" s="302" t="str">
        <f>'TD Info Completed by Auditor'!B37</f>
        <v>Does the Unit have a non-state administered pension plan?
(Note - OPEB is not a pension plan.)</v>
      </c>
      <c r="D231" s="228"/>
      <c r="E231" s="766">
        <f>IF(+'TD Info Completed by Auditor'!C37="Yes",1,IF(+'TD Info Completed by Auditor'!C37="No",2,IF(+'TD Info Completed by Auditor'!C37="N/A",3,0)))</f>
        <v>0</v>
      </c>
      <c r="F231" s="767"/>
      <c r="G231" s="768"/>
      <c r="H231" s="769"/>
      <c r="I231" s="32"/>
      <c r="J231" s="770">
        <v>1070</v>
      </c>
      <c r="K231" s="302" t="s">
        <v>1942</v>
      </c>
      <c r="L231" s="984">
        <f t="shared" si="23"/>
        <v>0</v>
      </c>
      <c r="M231" s="180"/>
      <c r="N231" s="244" t="s">
        <v>644</v>
      </c>
      <c r="P231" s="201"/>
      <c r="Q231" s="316"/>
      <c r="X231" s="284"/>
      <c r="AB231" s="284"/>
    </row>
    <row r="232" spans="1:28" s="384" customFormat="1" ht="87.75" customHeight="1" x14ac:dyDescent="0.3">
      <c r="A232" s="302">
        <v>1071</v>
      </c>
      <c r="B232" s="302" t="s">
        <v>590</v>
      </c>
      <c r="C232" s="302" t="str">
        <f>'TD Info Completed by Auditor'!B38</f>
        <v>Please list the amount of ARPA funds expended in total this fiscal year for non-capital purposes.  Enter "0" if no ARPA funds expended for this fiscal year for non-capital purposes.</v>
      </c>
      <c r="D232" s="228"/>
      <c r="E232" s="772">
        <f>'TD Info Completed by Auditor'!C38</f>
        <v>0</v>
      </c>
      <c r="F232" s="767"/>
      <c r="G232" s="768"/>
      <c r="H232" s="769"/>
      <c r="I232" s="32"/>
      <c r="J232" s="770">
        <v>1071</v>
      </c>
      <c r="K232" s="302" t="s">
        <v>1918</v>
      </c>
      <c r="L232" s="983">
        <f t="shared" si="23"/>
        <v>0</v>
      </c>
      <c r="M232" s="180"/>
      <c r="N232" s="244" t="s">
        <v>644</v>
      </c>
      <c r="P232" s="201"/>
      <c r="Q232" s="316"/>
      <c r="X232" s="284"/>
      <c r="AB232" s="284"/>
    </row>
    <row r="233" spans="1:28" ht="121.2" customHeight="1" x14ac:dyDescent="0.3">
      <c r="A233" s="325">
        <v>336</v>
      </c>
      <c r="B233" s="235"/>
      <c r="C233" s="326" t="s">
        <v>654</v>
      </c>
      <c r="D233" s="327" t="s">
        <v>622</v>
      </c>
      <c r="E233" s="328" t="s">
        <v>623</v>
      </c>
      <c r="F233" s="236" t="s">
        <v>1056</v>
      </c>
      <c r="G233" s="224"/>
      <c r="H233" s="221"/>
      <c r="I233" s="32"/>
      <c r="J233" s="237">
        <v>336</v>
      </c>
      <c r="K233" s="329" t="s">
        <v>626</v>
      </c>
      <c r="L233" s="330">
        <f>L10-L11-L12-L13-L14-L15-L16</f>
        <v>0</v>
      </c>
      <c r="N233" s="245" t="s">
        <v>624</v>
      </c>
      <c r="P233" s="201"/>
      <c r="Q233" s="316"/>
      <c r="X233" s="284" t="e">
        <v>#N/A</v>
      </c>
      <c r="Y233" s="384"/>
      <c r="AA233" s="384">
        <f t="shared" si="20"/>
        <v>0</v>
      </c>
      <c r="AB233" s="284" t="e">
        <f t="shared" si="21"/>
        <v>#VALUE!</v>
      </c>
    </row>
    <row r="234" spans="1:28" ht="129" customHeight="1" x14ac:dyDescent="0.3">
      <c r="A234" s="325">
        <v>44</v>
      </c>
      <c r="B234" s="235"/>
      <c r="C234" s="236" t="s">
        <v>655</v>
      </c>
      <c r="D234" s="327" t="s">
        <v>614</v>
      </c>
      <c r="E234" s="331" t="s">
        <v>615</v>
      </c>
      <c r="F234" s="236" t="s">
        <v>1057</v>
      </c>
      <c r="G234" s="224"/>
      <c r="H234" s="221"/>
      <c r="I234" s="32"/>
      <c r="J234" s="237">
        <v>44</v>
      </c>
      <c r="K234" s="329" t="s">
        <v>627</v>
      </c>
      <c r="L234" s="330">
        <f>L76-L77-L74</f>
        <v>0</v>
      </c>
      <c r="N234" s="245" t="s">
        <v>625</v>
      </c>
      <c r="P234" s="201"/>
      <c r="Q234" s="316"/>
      <c r="X234" s="284" t="e">
        <v>#N/A</v>
      </c>
      <c r="Y234" s="384"/>
      <c r="AA234" s="384">
        <f t="shared" si="20"/>
        <v>0</v>
      </c>
      <c r="AB234" s="284" t="e">
        <f t="shared" si="21"/>
        <v>#VALUE!</v>
      </c>
    </row>
    <row r="235" spans="1:28" ht="169.5" customHeight="1" x14ac:dyDescent="0.3">
      <c r="A235" s="325">
        <v>45</v>
      </c>
      <c r="B235" s="235"/>
      <c r="C235" s="236" t="s">
        <v>656</v>
      </c>
      <c r="D235" s="327" t="s">
        <v>616</v>
      </c>
      <c r="E235" s="328" t="s">
        <v>617</v>
      </c>
      <c r="F235" s="236" t="s">
        <v>1056</v>
      </c>
      <c r="G235" s="224"/>
      <c r="H235" s="221"/>
      <c r="I235" s="32"/>
      <c r="J235" s="237">
        <v>45</v>
      </c>
      <c r="K235" s="329" t="s">
        <v>628</v>
      </c>
      <c r="L235" s="330">
        <f>L80-L81-L82-L83-L84-L85-L79</f>
        <v>0</v>
      </c>
      <c r="N235" s="245" t="s">
        <v>636</v>
      </c>
      <c r="P235" s="201"/>
      <c r="Q235" s="316"/>
      <c r="X235" s="284" t="e">
        <v>#N/A</v>
      </c>
      <c r="Y235" s="384"/>
      <c r="AA235" s="384">
        <f t="shared" si="20"/>
        <v>0</v>
      </c>
      <c r="AB235" s="284" t="e">
        <f t="shared" si="21"/>
        <v>#VALUE!</v>
      </c>
    </row>
    <row r="236" spans="1:28" ht="87.75" customHeight="1" x14ac:dyDescent="0.3">
      <c r="A236" s="325">
        <v>47</v>
      </c>
      <c r="B236" s="235"/>
      <c r="C236" s="236" t="s">
        <v>630</v>
      </c>
      <c r="D236" s="327" t="s">
        <v>618</v>
      </c>
      <c r="E236" s="328" t="s">
        <v>620</v>
      </c>
      <c r="F236" s="236" t="s">
        <v>1056</v>
      </c>
      <c r="G236" s="224"/>
      <c r="H236" s="221"/>
      <c r="I236" s="32"/>
      <c r="J236" s="237">
        <v>47</v>
      </c>
      <c r="K236" s="329" t="s">
        <v>629</v>
      </c>
      <c r="L236" s="330">
        <f>L94-L95-L92</f>
        <v>0</v>
      </c>
      <c r="N236" s="245" t="s">
        <v>637</v>
      </c>
      <c r="P236" s="201"/>
      <c r="Q236" s="316"/>
      <c r="X236" s="284" t="e">
        <v>#N/A</v>
      </c>
      <c r="Y236" s="384"/>
      <c r="AA236" s="384">
        <f t="shared" si="20"/>
        <v>0</v>
      </c>
      <c r="AB236" s="284" t="e">
        <f t="shared" si="21"/>
        <v>#VALUE!</v>
      </c>
    </row>
    <row r="237" spans="1:28" ht="152.25" customHeight="1" x14ac:dyDescent="0.3">
      <c r="A237" s="325">
        <v>48</v>
      </c>
      <c r="B237" s="235"/>
      <c r="C237" s="236" t="s">
        <v>631</v>
      </c>
      <c r="D237" s="327" t="s">
        <v>619</v>
      </c>
      <c r="E237" s="328" t="s">
        <v>621</v>
      </c>
      <c r="F237" s="236" t="s">
        <v>1056</v>
      </c>
      <c r="G237" s="224"/>
      <c r="H237" s="221"/>
      <c r="I237" s="32"/>
      <c r="J237" s="237">
        <v>48</v>
      </c>
      <c r="K237" s="329" t="s">
        <v>115</v>
      </c>
      <c r="L237" s="330">
        <f>L99-L100-L101-L102-L103-L104-L98</f>
        <v>0</v>
      </c>
      <c r="N237" s="245" t="s">
        <v>638</v>
      </c>
      <c r="P237" s="201"/>
      <c r="Q237" s="316"/>
      <c r="X237" s="284" t="e">
        <v>#N/A</v>
      </c>
      <c r="Y237" s="384"/>
      <c r="AA237" s="384">
        <f t="shared" si="20"/>
        <v>0</v>
      </c>
      <c r="AB237" s="284" t="e">
        <f t="shared" si="21"/>
        <v>#VALUE!</v>
      </c>
    </row>
    <row r="238" spans="1:28" ht="113.4" customHeight="1" x14ac:dyDescent="0.3">
      <c r="A238" s="332"/>
      <c r="B238" s="90"/>
      <c r="C238" s="333"/>
      <c r="D238" s="129"/>
      <c r="E238" s="137"/>
      <c r="F238" s="59"/>
      <c r="G238" s="131"/>
      <c r="H238" s="132"/>
      <c r="I238" s="32"/>
      <c r="J238" s="238">
        <v>998</v>
      </c>
      <c r="K238" s="239" t="s">
        <v>277</v>
      </c>
      <c r="L238" s="334" t="e">
        <f>VLOOKUP('Unit Data from Audit Worksheet'!D2,'Unit Names(H)'!$A$2:$C$95,3,FALSE)</f>
        <v>#N/A</v>
      </c>
      <c r="N238" s="245" t="s">
        <v>632</v>
      </c>
      <c r="P238" s="201"/>
      <c r="Q238" s="316"/>
      <c r="X238" s="284" t="e">
        <v>#N/A</v>
      </c>
      <c r="Y238" s="384"/>
      <c r="AA238" s="384">
        <f t="shared" si="20"/>
        <v>-998</v>
      </c>
      <c r="AB238" s="284" t="e">
        <f t="shared" si="21"/>
        <v>#N/A</v>
      </c>
    </row>
    <row r="239" spans="1:28" ht="119.4" customHeight="1" x14ac:dyDescent="0.3">
      <c r="A239" s="332"/>
      <c r="B239" s="90"/>
      <c r="C239" s="333"/>
      <c r="D239" s="335"/>
      <c r="E239" s="336"/>
      <c r="F239" s="337"/>
      <c r="G239" s="338"/>
      <c r="H239" s="339"/>
      <c r="I239" s="32"/>
      <c r="J239" s="240">
        <v>995</v>
      </c>
      <c r="K239" s="241" t="s">
        <v>275</v>
      </c>
      <c r="L239" s="723" t="e">
        <f>INDEX('PY1 Data(H)'!$A$1:$CZ$279,MATCH('PY1 Data(H)'!$A230,'PY1 Data(H)'!$A$1:$A$279,0),MATCH('Unit Data from Audit Worksheet'!$D$2,'PY1 Data(H)'!$A$1:$CZ$1,0))</f>
        <v>#N/A</v>
      </c>
      <c r="N239" s="245" t="s">
        <v>639</v>
      </c>
      <c r="P239" s="201"/>
      <c r="Q239" s="316"/>
      <c r="X239" s="284" t="e">
        <v>#N/A</v>
      </c>
      <c r="Y239" s="384"/>
      <c r="AA239" s="384">
        <f t="shared" si="20"/>
        <v>-995</v>
      </c>
      <c r="AB239" s="571" t="e">
        <f t="shared" si="21"/>
        <v>#N/A</v>
      </c>
    </row>
    <row r="240" spans="1:28" ht="104.4" customHeight="1" x14ac:dyDescent="0.3">
      <c r="A240" s="332"/>
      <c r="B240" s="90"/>
      <c r="C240" s="333"/>
      <c r="D240" s="335"/>
      <c r="E240" s="336"/>
      <c r="F240" s="337"/>
      <c r="G240" s="338"/>
      <c r="H240" s="339"/>
      <c r="I240" s="32"/>
      <c r="J240" s="240">
        <v>996</v>
      </c>
      <c r="K240" s="241" t="s">
        <v>276</v>
      </c>
      <c r="L240" s="723" t="e">
        <f>INDEX('PY1 Data(H)'!$A$1:$CZ$279,MATCH('PY1 Data(H)'!$A231,'PY1 Data(H)'!$A$1:$A$279,0),MATCH('Unit Data from Audit Worksheet'!$D$2,'PY1 Data(H)'!$A$1:$CZ$1,0))</f>
        <v>#N/A</v>
      </c>
      <c r="N240" s="245" t="s">
        <v>640</v>
      </c>
      <c r="P240" s="201"/>
      <c r="Q240" s="316"/>
      <c r="X240" s="284" t="e">
        <v>#N/A</v>
      </c>
      <c r="Y240" s="384"/>
      <c r="AA240" s="384">
        <f t="shared" si="20"/>
        <v>-996</v>
      </c>
      <c r="AB240" s="571" t="e">
        <f t="shared" si="21"/>
        <v>#N/A</v>
      </c>
    </row>
    <row r="241" spans="1:28" ht="43.2" x14ac:dyDescent="0.3">
      <c r="A241" s="332"/>
      <c r="B241" s="90"/>
      <c r="C241" s="333"/>
      <c r="D241" s="335"/>
      <c r="E241" s="336"/>
      <c r="F241" s="337"/>
      <c r="G241" s="338"/>
      <c r="H241" s="340"/>
      <c r="I241" s="32"/>
      <c r="J241" s="158">
        <v>554</v>
      </c>
      <c r="K241" s="341" t="s">
        <v>318</v>
      </c>
      <c r="L241" s="311"/>
      <c r="N241" s="342"/>
      <c r="P241" s="201"/>
      <c r="Q241" s="316"/>
      <c r="X241" s="284" t="e">
        <v>#N/A</v>
      </c>
      <c r="Y241" s="384"/>
      <c r="AA241" s="384">
        <f t="shared" si="20"/>
        <v>-554</v>
      </c>
      <c r="AB241" s="284">
        <f t="shared" si="21"/>
        <v>0</v>
      </c>
    </row>
    <row r="242" spans="1:28" ht="43.2" x14ac:dyDescent="0.3">
      <c r="A242" s="332"/>
      <c r="B242" s="90"/>
      <c r="C242" s="333"/>
      <c r="D242" s="335"/>
      <c r="E242" s="336"/>
      <c r="F242" s="337"/>
      <c r="G242" s="338"/>
      <c r="H242" s="340"/>
      <c r="I242" s="32"/>
      <c r="J242" s="158">
        <v>555</v>
      </c>
      <c r="K242" s="341" t="s">
        <v>319</v>
      </c>
      <c r="L242" s="311"/>
      <c r="N242" s="342"/>
      <c r="P242" s="201"/>
      <c r="Q242" s="316"/>
      <c r="X242" s="284" t="e">
        <v>#N/A</v>
      </c>
      <c r="Y242" s="384"/>
      <c r="AA242" s="384">
        <f t="shared" si="20"/>
        <v>-555</v>
      </c>
      <c r="AB242" s="284">
        <f t="shared" si="21"/>
        <v>0</v>
      </c>
    </row>
    <row r="243" spans="1:28" ht="43.2" x14ac:dyDescent="0.3">
      <c r="A243" s="332"/>
      <c r="B243" s="90"/>
      <c r="C243" s="333"/>
      <c r="D243" s="335"/>
      <c r="E243" s="336"/>
      <c r="F243" s="337"/>
      <c r="G243" s="338"/>
      <c r="H243" s="340"/>
      <c r="I243" s="32"/>
      <c r="J243" s="158">
        <v>556</v>
      </c>
      <c r="K243" s="341" t="s">
        <v>320</v>
      </c>
      <c r="L243" s="311"/>
      <c r="N243" s="342"/>
      <c r="P243" s="201"/>
      <c r="Q243" s="316"/>
      <c r="X243" s="284" t="e">
        <v>#N/A</v>
      </c>
      <c r="Y243" s="384"/>
      <c r="AA243" s="384">
        <f t="shared" si="20"/>
        <v>-556</v>
      </c>
      <c r="AB243" s="284">
        <f t="shared" si="21"/>
        <v>0</v>
      </c>
    </row>
    <row r="244" spans="1:28" ht="43.2" x14ac:dyDescent="0.3">
      <c r="A244" s="332"/>
      <c r="B244" s="90"/>
      <c r="C244" s="333"/>
      <c r="D244" s="335"/>
      <c r="E244" s="336"/>
      <c r="F244" s="337"/>
      <c r="G244" s="338"/>
      <c r="H244" s="340"/>
      <c r="I244" s="32"/>
      <c r="J244" s="158">
        <v>557</v>
      </c>
      <c r="K244" s="341" t="s">
        <v>321</v>
      </c>
      <c r="L244" s="311"/>
      <c r="N244" s="342"/>
      <c r="P244" s="202"/>
      <c r="X244" s="284" t="e">
        <v>#N/A</v>
      </c>
      <c r="Y244" s="384"/>
      <c r="AA244" s="384">
        <f t="shared" si="20"/>
        <v>-557</v>
      </c>
      <c r="AB244" s="284">
        <f t="shared" si="21"/>
        <v>0</v>
      </c>
    </row>
    <row r="245" spans="1:28" ht="43.2" x14ac:dyDescent="0.3">
      <c r="A245" s="332"/>
      <c r="B245" s="90"/>
      <c r="C245" s="333"/>
      <c r="D245" s="335"/>
      <c r="E245" s="336"/>
      <c r="F245" s="337"/>
      <c r="G245" s="338"/>
      <c r="H245" s="340"/>
      <c r="I245" s="32"/>
      <c r="J245" s="158">
        <v>606</v>
      </c>
      <c r="K245" s="341" t="s">
        <v>447</v>
      </c>
      <c r="L245" s="311"/>
      <c r="N245" s="342"/>
      <c r="P245" s="202"/>
      <c r="X245" s="284" t="e">
        <v>#N/A</v>
      </c>
      <c r="Y245" s="384"/>
      <c r="AA245" s="384">
        <f t="shared" si="20"/>
        <v>-606</v>
      </c>
      <c r="AB245" s="284">
        <f t="shared" si="21"/>
        <v>0</v>
      </c>
    </row>
    <row r="246" spans="1:28" s="18" customFormat="1" ht="22.5" customHeight="1" x14ac:dyDescent="0.3">
      <c r="A246" s="332"/>
      <c r="B246" s="90"/>
      <c r="C246" s="333"/>
      <c r="D246" s="129"/>
      <c r="E246" s="130"/>
      <c r="F246" s="59"/>
      <c r="G246" s="131"/>
      <c r="H246" s="132"/>
      <c r="I246" s="32"/>
      <c r="J246" s="133"/>
      <c r="K246" s="344"/>
      <c r="L246" s="345"/>
      <c r="M246"/>
      <c r="N246" s="244"/>
      <c r="P246" s="202"/>
      <c r="Q246" s="277"/>
      <c r="R246" s="3"/>
      <c r="S246" s="3"/>
      <c r="T246" s="3"/>
      <c r="U246" s="3"/>
      <c r="V246" s="3"/>
      <c r="W246" s="3"/>
      <c r="X246" s="284" t="e">
        <v>#N/A</v>
      </c>
      <c r="Y246" s="384"/>
      <c r="Z246" s="3"/>
      <c r="AA246" s="384">
        <f t="shared" si="20"/>
        <v>0</v>
      </c>
      <c r="AB246" s="284">
        <f t="shared" si="21"/>
        <v>0</v>
      </c>
    </row>
    <row r="247" spans="1:28" ht="99" customHeight="1" x14ac:dyDescent="0.3">
      <c r="A247" s="210">
        <f>'Unit Data from Audit Worksheet'!A269</f>
        <v>947</v>
      </c>
      <c r="B247" s="124"/>
      <c r="C247" s="209" t="str">
        <f>'Unit Data from Audit Worksheet'!D269</f>
        <v>First name of finance officer or interim finance officer (please enter “vacant” for first name if the position is currently vacant)</v>
      </c>
      <c r="D247" s="231"/>
      <c r="E247" s="172">
        <f>'Unit Data from Audit Worksheet'!F269</f>
        <v>0</v>
      </c>
      <c r="F247" s="222" t="str">
        <f>'Unit Data from Audit Worksheet'!G269</f>
        <v>Please do not leave blank</v>
      </c>
      <c r="G247" s="224"/>
      <c r="H247" s="221"/>
      <c r="I247" s="32"/>
      <c r="J247" s="161">
        <v>947</v>
      </c>
      <c r="K247" s="346" t="s">
        <v>406</v>
      </c>
      <c r="L247" s="347">
        <f t="shared" ref="L247:L258" si="24">IF(D247="",E247,D247)</f>
        <v>0</v>
      </c>
      <c r="N247" s="342"/>
      <c r="P247" s="202"/>
      <c r="Q247" s="78"/>
      <c r="X247" s="284">
        <v>947</v>
      </c>
      <c r="Y247" s="3">
        <v>947</v>
      </c>
      <c r="AA247" s="384">
        <f t="shared" si="20"/>
        <v>0</v>
      </c>
      <c r="AB247" s="284" t="b">
        <f>EXACT(E247,L247)</f>
        <v>1</v>
      </c>
    </row>
    <row r="248" spans="1:28" ht="128.25" customHeight="1" x14ac:dyDescent="0.3">
      <c r="A248" s="210">
        <f>'Unit Data from Audit Worksheet'!A270</f>
        <v>948</v>
      </c>
      <c r="B248" s="124"/>
      <c r="C248" s="209" t="str">
        <f>'Unit Data from Audit Worksheet'!D270</f>
        <v>Last name of finance officer or interim finance officer (please enter “vacant” for last name if the position is currently vacant)</v>
      </c>
      <c r="D248" s="231"/>
      <c r="E248" s="348">
        <f>'Unit Data from Audit Worksheet'!F270</f>
        <v>0</v>
      </c>
      <c r="F248" s="222" t="str">
        <f>'Unit Data from Audit Worksheet'!G270</f>
        <v>Please do not leave blank</v>
      </c>
      <c r="G248" s="224"/>
      <c r="H248" s="221"/>
      <c r="I248" s="32"/>
      <c r="J248" s="161">
        <v>948</v>
      </c>
      <c r="K248" s="346" t="s">
        <v>407</v>
      </c>
      <c r="L248" s="347">
        <f t="shared" si="24"/>
        <v>0</v>
      </c>
      <c r="N248" s="342"/>
      <c r="P248" s="202"/>
      <c r="X248" s="284">
        <v>948</v>
      </c>
      <c r="Y248" s="3">
        <v>948</v>
      </c>
      <c r="AA248" s="384">
        <f t="shared" si="20"/>
        <v>0</v>
      </c>
      <c r="AB248" s="284" t="b">
        <f t="shared" ref="AB248:AB260" si="25">EXACT(E248,L248)</f>
        <v>1</v>
      </c>
    </row>
    <row r="249" spans="1:28" ht="61.5" customHeight="1" x14ac:dyDescent="0.3">
      <c r="A249" s="210">
        <f>'Unit Data from Audit Worksheet'!A271</f>
        <v>949</v>
      </c>
      <c r="B249" s="124"/>
      <c r="C249" s="209" t="str">
        <f>'Unit Data from Audit Worksheet'!D271</f>
        <v>Is the finance officer serving in a permanent role or an interim role? (select permanent/interim/vacant)</v>
      </c>
      <c r="D249" s="231"/>
      <c r="E249" s="172">
        <f>'Unit Data from Audit Worksheet'!F271</f>
        <v>0</v>
      </c>
      <c r="F249" s="222" t="str">
        <f>'Unit Data from Audit Worksheet'!G271</f>
        <v>Please do not leave blank</v>
      </c>
      <c r="G249" s="224"/>
      <c r="H249" s="221"/>
      <c r="I249" s="32"/>
      <c r="J249" s="161">
        <v>949</v>
      </c>
      <c r="K249" s="346" t="s">
        <v>430</v>
      </c>
      <c r="L249" s="347">
        <f t="shared" si="24"/>
        <v>0</v>
      </c>
      <c r="N249" s="342"/>
      <c r="P249" s="202"/>
      <c r="X249" s="284">
        <v>949</v>
      </c>
      <c r="Y249" s="3">
        <v>949</v>
      </c>
      <c r="AA249" s="384">
        <f t="shared" si="20"/>
        <v>0</v>
      </c>
      <c r="AB249" s="284" t="b">
        <f t="shared" si="25"/>
        <v>1</v>
      </c>
    </row>
    <row r="250" spans="1:28" ht="93.75" customHeight="1" x14ac:dyDescent="0.3">
      <c r="A250" s="210">
        <f>'Unit Data from Audit Worksheet'!A272</f>
        <v>950</v>
      </c>
      <c r="B250" s="124"/>
      <c r="C250" s="209" t="str">
        <f>'Unit Data from Audit Worksheet'!D272</f>
        <v>Has the finance officer or interim finance officer been formally appointed by the local government, public authority, or designated official?  (Y/N)</v>
      </c>
      <c r="D250" s="231"/>
      <c r="E250" s="172">
        <f>'Unit Data from Audit Worksheet'!F272</f>
        <v>0</v>
      </c>
      <c r="F250" s="222" t="str">
        <f>'Unit Data from Audit Worksheet'!G272</f>
        <v>Please do not leave blank</v>
      </c>
      <c r="G250" s="224"/>
      <c r="H250" s="221"/>
      <c r="I250" s="32"/>
      <c r="J250" s="161">
        <v>950</v>
      </c>
      <c r="K250" s="346" t="s">
        <v>431</v>
      </c>
      <c r="L250" s="347">
        <f t="shared" si="24"/>
        <v>0</v>
      </c>
      <c r="N250" s="342"/>
      <c r="P250" s="202"/>
      <c r="X250" s="284">
        <v>950</v>
      </c>
      <c r="Y250" s="3">
        <v>950</v>
      </c>
      <c r="AA250" s="384">
        <f t="shared" si="20"/>
        <v>0</v>
      </c>
      <c r="AB250" s="284" t="b">
        <f t="shared" si="25"/>
        <v>1</v>
      </c>
    </row>
    <row r="251" spans="1:28" ht="153.75" customHeight="1" x14ac:dyDescent="0.3">
      <c r="A251" s="210">
        <f>'Unit Data from Audit Worksheet'!A273</f>
        <v>952</v>
      </c>
      <c r="B251" s="124"/>
      <c r="C251" s="209" t="str">
        <f>'Unit Data from Audit Worksheet'!D273</f>
        <v>Date on which the local government, public authority, or designated official appointed the finance officer?      Date Format  MM/DD/YYYY</v>
      </c>
      <c r="D251" s="231"/>
      <c r="E251" s="646" t="str">
        <f>IF('Unit Data from Audit Worksheet'!F273&gt;0,'Unit Data from Audit Worksheet'!F273," ")</f>
        <v xml:space="preserve"> </v>
      </c>
      <c r="F251" s="222" t="str">
        <f>'Unit Data from Audit Worksheet'!G273</f>
        <v>Leave blank if data not available</v>
      </c>
      <c r="G251" s="224"/>
      <c r="H251" s="221"/>
      <c r="I251" s="32"/>
      <c r="J251" s="161">
        <v>952</v>
      </c>
      <c r="K251" s="346" t="s">
        <v>432</v>
      </c>
      <c r="L251" s="349" t="str">
        <f t="shared" si="24"/>
        <v xml:space="preserve"> </v>
      </c>
      <c r="N251" s="342"/>
      <c r="P251" s="202"/>
      <c r="X251" s="284">
        <v>952</v>
      </c>
      <c r="Y251" s="3">
        <v>952</v>
      </c>
      <c r="AA251" s="384">
        <f t="shared" si="20"/>
        <v>0</v>
      </c>
      <c r="AB251" s="284" t="b">
        <f t="shared" si="25"/>
        <v>1</v>
      </c>
    </row>
    <row r="252" spans="1:28" ht="30.75" customHeight="1" x14ac:dyDescent="0.3">
      <c r="A252" s="350">
        <f>'Unit Data from Audit Worksheet'!A281</f>
        <v>960</v>
      </c>
      <c r="B252" s="168"/>
      <c r="C252" s="169" t="str">
        <f>'Unit Data from Audit Worksheet'!B281</f>
        <v>Name of Finance Officer</v>
      </c>
      <c r="D252" s="231"/>
      <c r="E252" s="351">
        <f>'Unit Data from Audit Worksheet'!D281</f>
        <v>0</v>
      </c>
      <c r="F252" s="352" t="str">
        <f>'Unit Data from Audit Worksheet'!F281</f>
        <v>Required</v>
      </c>
      <c r="G252" s="224"/>
      <c r="H252" s="221"/>
      <c r="I252" s="32"/>
      <c r="J252" s="171">
        <v>960</v>
      </c>
      <c r="K252" s="353" t="s">
        <v>426</v>
      </c>
      <c r="L252" s="354">
        <f t="shared" si="24"/>
        <v>0</v>
      </c>
      <c r="N252" s="309"/>
      <c r="P252" s="202"/>
      <c r="X252" s="284">
        <v>960</v>
      </c>
      <c r="Y252" s="3">
        <v>960</v>
      </c>
      <c r="AA252" s="384">
        <f t="shared" si="20"/>
        <v>0</v>
      </c>
      <c r="AB252" s="284" t="b">
        <f t="shared" si="25"/>
        <v>1</v>
      </c>
    </row>
    <row r="253" spans="1:28" ht="30.75" customHeight="1" x14ac:dyDescent="0.3">
      <c r="A253" s="350">
        <f>'Unit Data from Audit Worksheet'!A282</f>
        <v>962</v>
      </c>
      <c r="B253" s="168"/>
      <c r="C253" s="169" t="str">
        <f>'Unit Data from Audit Worksheet'!B282</f>
        <v>Title of Official</v>
      </c>
      <c r="D253" s="231"/>
      <c r="E253" s="351">
        <f>'Unit Data from Audit Worksheet'!D282</f>
        <v>0</v>
      </c>
      <c r="F253" s="352" t="str">
        <f>'Unit Data from Audit Worksheet'!F282</f>
        <v>Required</v>
      </c>
      <c r="G253" s="224"/>
      <c r="H253" s="221"/>
      <c r="I253" s="32"/>
      <c r="J253" s="171">
        <v>962</v>
      </c>
      <c r="K253" s="353" t="s">
        <v>402</v>
      </c>
      <c r="L253" s="354">
        <f t="shared" si="24"/>
        <v>0</v>
      </c>
      <c r="N253" s="309"/>
      <c r="P253" s="202"/>
      <c r="X253" s="284">
        <v>962</v>
      </c>
      <c r="Y253" s="3">
        <v>962</v>
      </c>
      <c r="AA253" s="384">
        <f t="shared" si="20"/>
        <v>0</v>
      </c>
      <c r="AB253" s="284" t="b">
        <f t="shared" si="25"/>
        <v>1</v>
      </c>
    </row>
    <row r="254" spans="1:28" ht="30.75" customHeight="1" x14ac:dyDescent="0.3">
      <c r="A254" s="350">
        <f>'Unit Data from Audit Worksheet'!A283</f>
        <v>964</v>
      </c>
      <c r="B254" s="168"/>
      <c r="C254" s="170" t="str">
        <f>'Unit Data from Audit Worksheet'!B283</f>
        <v>Date                        (Enter as "MM/DD/YYYY")</v>
      </c>
      <c r="D254" s="231"/>
      <c r="E254" s="355">
        <f>'Unit Data from Audit Worksheet'!D283</f>
        <v>0</v>
      </c>
      <c r="F254" s="352" t="str">
        <f>'Unit Data from Audit Worksheet'!F283</f>
        <v>Required</v>
      </c>
      <c r="G254" s="573"/>
      <c r="H254" s="221"/>
      <c r="I254" s="32"/>
      <c r="J254" s="171">
        <v>964</v>
      </c>
      <c r="K254" s="353" t="s">
        <v>457</v>
      </c>
      <c r="L254" s="356">
        <f t="shared" si="24"/>
        <v>0</v>
      </c>
      <c r="N254" s="309"/>
      <c r="P254" s="202"/>
      <c r="X254" s="284">
        <v>964</v>
      </c>
      <c r="Y254" s="3">
        <v>964</v>
      </c>
      <c r="AA254" s="384">
        <f t="shared" si="20"/>
        <v>0</v>
      </c>
      <c r="AB254" s="284" t="b">
        <f t="shared" si="25"/>
        <v>1</v>
      </c>
    </row>
    <row r="255" spans="1:28" ht="30.75" customHeight="1" x14ac:dyDescent="0.3">
      <c r="A255" s="350">
        <f>'Unit Data from Audit Worksheet'!A284</f>
        <v>966</v>
      </c>
      <c r="B255" s="168"/>
      <c r="C255" s="169" t="s">
        <v>1058</v>
      </c>
      <c r="D255" s="231"/>
      <c r="E255" s="572" t="str">
        <f>_xlfn.TEXTJOIN(",",,TEXT('Unit Data from Audit Worksheet'!D284,"###-###-####")," "&amp;'Unit Data from Audit Worksheet'!D285)</f>
        <v xml:space="preserve">--, </v>
      </c>
      <c r="F255" s="352" t="str">
        <f>'Unit Data from Audit Worksheet'!F284</f>
        <v>Required</v>
      </c>
      <c r="G255" s="224"/>
      <c r="H255" s="221"/>
      <c r="I255" s="32"/>
      <c r="J255" s="171">
        <v>966</v>
      </c>
      <c r="K255" s="353" t="s">
        <v>404</v>
      </c>
      <c r="L255" s="354" t="str">
        <f t="shared" si="24"/>
        <v xml:space="preserve">--, </v>
      </c>
      <c r="N255" s="309"/>
      <c r="P255" s="202"/>
      <c r="X255" s="284">
        <v>966</v>
      </c>
      <c r="Y255" s="3">
        <v>966</v>
      </c>
      <c r="AA255" s="384">
        <f t="shared" si="20"/>
        <v>0</v>
      </c>
      <c r="AB255" s="284" t="b">
        <f t="shared" si="25"/>
        <v>1</v>
      </c>
    </row>
    <row r="256" spans="1:28" ht="30.75" customHeight="1" x14ac:dyDescent="0.3">
      <c r="A256" s="350">
        <f>'Unit Data from Audit Worksheet'!A286</f>
        <v>968</v>
      </c>
      <c r="B256" s="168"/>
      <c r="C256" s="169" t="str">
        <f>'Unit Data from Audit Worksheet'!B286</f>
        <v>E-mail address</v>
      </c>
      <c r="D256" s="231"/>
      <c r="E256" s="351">
        <f>'Unit Data from Audit Worksheet'!D286</f>
        <v>0</v>
      </c>
      <c r="F256" s="352" t="str">
        <f>'Unit Data from Audit Worksheet'!F286</f>
        <v>Required</v>
      </c>
      <c r="G256" s="224"/>
      <c r="H256" s="221"/>
      <c r="I256" s="32"/>
      <c r="J256" s="171">
        <v>968</v>
      </c>
      <c r="K256" s="353" t="s">
        <v>405</v>
      </c>
      <c r="L256" s="354">
        <f t="shared" si="24"/>
        <v>0</v>
      </c>
      <c r="N256" s="309"/>
      <c r="P256" s="202"/>
      <c r="X256" s="284">
        <v>968</v>
      </c>
      <c r="Y256" s="3">
        <v>968</v>
      </c>
      <c r="AA256" s="384">
        <f t="shared" si="20"/>
        <v>0</v>
      </c>
      <c r="AB256" s="284" t="b">
        <f t="shared" si="25"/>
        <v>1</v>
      </c>
    </row>
    <row r="257" spans="1:28" ht="111" customHeight="1" x14ac:dyDescent="0.3">
      <c r="A257" s="357">
        <v>980</v>
      </c>
      <c r="B257" s="235" t="s">
        <v>590</v>
      </c>
      <c r="C257" s="246"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57" s="231"/>
      <c r="E257" s="626" t="str">
        <f>IF('TD Info Completed by Auditor'!C32&gt;0,'TD Info Completed by Auditor'!C32," ")</f>
        <v xml:space="preserve"> </v>
      </c>
      <c r="F257" s="358" t="s">
        <v>643</v>
      </c>
      <c r="G257" s="224"/>
      <c r="H257" s="221"/>
      <c r="I257" s="32"/>
      <c r="J257" s="247">
        <v>980</v>
      </c>
      <c r="K257" s="248" t="s">
        <v>583</v>
      </c>
      <c r="L257" s="359" t="str">
        <f t="shared" si="24"/>
        <v xml:space="preserve"> </v>
      </c>
      <c r="N257" s="387" t="s">
        <v>644</v>
      </c>
      <c r="P257" s="202"/>
      <c r="X257" s="284" t="e">
        <v>#N/A</v>
      </c>
      <c r="AA257" s="384">
        <f t="shared" si="20"/>
        <v>0</v>
      </c>
      <c r="AB257" s="284" t="b">
        <f t="shared" si="25"/>
        <v>1</v>
      </c>
    </row>
    <row r="258" spans="1:28" s="384" customFormat="1" ht="135.6" customHeight="1" x14ac:dyDescent="0.3">
      <c r="A258" s="210">
        <f>'Unit Data from Audit Worksheet'!A77</f>
        <v>590</v>
      </c>
      <c r="B258" s="210" t="str">
        <f>'Unit Data from Audit Worksheet'!B77</f>
        <v>Fiscal Review, UAL Determination, Financial Performance Indicator</v>
      </c>
      <c r="C258" s="74" t="str">
        <f>'Unit Data from Audit Worksheet'!D77</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1"/>
      <c r="E258" s="654" t="str">
        <f>CONCATENATE('Unit Data from Audit Worksheet'!F77," - ",'Unit Data from Audit Worksheet'!G77)</f>
        <v xml:space="preserve"> - </v>
      </c>
      <c r="F258" s="650"/>
      <c r="G258" s="224"/>
      <c r="H258" s="221"/>
      <c r="I258" s="32"/>
      <c r="J258" s="247">
        <v>590</v>
      </c>
      <c r="K258" s="248" t="s">
        <v>1470</v>
      </c>
      <c r="L258" s="655" t="str">
        <f t="shared" si="24"/>
        <v xml:space="preserve"> - </v>
      </c>
      <c r="M258"/>
      <c r="N258" s="387"/>
      <c r="P258" s="202"/>
      <c r="Q258" s="277"/>
      <c r="X258" s="284"/>
      <c r="AB258" s="284"/>
    </row>
    <row r="259" spans="1:28" s="384" customFormat="1" ht="135.6" customHeight="1" x14ac:dyDescent="0.3">
      <c r="A259" s="302">
        <f>'TD Info Completed by Auditor'!A31</f>
        <v>1079</v>
      </c>
      <c r="B259" s="302"/>
      <c r="C259" s="990" t="str">
        <f>'TD Info Completed by Auditor'!B31</f>
        <v>What date was the audit report submitted to the LGC?  (Note audit reports are due four months after fiscal year end regardless of the contract submission date.)  Enter as "MM/DD/YYYY"</v>
      </c>
      <c r="D259" s="231"/>
      <c r="E259" s="993">
        <f>'TD Info Completed by Auditor'!C31</f>
        <v>0</v>
      </c>
      <c r="F259" s="650"/>
      <c r="G259" s="224"/>
      <c r="H259" s="221"/>
      <c r="I259" s="32"/>
      <c r="J259" s="247">
        <v>1079</v>
      </c>
      <c r="K259" s="248" t="s">
        <v>1932</v>
      </c>
      <c r="L259" s="991">
        <f>E259</f>
        <v>0</v>
      </c>
      <c r="M259" s="180"/>
      <c r="N259" s="387"/>
      <c r="P259" s="202"/>
      <c r="Q259" s="277"/>
      <c r="X259" s="284"/>
      <c r="AB259" s="284"/>
    </row>
    <row r="260" spans="1:28" ht="83.4" customHeight="1" x14ac:dyDescent="0.3">
      <c r="A260" s="332"/>
      <c r="B260" s="90"/>
      <c r="C260" s="333"/>
      <c r="D260" s="335"/>
      <c r="E260" s="336"/>
      <c r="F260" s="337"/>
      <c r="G260" s="338"/>
      <c r="H260" s="339"/>
      <c r="I260" s="32"/>
      <c r="J260" s="161">
        <v>999</v>
      </c>
      <c r="K260" s="346" t="s">
        <v>278</v>
      </c>
      <c r="L260" s="360" t="e">
        <f>'Unit Data from Audit Worksheet'!D3</f>
        <v>#N/A</v>
      </c>
      <c r="N260" s="361" t="s">
        <v>642</v>
      </c>
      <c r="O260" s="361" t="s">
        <v>641</v>
      </c>
      <c r="P260" s="202"/>
      <c r="X260" s="284" t="e">
        <v>#N/A</v>
      </c>
      <c r="AA260" s="384">
        <f t="shared" si="20"/>
        <v>-999</v>
      </c>
      <c r="AB260" s="284" t="e">
        <f t="shared" si="25"/>
        <v>#N/A</v>
      </c>
    </row>
    <row r="261" spans="1:28" x14ac:dyDescent="0.3">
      <c r="A261" s="186"/>
      <c r="B261" s="186"/>
      <c r="C261" s="186"/>
      <c r="D261" s="186"/>
      <c r="E261" s="186"/>
      <c r="F261" s="186"/>
      <c r="G261" s="186"/>
      <c r="H261" s="186"/>
      <c r="I261" s="186"/>
      <c r="J261" s="3"/>
      <c r="K261" s="3"/>
      <c r="L261" s="3"/>
      <c r="N261" s="4"/>
      <c r="P261" s="202"/>
      <c r="AA261" s="384"/>
    </row>
    <row r="262" spans="1:28" s="384" customFormat="1" x14ac:dyDescent="0.3">
      <c r="A262" s="186"/>
      <c r="B262" s="186"/>
      <c r="C262" s="186"/>
      <c r="D262" s="186"/>
      <c r="E262" s="186"/>
      <c r="F262" s="186"/>
      <c r="G262" s="186"/>
      <c r="H262" s="186"/>
      <c r="I262" s="186"/>
      <c r="M262"/>
      <c r="N262" s="4"/>
      <c r="P262" s="202"/>
      <c r="Q262" s="277"/>
    </row>
    <row r="263" spans="1:28" x14ac:dyDescent="0.3">
      <c r="C263" s="637"/>
      <c r="D263" s="363"/>
      <c r="E263" s="364"/>
      <c r="F263" s="364"/>
      <c r="G263" s="365"/>
      <c r="H263" s="364"/>
      <c r="I263" s="366"/>
      <c r="K263" s="716" t="s">
        <v>1471</v>
      </c>
      <c r="L263" s="718" t="e">
        <f>SUM(L4:L245)</f>
        <v>#N/A</v>
      </c>
      <c r="N263" s="4"/>
      <c r="P263" s="202"/>
      <c r="AA263" s="384"/>
    </row>
    <row r="264" spans="1:28" ht="19.2" customHeight="1" x14ac:dyDescent="0.3">
      <c r="A264"/>
      <c r="B264"/>
      <c r="C264"/>
      <c r="D264"/>
      <c r="E264"/>
      <c r="F264"/>
      <c r="G264" s="365"/>
      <c r="H264" s="364"/>
      <c r="I264" s="366"/>
      <c r="K264" s="717" t="s">
        <v>1455</v>
      </c>
      <c r="L264" s="718"/>
      <c r="N264" s="4"/>
      <c r="P264" s="202"/>
      <c r="AA264" s="384"/>
    </row>
    <row r="265" spans="1:28" ht="21.6" customHeight="1" x14ac:dyDescent="0.7">
      <c r="B265" s="3"/>
      <c r="C265" s="3"/>
      <c r="D265" s="73"/>
      <c r="E265" s="96"/>
      <c r="F265" s="73"/>
      <c r="G265" s="365"/>
      <c r="H265" s="364"/>
      <c r="I265" s="366"/>
      <c r="J265" s="148"/>
      <c r="K265" s="147"/>
      <c r="L265" s="718" t="e">
        <f>L263-L264</f>
        <v>#N/A</v>
      </c>
      <c r="N265" s="4"/>
      <c r="P265" s="202"/>
      <c r="Y265" s="384">
        <v>590</v>
      </c>
      <c r="AA265" s="384"/>
    </row>
    <row r="266" spans="1:28" ht="25.2" customHeight="1" x14ac:dyDescent="0.3">
      <c r="A266" s="186"/>
      <c r="B266" s="186"/>
      <c r="C266" s="186"/>
      <c r="D266" s="186"/>
      <c r="E266" s="186"/>
      <c r="F266" s="364"/>
      <c r="G266" s="365"/>
      <c r="H266" s="364"/>
      <c r="I266" s="366"/>
      <c r="K266" s="10"/>
      <c r="L266" s="367"/>
      <c r="P266" s="202"/>
      <c r="X266" s="284">
        <f>SUM(X5:X211)</f>
        <v>83710</v>
      </c>
      <c r="Y266" s="3">
        <v>96734</v>
      </c>
      <c r="AA266" s="384"/>
    </row>
    <row r="267" spans="1:28" x14ac:dyDescent="0.3">
      <c r="A267" s="186"/>
      <c r="B267" s="186"/>
      <c r="C267" s="186"/>
      <c r="D267" s="186"/>
      <c r="E267" s="186"/>
      <c r="F267" s="364"/>
      <c r="G267" s="365"/>
      <c r="H267" s="364"/>
      <c r="I267" s="366"/>
      <c r="K267" s="10"/>
      <c r="P267" s="202"/>
      <c r="X267" s="284">
        <f>SUM(X247:X256)</f>
        <v>9566</v>
      </c>
      <c r="AA267" s="384"/>
    </row>
    <row r="268" spans="1:28" ht="18.75" customHeight="1" x14ac:dyDescent="0.3">
      <c r="A268" s="186"/>
      <c r="B268" s="186"/>
      <c r="C268" s="186"/>
      <c r="D268" s="186"/>
      <c r="E268" s="186"/>
      <c r="F268" s="364"/>
      <c r="G268" s="365"/>
      <c r="H268" s="364"/>
      <c r="I268" s="366"/>
      <c r="K268" s="10"/>
      <c r="L268"/>
      <c r="P268" s="202"/>
      <c r="Y268" s="3" t="s">
        <v>874</v>
      </c>
      <c r="AA268" s="384"/>
    </row>
    <row r="269" spans="1:28" ht="30.75" customHeight="1" x14ac:dyDescent="0.3">
      <c r="A269" s="186"/>
      <c r="B269" s="186"/>
      <c r="C269" s="186"/>
      <c r="D269" s="186"/>
      <c r="E269" s="186"/>
      <c r="F269" s="364"/>
      <c r="G269" s="365"/>
      <c r="H269" s="364"/>
      <c r="I269" s="366"/>
      <c r="K269" s="10"/>
      <c r="L269" s="367"/>
      <c r="P269" s="202"/>
      <c r="X269" s="284">
        <f>SUM(X266:X268)</f>
        <v>93276</v>
      </c>
      <c r="Y269" s="3">
        <f>Y266</f>
        <v>96734</v>
      </c>
      <c r="Z269" s="284">
        <f>X269-Y269</f>
        <v>-3458</v>
      </c>
      <c r="AA269" s="384"/>
    </row>
    <row r="270" spans="1:28" ht="30.75" customHeight="1" x14ac:dyDescent="0.3">
      <c r="A270" s="186"/>
      <c r="B270" s="186"/>
      <c r="C270" s="186"/>
      <c r="D270" s="186"/>
      <c r="E270" s="186"/>
      <c r="F270" s="364"/>
      <c r="G270" s="365"/>
      <c r="H270" s="364"/>
      <c r="I270" s="366"/>
      <c r="K270" s="10"/>
      <c r="L270" s="367"/>
      <c r="P270" s="202"/>
      <c r="AA270" s="384"/>
    </row>
    <row r="271" spans="1:28" ht="30.75" customHeight="1" x14ac:dyDescent="0.3">
      <c r="A271" s="186"/>
      <c r="B271" s="186"/>
      <c r="C271" s="186"/>
      <c r="D271" s="186"/>
      <c r="E271" s="186"/>
      <c r="F271" s="364"/>
      <c r="G271" s="365"/>
      <c r="H271" s="364"/>
      <c r="I271" s="366"/>
      <c r="K271" s="10"/>
      <c r="L271" s="367"/>
      <c r="P271" s="202"/>
      <c r="AA271" s="384"/>
    </row>
    <row r="272" spans="1:28" ht="30.75" customHeight="1" x14ac:dyDescent="0.3">
      <c r="A272" s="186"/>
      <c r="B272" s="186"/>
      <c r="C272" s="186"/>
      <c r="D272" s="186"/>
      <c r="E272" s="186"/>
      <c r="F272" s="364"/>
      <c r="G272" s="365"/>
      <c r="H272" s="364"/>
      <c r="I272" s="366"/>
      <c r="K272" s="10"/>
      <c r="L272" s="367"/>
      <c r="P272" s="202"/>
      <c r="AA272" s="384"/>
    </row>
    <row r="273" spans="1:27" ht="30.75" customHeight="1" x14ac:dyDescent="0.3">
      <c r="A273" s="186"/>
      <c r="B273" s="186"/>
      <c r="C273" s="186"/>
      <c r="D273" s="186"/>
      <c r="E273" s="186"/>
      <c r="F273" s="364"/>
      <c r="G273" s="365"/>
      <c r="H273" s="364"/>
      <c r="I273" s="366"/>
      <c r="K273" s="10"/>
      <c r="L273" s="367"/>
      <c r="P273" s="202"/>
      <c r="AA273" s="384"/>
    </row>
    <row r="274" spans="1:27" x14ac:dyDescent="0.3">
      <c r="A274" s="186"/>
      <c r="B274" s="186"/>
      <c r="C274" s="186"/>
      <c r="D274" s="186"/>
      <c r="E274" s="186"/>
      <c r="I274" s="366"/>
      <c r="K274" s="10"/>
      <c r="L274" s="367"/>
      <c r="P274" s="202"/>
      <c r="AA274" s="384"/>
    </row>
    <row r="275" spans="1:27" x14ac:dyDescent="0.3">
      <c r="A275" s="186"/>
      <c r="B275" s="186"/>
      <c r="C275" s="186"/>
      <c r="D275" s="186"/>
      <c r="E275" s="186"/>
      <c r="I275" s="366"/>
      <c r="L275" s="367"/>
      <c r="P275" s="202"/>
      <c r="AA275" s="384"/>
    </row>
    <row r="276" spans="1:27" x14ac:dyDescent="0.3">
      <c r="A276" s="5"/>
      <c r="B276" s="368"/>
      <c r="C276" s="23"/>
      <c r="D276" s="72"/>
      <c r="I276" s="366"/>
      <c r="L276" s="367"/>
      <c r="P276" s="202"/>
      <c r="AA276" s="384"/>
    </row>
    <row r="277" spans="1:27" x14ac:dyDescent="0.3">
      <c r="A277" s="5"/>
      <c r="B277" s="368"/>
      <c r="C277" s="23"/>
      <c r="D277" s="72"/>
      <c r="L277" s="367"/>
      <c r="P277" s="202"/>
      <c r="AA277" s="384"/>
    </row>
    <row r="278" spans="1:27" x14ac:dyDescent="0.3">
      <c r="D278" s="72"/>
      <c r="P278" s="202"/>
      <c r="AA278" s="384"/>
    </row>
    <row r="279" spans="1:27" x14ac:dyDescent="0.3">
      <c r="D279" s="72"/>
      <c r="P279" s="202"/>
      <c r="AA279" s="384"/>
    </row>
    <row r="280" spans="1:27" x14ac:dyDescent="0.3">
      <c r="D280" s="72"/>
      <c r="P280" s="202"/>
      <c r="AA280" s="384"/>
    </row>
    <row r="281" spans="1:27" x14ac:dyDescent="0.3">
      <c r="D281" s="72"/>
      <c r="P281" s="202"/>
      <c r="AA281" s="384"/>
    </row>
    <row r="282" spans="1:27" x14ac:dyDescent="0.3">
      <c r="A282" s="5"/>
      <c r="B282" s="368"/>
      <c r="C282" s="23"/>
      <c r="D282" s="72"/>
      <c r="P282" s="202"/>
      <c r="AA282" s="384"/>
    </row>
    <row r="283" spans="1:27" x14ac:dyDescent="0.3">
      <c r="A283" s="5"/>
      <c r="B283" s="368"/>
      <c r="C283" s="23"/>
      <c r="D283" s="72"/>
      <c r="P283" s="202"/>
      <c r="AA283" s="384"/>
    </row>
    <row r="284" spans="1:27" x14ac:dyDescent="0.3">
      <c r="D284" s="72"/>
      <c r="P284" s="202"/>
      <c r="AA284" s="384"/>
    </row>
    <row r="285" spans="1:27" x14ac:dyDescent="0.3">
      <c r="D285" s="72"/>
      <c r="P285" s="202"/>
      <c r="AA285" s="384"/>
    </row>
    <row r="286" spans="1:27" x14ac:dyDescent="0.3">
      <c r="D286" s="72"/>
      <c r="P286" s="202"/>
      <c r="AA286" s="384"/>
    </row>
    <row r="287" spans="1:27" x14ac:dyDescent="0.3">
      <c r="D287" s="72"/>
      <c r="P287" s="202"/>
      <c r="AA287" s="384"/>
    </row>
    <row r="288" spans="1:27" x14ac:dyDescent="0.3">
      <c r="A288" s="5"/>
      <c r="B288" s="368"/>
      <c r="C288" s="23"/>
      <c r="D288" s="72"/>
      <c r="P288" s="202"/>
      <c r="AA288" s="384"/>
    </row>
    <row r="289" spans="1:27" x14ac:dyDescent="0.3">
      <c r="A289" s="5"/>
      <c r="B289" s="368"/>
      <c r="C289" s="23"/>
      <c r="D289" s="72"/>
      <c r="P289" s="202"/>
      <c r="AA289" s="384"/>
    </row>
    <row r="290" spans="1:27" x14ac:dyDescent="0.3">
      <c r="D290" s="72"/>
      <c r="P290" s="202"/>
      <c r="AA290" s="384"/>
    </row>
    <row r="291" spans="1:27" x14ac:dyDescent="0.3">
      <c r="D291" s="72"/>
      <c r="P291" s="202"/>
      <c r="AA291" s="384"/>
    </row>
    <row r="292" spans="1:27" x14ac:dyDescent="0.3">
      <c r="D292" s="72"/>
      <c r="P292" s="202"/>
      <c r="AA292" s="384"/>
    </row>
    <row r="293" spans="1:27" x14ac:dyDescent="0.3">
      <c r="D293" s="72"/>
      <c r="P293" s="202"/>
      <c r="AA293" s="384"/>
    </row>
    <row r="294" spans="1:27" x14ac:dyDescent="0.3">
      <c r="A294" s="5"/>
      <c r="B294" s="368"/>
      <c r="C294" s="23"/>
      <c r="D294" s="72"/>
      <c r="P294" s="202"/>
      <c r="AA294" s="384"/>
    </row>
    <row r="295" spans="1:27" x14ac:dyDescent="0.3">
      <c r="A295" s="5"/>
      <c r="B295" s="368"/>
      <c r="C295" s="23"/>
      <c r="D295" s="72"/>
      <c r="P295" s="202"/>
      <c r="AA295" s="384"/>
    </row>
    <row r="296" spans="1:27" x14ac:dyDescent="0.3">
      <c r="A296" s="5"/>
      <c r="B296" s="368"/>
      <c r="C296" s="23"/>
      <c r="D296" s="72"/>
      <c r="P296" s="202"/>
      <c r="AA296" s="384"/>
    </row>
    <row r="297" spans="1:27" x14ac:dyDescent="0.3">
      <c r="A297" s="5"/>
      <c r="B297" s="368"/>
      <c r="C297" s="23"/>
      <c r="D297" s="72"/>
      <c r="P297" s="202"/>
      <c r="AA297" s="384"/>
    </row>
    <row r="298" spans="1:27" x14ac:dyDescent="0.3">
      <c r="D298" s="72"/>
      <c r="P298" s="202"/>
      <c r="AA298" s="384"/>
    </row>
    <row r="299" spans="1:27" x14ac:dyDescent="0.3">
      <c r="D299" s="72"/>
      <c r="P299" s="202"/>
      <c r="AA299" s="384"/>
    </row>
    <row r="300" spans="1:27" x14ac:dyDescent="0.3">
      <c r="D300" s="72"/>
      <c r="P300" s="202"/>
      <c r="AA300" s="384"/>
    </row>
    <row r="301" spans="1:27" x14ac:dyDescent="0.3">
      <c r="A301" s="5"/>
      <c r="B301" s="368"/>
      <c r="C301" s="23"/>
      <c r="D301" s="72"/>
      <c r="P301" s="202"/>
      <c r="AA301" s="384"/>
    </row>
    <row r="302" spans="1:27" x14ac:dyDescent="0.3">
      <c r="A302" s="5"/>
      <c r="B302" s="368"/>
      <c r="C302" s="23"/>
      <c r="D302" s="72"/>
      <c r="P302" s="202"/>
      <c r="AA302" s="384"/>
    </row>
    <row r="303" spans="1:27" x14ac:dyDescent="0.3">
      <c r="A303" s="5"/>
      <c r="B303" s="368"/>
      <c r="C303" s="23"/>
      <c r="D303" s="72"/>
      <c r="P303" s="202"/>
      <c r="AA303" s="384"/>
    </row>
    <row r="304" spans="1:27" x14ac:dyDescent="0.3">
      <c r="A304" s="5"/>
      <c r="B304" s="368"/>
      <c r="C304" s="23"/>
      <c r="D304" s="72"/>
      <c r="P304" s="202"/>
      <c r="AA304" s="384"/>
    </row>
    <row r="305" spans="1:27" x14ac:dyDescent="0.3">
      <c r="A305" s="5"/>
      <c r="B305" s="368"/>
      <c r="C305" s="23"/>
      <c r="D305" s="72"/>
      <c r="P305" s="202"/>
      <c r="AA305" s="384"/>
    </row>
    <row r="306" spans="1:27" x14ac:dyDescent="0.3">
      <c r="A306" s="5"/>
      <c r="B306" s="368"/>
      <c r="C306" s="23"/>
      <c r="D306" s="72"/>
      <c r="P306" s="202"/>
      <c r="AA306" s="384"/>
    </row>
    <row r="307" spans="1:27" x14ac:dyDescent="0.3">
      <c r="A307" s="5"/>
      <c r="B307" s="368"/>
      <c r="C307" s="23"/>
      <c r="D307" s="72"/>
      <c r="P307" s="202"/>
      <c r="AA307" s="384"/>
    </row>
    <row r="308" spans="1:27" x14ac:dyDescent="0.3">
      <c r="A308" s="5"/>
      <c r="B308" s="368"/>
      <c r="C308" s="23"/>
      <c r="D308" s="72"/>
      <c r="P308" s="202"/>
      <c r="AA308" s="384"/>
    </row>
    <row r="309" spans="1:27" x14ac:dyDescent="0.3">
      <c r="A309" s="5"/>
      <c r="B309" s="368"/>
      <c r="C309" s="23"/>
      <c r="D309" s="72"/>
      <c r="P309" s="202"/>
      <c r="AA309" s="384"/>
    </row>
    <row r="310" spans="1:27" x14ac:dyDescent="0.3">
      <c r="A310" s="5"/>
      <c r="B310" s="368"/>
      <c r="C310" s="23"/>
      <c r="D310" s="72"/>
      <c r="P310" s="202"/>
      <c r="AA310" s="384"/>
    </row>
    <row r="311" spans="1:27" x14ac:dyDescent="0.3">
      <c r="A311" s="5"/>
      <c r="B311" s="368"/>
      <c r="C311" s="23"/>
      <c r="D311" s="72"/>
      <c r="P311" s="202"/>
      <c r="AA311" s="384"/>
    </row>
    <row r="312" spans="1:27" x14ac:dyDescent="0.3">
      <c r="A312" s="5"/>
      <c r="B312" s="368"/>
      <c r="C312" s="23"/>
      <c r="D312" s="72"/>
      <c r="P312" s="202"/>
      <c r="AA312" s="384"/>
    </row>
    <row r="313" spans="1:27" x14ac:dyDescent="0.3">
      <c r="A313" s="5"/>
      <c r="B313" s="368"/>
      <c r="C313" s="23"/>
      <c r="D313" s="72"/>
      <c r="P313" s="202"/>
      <c r="AA313" s="384"/>
    </row>
    <row r="314" spans="1:27" x14ac:dyDescent="0.3">
      <c r="A314" s="5"/>
      <c r="B314" s="368"/>
      <c r="C314" s="23"/>
      <c r="D314" s="72"/>
      <c r="P314" s="202"/>
      <c r="AA314" s="384"/>
    </row>
    <row r="315" spans="1:27" x14ac:dyDescent="0.3">
      <c r="A315" s="5"/>
      <c r="B315" s="368"/>
      <c r="C315" s="23"/>
      <c r="D315" s="72"/>
      <c r="P315" s="202"/>
      <c r="AA315" s="384"/>
    </row>
    <row r="316" spans="1:27" x14ac:dyDescent="0.3">
      <c r="A316" s="5"/>
      <c r="B316" s="368"/>
      <c r="C316" s="23"/>
      <c r="D316" s="72"/>
      <c r="P316" s="202"/>
      <c r="AA316" s="384"/>
    </row>
    <row r="317" spans="1:27" x14ac:dyDescent="0.3">
      <c r="A317" s="5"/>
      <c r="B317" s="368"/>
      <c r="C317" s="23"/>
      <c r="D317" s="72"/>
      <c r="P317" s="202"/>
      <c r="AA317" s="384"/>
    </row>
    <row r="318" spans="1:27" x14ac:dyDescent="0.3">
      <c r="A318" s="5"/>
      <c r="B318" s="368"/>
      <c r="C318" s="23"/>
      <c r="D318" s="72"/>
      <c r="P318" s="202"/>
      <c r="AA318" s="384"/>
    </row>
    <row r="319" spans="1:27" x14ac:dyDescent="0.3">
      <c r="A319" s="5"/>
      <c r="B319" s="368"/>
      <c r="C319" s="23"/>
      <c r="D319" s="72"/>
      <c r="P319" s="202"/>
      <c r="AA319" s="384"/>
    </row>
    <row r="320" spans="1:27" x14ac:dyDescent="0.3">
      <c r="A320" s="5"/>
      <c r="B320" s="368"/>
      <c r="C320" s="23"/>
      <c r="D320" s="72"/>
      <c r="P320" s="202"/>
    </row>
    <row r="321" spans="1:16" x14ac:dyDescent="0.3">
      <c r="A321" s="5"/>
      <c r="B321" s="368"/>
      <c r="C321" s="23"/>
      <c r="D321" s="72"/>
      <c r="P321" s="202"/>
    </row>
    <row r="322" spans="1:16" x14ac:dyDescent="0.3">
      <c r="A322" s="5"/>
      <c r="B322" s="368"/>
      <c r="C322" s="23"/>
      <c r="D322" s="72"/>
      <c r="P322" s="202"/>
    </row>
    <row r="323" spans="1:16" x14ac:dyDescent="0.3">
      <c r="A323" s="5"/>
      <c r="B323" s="368"/>
      <c r="C323" s="23"/>
      <c r="D323" s="72"/>
      <c r="P323" s="202"/>
    </row>
    <row r="324" spans="1:16" x14ac:dyDescent="0.3">
      <c r="A324" s="5"/>
      <c r="B324" s="368"/>
      <c r="C324" s="23"/>
      <c r="D324" s="72"/>
      <c r="P324" s="202"/>
    </row>
    <row r="325" spans="1:16" x14ac:dyDescent="0.3">
      <c r="A325" s="5"/>
      <c r="B325" s="368"/>
      <c r="C325" s="23"/>
      <c r="D325" s="72"/>
      <c r="P325" s="202"/>
    </row>
    <row r="326" spans="1:16" x14ac:dyDescent="0.3">
      <c r="A326" s="5"/>
      <c r="B326" s="368"/>
      <c r="C326" s="23"/>
      <c r="D326" s="72"/>
      <c r="P326" s="202"/>
    </row>
    <row r="327" spans="1:16" x14ac:dyDescent="0.3">
      <c r="A327" s="5"/>
      <c r="B327" s="368"/>
      <c r="C327" s="23"/>
      <c r="D327" s="72"/>
      <c r="P327" s="202"/>
    </row>
    <row r="328" spans="1:16" x14ac:dyDescent="0.3">
      <c r="A328" s="5"/>
      <c r="B328" s="368"/>
      <c r="C328" s="23"/>
      <c r="D328" s="72"/>
      <c r="P328" s="202"/>
    </row>
    <row r="329" spans="1:16" x14ac:dyDescent="0.3">
      <c r="A329" s="5"/>
      <c r="B329" s="368"/>
      <c r="C329" s="23"/>
      <c r="D329" s="72"/>
      <c r="P329" s="202"/>
    </row>
    <row r="330" spans="1:16" x14ac:dyDescent="0.3">
      <c r="A330" s="5"/>
      <c r="B330" s="368"/>
      <c r="C330" s="23"/>
      <c r="D330" s="72"/>
      <c r="P330" s="202"/>
    </row>
    <row r="331" spans="1:16" x14ac:dyDescent="0.3">
      <c r="A331" s="5"/>
      <c r="B331" s="368"/>
      <c r="C331" s="23"/>
      <c r="D331" s="72"/>
      <c r="P331" s="202"/>
    </row>
    <row r="332" spans="1:16" x14ac:dyDescent="0.3">
      <c r="A332" s="5"/>
      <c r="B332" s="368"/>
      <c r="C332" s="23"/>
      <c r="D332" s="72"/>
      <c r="P332" s="202"/>
    </row>
    <row r="333" spans="1:16" x14ac:dyDescent="0.3">
      <c r="A333" s="5"/>
      <c r="B333" s="368"/>
      <c r="C333" s="23"/>
      <c r="D333" s="72"/>
      <c r="P333" s="202"/>
    </row>
    <row r="334" spans="1:16" x14ac:dyDescent="0.3">
      <c r="A334" s="5"/>
      <c r="B334" s="368"/>
      <c r="C334" s="23"/>
      <c r="D334" s="72"/>
      <c r="P334" s="202"/>
    </row>
    <row r="335" spans="1:16" x14ac:dyDescent="0.3">
      <c r="A335" s="5"/>
      <c r="B335" s="368"/>
      <c r="C335" s="23"/>
      <c r="D335" s="72"/>
      <c r="P335" s="202"/>
    </row>
    <row r="336" spans="1:16" x14ac:dyDescent="0.3">
      <c r="A336" s="5"/>
      <c r="B336" s="368"/>
      <c r="C336" s="23"/>
      <c r="D336" s="72"/>
      <c r="P336" s="202"/>
    </row>
    <row r="337" spans="1:16" x14ac:dyDescent="0.3">
      <c r="A337" s="5"/>
      <c r="B337" s="368"/>
      <c r="C337" s="23"/>
      <c r="D337" s="72"/>
      <c r="P337" s="202"/>
    </row>
    <row r="338" spans="1:16" x14ac:dyDescent="0.3">
      <c r="A338" s="5"/>
      <c r="B338" s="368"/>
      <c r="C338" s="23"/>
      <c r="D338" s="72"/>
      <c r="P338" s="202"/>
    </row>
    <row r="339" spans="1:16" x14ac:dyDescent="0.3">
      <c r="A339" s="5"/>
      <c r="B339" s="368"/>
      <c r="C339" s="23"/>
      <c r="D339" s="72"/>
      <c r="P339" s="202"/>
    </row>
    <row r="340" spans="1:16" x14ac:dyDescent="0.3">
      <c r="A340" s="5"/>
      <c r="B340" s="368"/>
      <c r="C340" s="23"/>
      <c r="D340" s="72"/>
      <c r="P340" s="202"/>
    </row>
    <row r="341" spans="1:16" x14ac:dyDescent="0.3">
      <c r="A341" s="5"/>
      <c r="B341" s="368"/>
      <c r="C341" s="23"/>
      <c r="D341" s="72"/>
      <c r="P341" s="202"/>
    </row>
    <row r="342" spans="1:16" x14ac:dyDescent="0.3">
      <c r="A342" s="5"/>
      <c r="B342" s="368"/>
      <c r="C342" s="23"/>
      <c r="D342" s="72"/>
      <c r="P342" s="202"/>
    </row>
    <row r="343" spans="1:16" x14ac:dyDescent="0.3">
      <c r="A343" s="5"/>
      <c r="B343" s="368"/>
      <c r="C343" s="23"/>
      <c r="D343" s="72"/>
      <c r="P343" s="202"/>
    </row>
    <row r="344" spans="1:16" x14ac:dyDescent="0.3">
      <c r="A344" s="5"/>
      <c r="B344" s="368"/>
      <c r="C344" s="23"/>
      <c r="D344" s="72"/>
      <c r="P344" s="202"/>
    </row>
    <row r="345" spans="1:16" x14ac:dyDescent="0.3">
      <c r="A345" s="5"/>
      <c r="B345" s="368"/>
      <c r="C345" s="23"/>
      <c r="D345" s="72"/>
      <c r="P345" s="202"/>
    </row>
    <row r="346" spans="1:16" x14ac:dyDescent="0.3">
      <c r="A346" s="5"/>
      <c r="B346" s="368"/>
      <c r="C346" s="23"/>
      <c r="D346" s="72"/>
      <c r="P346" s="202"/>
    </row>
    <row r="347" spans="1:16" x14ac:dyDescent="0.3">
      <c r="A347" s="5"/>
      <c r="B347" s="368"/>
      <c r="C347" s="23"/>
      <c r="D347" s="72"/>
      <c r="P347" s="202"/>
    </row>
    <row r="348" spans="1:16" x14ac:dyDescent="0.3">
      <c r="A348" s="5"/>
      <c r="B348" s="368"/>
      <c r="C348" s="23"/>
      <c r="D348" s="72"/>
      <c r="P348" s="202"/>
    </row>
    <row r="349" spans="1:16" x14ac:dyDescent="0.3">
      <c r="A349" s="5"/>
      <c r="B349" s="368"/>
      <c r="C349" s="23"/>
      <c r="D349" s="72"/>
      <c r="P349" s="202"/>
    </row>
    <row r="350" spans="1:16" x14ac:dyDescent="0.3">
      <c r="A350" s="5"/>
      <c r="B350" s="368"/>
      <c r="C350" s="23"/>
      <c r="D350" s="72"/>
      <c r="P350" s="202"/>
    </row>
    <row r="351" spans="1:16" x14ac:dyDescent="0.3">
      <c r="A351" s="5"/>
      <c r="B351" s="368"/>
      <c r="C351" s="23"/>
      <c r="D351" s="72"/>
      <c r="P351" s="202"/>
    </row>
    <row r="352" spans="1:16" x14ac:dyDescent="0.3">
      <c r="A352" s="5"/>
      <c r="B352" s="368"/>
      <c r="C352" s="23"/>
      <c r="D352" s="72"/>
      <c r="P352" s="202"/>
    </row>
    <row r="353" spans="1:16" x14ac:dyDescent="0.3">
      <c r="A353" s="5"/>
      <c r="B353" s="368"/>
      <c r="C353" s="23"/>
      <c r="D353" s="72"/>
      <c r="P353" s="202"/>
    </row>
    <row r="354" spans="1:16" x14ac:dyDescent="0.3">
      <c r="A354" s="5"/>
      <c r="B354" s="368"/>
      <c r="C354" s="23"/>
      <c r="D354" s="72"/>
      <c r="P354" s="202"/>
    </row>
    <row r="355" spans="1:16" x14ac:dyDescent="0.3">
      <c r="A355" s="5"/>
      <c r="B355" s="368"/>
      <c r="C355" s="23"/>
      <c r="D355" s="72"/>
      <c r="P355" s="202"/>
    </row>
    <row r="356" spans="1:16" x14ac:dyDescent="0.3">
      <c r="A356" s="5"/>
      <c r="B356" s="368"/>
      <c r="C356" s="23"/>
      <c r="D356" s="72"/>
      <c r="P356" s="202"/>
    </row>
    <row r="357" spans="1:16" x14ac:dyDescent="0.3">
      <c r="A357" s="5"/>
      <c r="B357" s="368"/>
      <c r="C357" s="23"/>
      <c r="D357" s="72"/>
      <c r="P357" s="202"/>
    </row>
    <row r="358" spans="1:16" x14ac:dyDescent="0.3">
      <c r="A358" s="5"/>
      <c r="B358" s="368"/>
      <c r="C358" s="23"/>
      <c r="D358" s="72"/>
      <c r="P358" s="202"/>
    </row>
    <row r="359" spans="1:16" x14ac:dyDescent="0.3">
      <c r="A359" s="5"/>
      <c r="B359" s="368"/>
      <c r="C359" s="23"/>
      <c r="D359" s="72"/>
      <c r="P359" s="202"/>
    </row>
    <row r="360" spans="1:16" x14ac:dyDescent="0.3">
      <c r="A360" s="5"/>
      <c r="B360" s="368"/>
      <c r="C360" s="23"/>
      <c r="D360" s="72"/>
      <c r="P360" s="202"/>
    </row>
    <row r="361" spans="1:16" x14ac:dyDescent="0.3">
      <c r="A361" s="5"/>
      <c r="B361" s="368"/>
      <c r="C361" s="23"/>
      <c r="D361" s="72"/>
      <c r="P361" s="202"/>
    </row>
    <row r="362" spans="1:16" x14ac:dyDescent="0.3">
      <c r="A362" s="5"/>
      <c r="B362" s="368"/>
      <c r="C362" s="23"/>
      <c r="D362" s="72"/>
      <c r="P362" s="202"/>
    </row>
    <row r="363" spans="1:16" x14ac:dyDescent="0.3">
      <c r="A363" s="5"/>
      <c r="B363" s="368"/>
      <c r="C363" s="23"/>
      <c r="D363" s="72"/>
      <c r="P363" s="202"/>
    </row>
    <row r="364" spans="1:16" x14ac:dyDescent="0.3">
      <c r="A364" s="5"/>
      <c r="B364" s="368"/>
      <c r="C364" s="23"/>
      <c r="D364" s="72"/>
      <c r="P364" s="202"/>
    </row>
    <row r="365" spans="1:16" x14ac:dyDescent="0.3">
      <c r="A365" s="5"/>
      <c r="B365" s="368"/>
      <c r="C365" s="23"/>
      <c r="D365" s="72"/>
      <c r="P365" s="202"/>
    </row>
    <row r="366" spans="1:16" x14ac:dyDescent="0.3">
      <c r="A366" s="5"/>
      <c r="B366" s="368"/>
      <c r="C366" s="23"/>
      <c r="D366" s="72"/>
      <c r="P366" s="202"/>
    </row>
    <row r="367" spans="1:16" x14ac:dyDescent="0.3">
      <c r="A367" s="5"/>
      <c r="B367" s="368"/>
      <c r="C367" s="23"/>
      <c r="D367" s="72"/>
      <c r="P367" s="202"/>
    </row>
    <row r="368" spans="1:16" x14ac:dyDescent="0.3">
      <c r="A368" s="5"/>
      <c r="B368" s="368"/>
      <c r="C368" s="23"/>
      <c r="D368" s="72"/>
      <c r="P368" s="202"/>
    </row>
    <row r="369" spans="1:16" x14ac:dyDescent="0.3">
      <c r="A369" s="5"/>
      <c r="B369" s="368"/>
      <c r="C369" s="23"/>
      <c r="D369" s="72"/>
      <c r="P369" s="202"/>
    </row>
    <row r="370" spans="1:16" x14ac:dyDescent="0.3">
      <c r="A370" s="5"/>
      <c r="B370" s="368"/>
      <c r="C370" s="23"/>
      <c r="D370" s="72"/>
      <c r="P370" s="202"/>
    </row>
    <row r="371" spans="1:16" x14ac:dyDescent="0.3">
      <c r="A371" s="5"/>
      <c r="B371" s="368"/>
      <c r="C371" s="23"/>
      <c r="D371" s="72"/>
      <c r="P371" s="202"/>
    </row>
    <row r="372" spans="1:16" x14ac:dyDescent="0.3">
      <c r="A372" s="5"/>
      <c r="B372" s="368"/>
      <c r="C372" s="23"/>
      <c r="D372" s="72"/>
      <c r="P372" s="202"/>
    </row>
    <row r="373" spans="1:16" x14ac:dyDescent="0.3">
      <c r="A373" s="5"/>
      <c r="B373" s="368"/>
      <c r="C373" s="23"/>
      <c r="D373" s="72"/>
      <c r="P373" s="202"/>
    </row>
    <row r="374" spans="1:16" x14ac:dyDescent="0.3">
      <c r="A374" s="5"/>
      <c r="B374" s="368"/>
      <c r="C374" s="23"/>
      <c r="D374" s="72"/>
      <c r="P374" s="202"/>
    </row>
    <row r="375" spans="1:16" x14ac:dyDescent="0.3">
      <c r="A375" s="5"/>
      <c r="B375" s="368"/>
      <c r="C375" s="23"/>
      <c r="D375" s="72"/>
      <c r="P375" s="202"/>
    </row>
    <row r="376" spans="1:16" x14ac:dyDescent="0.3">
      <c r="A376" s="5"/>
      <c r="B376" s="368"/>
      <c r="C376" s="23"/>
      <c r="D376" s="72"/>
      <c r="P376" s="202"/>
    </row>
    <row r="377" spans="1:16" x14ac:dyDescent="0.3">
      <c r="A377" s="5"/>
      <c r="B377" s="368"/>
      <c r="C377" s="23"/>
      <c r="D377" s="72"/>
      <c r="P377" s="202"/>
    </row>
    <row r="378" spans="1:16" x14ac:dyDescent="0.3">
      <c r="A378" s="5"/>
      <c r="B378" s="368"/>
      <c r="C378" s="23"/>
      <c r="D378" s="72"/>
      <c r="P378" s="202"/>
    </row>
    <row r="379" spans="1:16" x14ac:dyDescent="0.3">
      <c r="A379" s="5"/>
      <c r="B379" s="368"/>
      <c r="C379" s="23"/>
      <c r="D379" s="72"/>
    </row>
    <row r="380" spans="1:16" x14ac:dyDescent="0.3">
      <c r="A380" s="5"/>
      <c r="B380" s="368"/>
      <c r="C380" s="23"/>
      <c r="D380" s="72"/>
      <c r="P380" s="202"/>
    </row>
    <row r="381" spans="1:16" x14ac:dyDescent="0.3">
      <c r="A381" s="5"/>
      <c r="B381" s="368"/>
      <c r="C381" s="23"/>
      <c r="D381" s="72"/>
    </row>
    <row r="382" spans="1:16" x14ac:dyDescent="0.3">
      <c r="A382" s="5"/>
      <c r="B382" s="368"/>
      <c r="C382" s="23"/>
      <c r="D382" s="72"/>
    </row>
    <row r="383" spans="1:16" x14ac:dyDescent="0.3">
      <c r="A383" s="5"/>
      <c r="B383" s="368"/>
      <c r="C383" s="23"/>
      <c r="D383" s="72"/>
    </row>
    <row r="384" spans="1:16" x14ac:dyDescent="0.3">
      <c r="A384" s="5"/>
      <c r="B384" s="368"/>
      <c r="C384" s="23"/>
      <c r="D384" s="72"/>
    </row>
    <row r="385" spans="1:4" x14ac:dyDescent="0.3">
      <c r="A385" s="5"/>
      <c r="B385" s="368"/>
      <c r="C385" s="23"/>
      <c r="D385" s="72"/>
    </row>
    <row r="386" spans="1:4" x14ac:dyDescent="0.3">
      <c r="A386" s="5"/>
      <c r="B386" s="368"/>
      <c r="C386" s="23"/>
      <c r="D386" s="72"/>
    </row>
    <row r="387" spans="1:4" x14ac:dyDescent="0.3">
      <c r="A387" s="5"/>
      <c r="B387" s="368"/>
      <c r="C387" s="23"/>
      <c r="D387" s="72"/>
    </row>
    <row r="388" spans="1:4" x14ac:dyDescent="0.3">
      <c r="A388" s="5"/>
      <c r="B388" s="368"/>
      <c r="C388" s="23"/>
      <c r="D388" s="72"/>
    </row>
    <row r="389" spans="1:4" x14ac:dyDescent="0.3">
      <c r="A389" s="5"/>
      <c r="B389" s="368"/>
      <c r="C389" s="23"/>
      <c r="D389" s="72"/>
    </row>
    <row r="390" spans="1:4" x14ac:dyDescent="0.3">
      <c r="A390" s="5"/>
      <c r="B390" s="368"/>
      <c r="C390" s="23"/>
      <c r="D390" s="72"/>
    </row>
    <row r="391" spans="1:4" x14ac:dyDescent="0.3">
      <c r="A391" s="5"/>
      <c r="B391" s="368"/>
      <c r="C391" s="23"/>
      <c r="D391" s="72"/>
    </row>
    <row r="392" spans="1:4" x14ac:dyDescent="0.3">
      <c r="A392" s="5"/>
      <c r="B392" s="368"/>
      <c r="C392" s="23"/>
      <c r="D392" s="72"/>
    </row>
    <row r="393" spans="1:4" x14ac:dyDescent="0.3">
      <c r="A393" s="5"/>
      <c r="B393" s="368"/>
      <c r="C393" s="23"/>
      <c r="D393" s="72"/>
    </row>
    <row r="394" spans="1:4" x14ac:dyDescent="0.3">
      <c r="A394" s="5"/>
      <c r="B394" s="368"/>
      <c r="C394" s="23"/>
      <c r="D394" s="72"/>
    </row>
    <row r="395" spans="1:4" x14ac:dyDescent="0.3">
      <c r="A395" s="5"/>
      <c r="B395" s="368"/>
      <c r="C395" s="23"/>
      <c r="D395" s="72"/>
    </row>
    <row r="396" spans="1:4" x14ac:dyDescent="0.3">
      <c r="A396" s="5"/>
      <c r="B396" s="368"/>
      <c r="C396" s="23"/>
      <c r="D396" s="72"/>
    </row>
    <row r="397" spans="1:4" x14ac:dyDescent="0.3">
      <c r="A397" s="5"/>
      <c r="B397" s="368"/>
      <c r="C397" s="23"/>
      <c r="D397" s="72"/>
    </row>
    <row r="398" spans="1:4" x14ac:dyDescent="0.3">
      <c r="A398" s="5"/>
      <c r="B398" s="368"/>
      <c r="C398" s="23"/>
      <c r="D398" s="72"/>
    </row>
    <row r="399" spans="1:4" x14ac:dyDescent="0.3">
      <c r="A399" s="5"/>
      <c r="B399" s="368"/>
      <c r="C399" s="23"/>
      <c r="D399" s="72"/>
    </row>
    <row r="400" spans="1:4" x14ac:dyDescent="0.3">
      <c r="A400" s="5"/>
      <c r="B400" s="368"/>
      <c r="C400" s="23"/>
      <c r="D400" s="72"/>
    </row>
    <row r="401" spans="1:4" x14ac:dyDescent="0.3">
      <c r="A401" s="5"/>
      <c r="B401" s="368"/>
      <c r="C401" s="23"/>
      <c r="D401" s="72"/>
    </row>
    <row r="402" spans="1:4" x14ac:dyDescent="0.3">
      <c r="A402" s="5"/>
      <c r="B402" s="368"/>
      <c r="C402" s="23"/>
      <c r="D402" s="72"/>
    </row>
    <row r="403" spans="1:4" x14ac:dyDescent="0.3">
      <c r="A403" s="5"/>
      <c r="B403" s="368"/>
      <c r="C403" s="23"/>
      <c r="D403" s="72"/>
    </row>
    <row r="404" spans="1:4" x14ac:dyDescent="0.3">
      <c r="A404" s="5"/>
      <c r="B404" s="368"/>
      <c r="C404" s="23"/>
      <c r="D404" s="72"/>
    </row>
    <row r="405" spans="1:4" x14ac:dyDescent="0.3">
      <c r="A405" s="5"/>
      <c r="B405" s="368"/>
      <c r="C405" s="23"/>
      <c r="D405" s="72"/>
    </row>
    <row r="406" spans="1:4" x14ac:dyDescent="0.3">
      <c r="A406" s="5"/>
      <c r="B406" s="368"/>
      <c r="C406" s="23"/>
      <c r="D406" s="72"/>
    </row>
    <row r="407" spans="1:4" x14ac:dyDescent="0.3">
      <c r="A407" s="5"/>
      <c r="B407" s="368"/>
      <c r="C407" s="23"/>
      <c r="D407" s="72"/>
    </row>
    <row r="408" spans="1:4" x14ac:dyDescent="0.3">
      <c r="A408" s="5"/>
      <c r="B408" s="368"/>
      <c r="C408" s="23"/>
      <c r="D408" s="72"/>
    </row>
    <row r="409" spans="1:4" x14ac:dyDescent="0.3">
      <c r="A409" s="5"/>
      <c r="B409" s="368"/>
      <c r="C409" s="23"/>
      <c r="D409" s="72"/>
    </row>
    <row r="410" spans="1:4" x14ac:dyDescent="0.3">
      <c r="A410" s="5"/>
      <c r="B410" s="368"/>
      <c r="C410" s="23"/>
      <c r="D410" s="72"/>
    </row>
    <row r="411" spans="1:4" x14ac:dyDescent="0.3">
      <c r="A411" s="5"/>
      <c r="B411" s="368"/>
      <c r="C411" s="23"/>
      <c r="D411" s="72"/>
    </row>
    <row r="412" spans="1:4" x14ac:dyDescent="0.3">
      <c r="A412" s="5"/>
      <c r="B412" s="368"/>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4"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698" t="s">
        <v>1517</v>
      </c>
      <c r="C1" s="698"/>
      <c r="D1" s="698"/>
    </row>
    <row r="2" spans="2:8" ht="27" customHeight="1" x14ac:dyDescent="0.3">
      <c r="B2" s="1163"/>
      <c r="C2" s="1163"/>
      <c r="D2" s="1163"/>
    </row>
    <row r="3" spans="2:8" ht="26.4" customHeight="1" x14ac:dyDescent="0.35">
      <c r="B3" s="687" t="str">
        <f>'Unit Data from Audit Worksheet'!D2</f>
        <v>Select Unit Name from Drop Down List</v>
      </c>
      <c r="C3" s="564"/>
      <c r="D3" s="688">
        <v>2024</v>
      </c>
      <c r="F3" s="701" t="s">
        <v>1518</v>
      </c>
      <c r="G3" s="702" t="s">
        <v>41</v>
      </c>
    </row>
    <row r="4" spans="2:8" ht="18.600000000000001" customHeight="1" x14ac:dyDescent="0.3">
      <c r="B4" s="689" t="s">
        <v>71</v>
      </c>
      <c r="C4" s="263"/>
    </row>
    <row r="5" spans="2:8" ht="19.2" customHeight="1" x14ac:dyDescent="0.3">
      <c r="B5" s="600" t="s">
        <v>1496</v>
      </c>
      <c r="C5" s="600"/>
      <c r="D5" s="266"/>
    </row>
    <row r="6" spans="2:8" ht="19.95" customHeight="1" x14ac:dyDescent="0.3">
      <c r="B6" s="675" t="s">
        <v>1512</v>
      </c>
      <c r="C6" s="675"/>
      <c r="D6" s="691">
        <f>Import!L38</f>
        <v>0</v>
      </c>
      <c r="F6" s="671">
        <v>506</v>
      </c>
      <c r="G6" s="524" t="s">
        <v>189</v>
      </c>
    </row>
    <row r="7" spans="2:8" ht="19.95" customHeight="1" x14ac:dyDescent="0.3">
      <c r="B7" s="675" t="s">
        <v>1497</v>
      </c>
      <c r="C7" s="675"/>
      <c r="D7" s="692">
        <f>Import!L39</f>
        <v>0</v>
      </c>
      <c r="F7" s="671">
        <v>536</v>
      </c>
      <c r="G7" s="524" t="s">
        <v>190</v>
      </c>
    </row>
    <row r="8" spans="2:8" ht="19.95" customHeight="1" x14ac:dyDescent="0.3">
      <c r="B8" s="675" t="s">
        <v>1498</v>
      </c>
      <c r="C8" s="675"/>
      <c r="D8" s="692">
        <f>Import!L69</f>
        <v>0</v>
      </c>
      <c r="F8" s="557">
        <v>647</v>
      </c>
      <c r="G8" s="617" t="s">
        <v>792</v>
      </c>
    </row>
    <row r="9" spans="2:8" ht="19.95" customHeight="1" x14ac:dyDescent="0.3">
      <c r="B9" s="681" t="s">
        <v>1516</v>
      </c>
      <c r="C9" s="682"/>
      <c r="D9" s="692">
        <f>-Import!L48</f>
        <v>0</v>
      </c>
      <c r="F9" s="683">
        <v>11</v>
      </c>
      <c r="G9" s="684" t="s">
        <v>194</v>
      </c>
    </row>
    <row r="10" spans="2:8" ht="19.95" customHeight="1" x14ac:dyDescent="0.3">
      <c r="B10" s="601" t="s">
        <v>1415</v>
      </c>
      <c r="C10" s="601"/>
      <c r="D10" s="693"/>
    </row>
    <row r="11" spans="2:8" ht="19.95" customHeight="1" x14ac:dyDescent="0.3">
      <c r="B11" s="675" t="s">
        <v>1499</v>
      </c>
      <c r="C11" s="675"/>
      <c r="D11" s="694">
        <f>Import!L43</f>
        <v>0</v>
      </c>
      <c r="F11" s="155">
        <v>4</v>
      </c>
      <c r="G11" s="524" t="s">
        <v>1500</v>
      </c>
    </row>
    <row r="12" spans="2:8" ht="19.95" customHeight="1" x14ac:dyDescent="0.3">
      <c r="B12" s="675" t="s">
        <v>1416</v>
      </c>
      <c r="C12" s="675"/>
      <c r="D12" s="694">
        <f>Import!L196</f>
        <v>0</v>
      </c>
      <c r="F12" s="155">
        <v>6</v>
      </c>
      <c r="G12" s="524" t="s">
        <v>251</v>
      </c>
    </row>
    <row r="13" spans="2:8" ht="19.95" customHeight="1" x14ac:dyDescent="0.3">
      <c r="B13" s="675" t="s">
        <v>1501</v>
      </c>
      <c r="C13" s="675"/>
      <c r="D13" s="695">
        <f>Import!L44</f>
        <v>0</v>
      </c>
      <c r="F13" s="155">
        <v>5</v>
      </c>
      <c r="G13" s="524" t="s">
        <v>1502</v>
      </c>
    </row>
    <row r="14" spans="2:8" ht="24.6" customHeight="1" thickBot="1" x14ac:dyDescent="0.35">
      <c r="B14" s="676" t="s">
        <v>1514</v>
      </c>
      <c r="C14" s="675"/>
      <c r="D14" s="699">
        <f>SUM(D6:D9)-SUM(D11:D13)</f>
        <v>0</v>
      </c>
      <c r="E14" s="677"/>
      <c r="F14" s="155" t="s">
        <v>1488</v>
      </c>
      <c r="G14" s="685" t="s">
        <v>1869</v>
      </c>
      <c r="H14" s="714"/>
    </row>
    <row r="15" spans="2:8" ht="19.95" customHeight="1" thickTop="1" x14ac:dyDescent="0.3">
      <c r="B15" s="19"/>
      <c r="C15" s="19"/>
      <c r="D15" s="603"/>
    </row>
    <row r="16" spans="2:8" ht="19.95" customHeight="1" x14ac:dyDescent="0.3">
      <c r="B16" s="600"/>
      <c r="C16" s="600"/>
      <c r="D16" s="604"/>
    </row>
    <row r="17" spans="2:18" ht="19.95" customHeight="1" x14ac:dyDescent="0.3">
      <c r="B17" s="19" t="s">
        <v>1417</v>
      </c>
      <c r="C17" s="19"/>
      <c r="D17" s="266"/>
    </row>
    <row r="18" spans="2:18" ht="19.95" customHeight="1" x14ac:dyDescent="0.3">
      <c r="B18" s="675" t="s">
        <v>1503</v>
      </c>
      <c r="C18" s="675"/>
      <c r="D18" s="696">
        <f>Import!L59</f>
        <v>0</v>
      </c>
      <c r="F18" s="155">
        <v>532</v>
      </c>
      <c r="G18" s="524" t="s">
        <v>887</v>
      </c>
    </row>
    <row r="19" spans="2:18" ht="13.95" customHeight="1" x14ac:dyDescent="0.3">
      <c r="C19" s="19"/>
      <c r="D19" s="694"/>
    </row>
    <row r="20" spans="2:18" ht="16.95" customHeight="1" x14ac:dyDescent="0.3">
      <c r="B20" s="19" t="s">
        <v>1418</v>
      </c>
      <c r="C20" s="19"/>
      <c r="D20" s="694"/>
    </row>
    <row r="21" spans="2:18" ht="19.95" customHeight="1" x14ac:dyDescent="0.3">
      <c r="B21" s="675" t="s">
        <v>1504</v>
      </c>
      <c r="C21" s="675"/>
      <c r="D21" s="697">
        <f>Import!L62</f>
        <v>0</v>
      </c>
      <c r="F21" s="155">
        <v>20</v>
      </c>
      <c r="G21" s="524" t="s">
        <v>1505</v>
      </c>
    </row>
    <row r="22" spans="2:18" ht="33.6" customHeight="1" x14ac:dyDescent="0.3">
      <c r="B22" s="675" t="s">
        <v>1506</v>
      </c>
      <c r="C22" s="675"/>
      <c r="D22" s="694">
        <f>Import!L65</f>
        <v>0</v>
      </c>
      <c r="F22" s="155">
        <v>509</v>
      </c>
      <c r="G22" s="524" t="s">
        <v>288</v>
      </c>
    </row>
    <row r="23" spans="2:18" ht="28.95" customHeight="1" x14ac:dyDescent="0.3">
      <c r="B23" s="675" t="s">
        <v>1507</v>
      </c>
      <c r="C23" s="675"/>
      <c r="D23" s="697">
        <f>Import!L63</f>
        <v>0</v>
      </c>
      <c r="F23" s="155">
        <v>533</v>
      </c>
      <c r="G23" s="524" t="s">
        <v>888</v>
      </c>
    </row>
    <row r="24" spans="2:18" ht="38.4" customHeight="1" x14ac:dyDescent="0.3">
      <c r="B24" s="675" t="s">
        <v>1508</v>
      </c>
      <c r="C24" s="675"/>
      <c r="D24" s="697">
        <f>Import!L64</f>
        <v>0</v>
      </c>
      <c r="F24" s="155">
        <v>508</v>
      </c>
      <c r="G24" s="524" t="s">
        <v>290</v>
      </c>
    </row>
    <row r="25" spans="2:18" ht="39" customHeight="1" x14ac:dyDescent="0.3">
      <c r="B25" s="681" t="s">
        <v>1513</v>
      </c>
      <c r="C25" s="675"/>
      <c r="D25" s="713">
        <f>Import!L60</f>
        <v>0</v>
      </c>
      <c r="F25" s="683">
        <v>1050</v>
      </c>
      <c r="G25" s="690" t="s">
        <v>1431</v>
      </c>
    </row>
    <row r="26" spans="2:18" ht="25.95" customHeight="1" thickBot="1" x14ac:dyDescent="0.35">
      <c r="B26" s="676" t="s">
        <v>1509</v>
      </c>
      <c r="C26" s="678"/>
      <c r="D26" s="700">
        <f>D18+D21+D22-D23-D24-D25</f>
        <v>0</v>
      </c>
      <c r="F26" s="155" t="s">
        <v>1488</v>
      </c>
      <c r="G26" s="685" t="s">
        <v>1515</v>
      </c>
    </row>
    <row r="27" spans="2:18" ht="19.95" customHeight="1" thickTop="1" x14ac:dyDescent="0.3">
      <c r="B27" s="266"/>
      <c r="C27" s="266"/>
      <c r="D27" s="266"/>
    </row>
    <row r="28" spans="2:18" s="525" customFormat="1" ht="40.950000000000003" customHeight="1" thickBot="1" x14ac:dyDescent="0.35">
      <c r="B28" s="676" t="s">
        <v>1510</v>
      </c>
      <c r="C28" s="678"/>
      <c r="D28" s="605" t="e">
        <f>D14/D26</f>
        <v>#DIV/0!</v>
      </c>
      <c r="F28" s="155" t="s">
        <v>1488</v>
      </c>
      <c r="G28" s="686" t="s">
        <v>1511</v>
      </c>
      <c r="I28" s="180"/>
      <c r="J28" s="180"/>
      <c r="K28" s="180"/>
      <c r="L28" s="180"/>
      <c r="M28" s="180"/>
      <c r="N28" s="180"/>
      <c r="O28" s="180"/>
      <c r="P28" s="180"/>
      <c r="Q28" s="180"/>
      <c r="R28" s="180"/>
    </row>
    <row r="29" spans="2:18" s="525" customFormat="1" ht="15" thickTop="1" x14ac:dyDescent="0.3">
      <c r="B29" s="601"/>
      <c r="C29" s="601"/>
      <c r="D29" s="679"/>
      <c r="F29" s="155"/>
      <c r="G29" s="686"/>
      <c r="I29" s="180"/>
      <c r="J29" s="180"/>
      <c r="K29" s="180"/>
      <c r="L29" s="180"/>
      <c r="M29" s="180"/>
      <c r="N29" s="180"/>
      <c r="O29" s="180"/>
      <c r="P29" s="180"/>
      <c r="Q29" s="180"/>
      <c r="R29" s="180"/>
    </row>
    <row r="30" spans="2:18" s="525" customFormat="1" x14ac:dyDescent="0.3">
      <c r="B30" s="601"/>
      <c r="C30" s="601"/>
      <c r="D30" s="679"/>
      <c r="F30" s="155"/>
      <c r="G30" s="686"/>
      <c r="I30" s="180"/>
      <c r="J30" s="180"/>
      <c r="K30" s="180"/>
      <c r="L30" s="180"/>
      <c r="M30" s="180"/>
      <c r="N30" s="180"/>
      <c r="O30" s="180"/>
      <c r="P30" s="180"/>
      <c r="Q30" s="180"/>
      <c r="R30" s="180"/>
    </row>
    <row r="31" spans="2:18" s="525" customFormat="1" x14ac:dyDescent="0.3">
      <c r="B31" s="680"/>
      <c r="C31" s="680"/>
      <c r="D31" s="679"/>
      <c r="F31" s="155"/>
      <c r="G31" s="686"/>
      <c r="I31" s="180"/>
      <c r="J31" s="180"/>
      <c r="K31" s="180"/>
      <c r="L31" s="180"/>
      <c r="M31" s="180"/>
      <c r="N31" s="180"/>
      <c r="O31" s="180"/>
      <c r="P31" s="180"/>
      <c r="Q31" s="180"/>
      <c r="R31" s="180"/>
    </row>
    <row r="32" spans="2:18" x14ac:dyDescent="0.3">
      <c r="B32" s="577"/>
      <c r="C32" s="577"/>
      <c r="D32" s="602"/>
    </row>
  </sheetData>
  <sheetProtection algorithmName="SHA-512" hashValue="7P8Ak6NvN9rweevc0IGXjIzY530/Bm4pWul+aASASZzPXDNpQdFIUPrQIW8O/Nj6xf3KyosPjW2d9lT7rseypg==" saltValue="gArMGXj2mAbCcw7mRFThjQ==" spinCount="100000" sheet="1" formatCells="0" formatColumns="0" formatRows="0"/>
  <mergeCells count="1">
    <mergeCell ref="B2:D2"/>
  </mergeCells>
  <pageMargins left="0.7" right="0.7" top="0.75" bottom="0.75" header="0.3" footer="0.3"/>
  <pageSetup scale="3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B3" sqref="B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64" t="s">
        <v>104</v>
      </c>
      <c r="C2" s="1164"/>
      <c r="D2" s="1164"/>
      <c r="E2" s="1164"/>
      <c r="F2" s="599"/>
      <c r="G2" s="259"/>
    </row>
    <row r="4" spans="1:11" ht="15.6" x14ac:dyDescent="0.3">
      <c r="A4" s="259"/>
      <c r="B4" s="260" t="str">
        <f>'Unit Data from Audit Worksheet'!D2</f>
        <v>Select Unit Name from Drop Down List</v>
      </c>
      <c r="C4" s="673">
        <f>'Unit Data from Audit Worksheet'!F5</f>
        <v>2024</v>
      </c>
      <c r="E4" s="663">
        <f>'Unit Data from Audit Worksheet'!F5</f>
        <v>2024</v>
      </c>
    </row>
    <row r="5" spans="1:11" ht="27.6" x14ac:dyDescent="0.4">
      <c r="A5" s="262"/>
      <c r="B5" s="263" t="s">
        <v>71</v>
      </c>
      <c r="C5" s="261" t="s">
        <v>72</v>
      </c>
      <c r="D5" s="262"/>
      <c r="E5" s="264" t="s">
        <v>73</v>
      </c>
      <c r="G5" s="155"/>
      <c r="I5" s="180"/>
    </row>
    <row r="6" spans="1:11" x14ac:dyDescent="0.3">
      <c r="A6" s="259"/>
      <c r="B6" s="265" t="s">
        <v>74</v>
      </c>
      <c r="C6" s="266"/>
      <c r="D6" s="266"/>
      <c r="E6" s="266"/>
      <c r="G6" s="155"/>
      <c r="I6" s="180"/>
    </row>
    <row r="7" spans="1:11" x14ac:dyDescent="0.3">
      <c r="A7" s="259"/>
      <c r="B7" s="664" t="s">
        <v>1485</v>
      </c>
      <c r="C7" s="691">
        <f>Import!L38</f>
        <v>0</v>
      </c>
      <c r="D7" s="267"/>
      <c r="E7" s="691">
        <f>C7</f>
        <v>0</v>
      </c>
      <c r="G7" s="665">
        <v>506</v>
      </c>
      <c r="H7" s="666" t="s">
        <v>189</v>
      </c>
      <c r="I7" s="180"/>
    </row>
    <row r="8" spans="1:11" x14ac:dyDescent="0.3">
      <c r="A8" s="259"/>
      <c r="B8" s="664" t="s">
        <v>1486</v>
      </c>
      <c r="C8" s="693">
        <f>Import!L39</f>
        <v>0</v>
      </c>
      <c r="D8" s="268"/>
      <c r="E8" s="268"/>
      <c r="G8" s="665">
        <v>536</v>
      </c>
      <c r="H8" s="666" t="s">
        <v>190</v>
      </c>
      <c r="I8" s="180"/>
    </row>
    <row r="9" spans="1:11" x14ac:dyDescent="0.3">
      <c r="A9" s="259"/>
      <c r="B9" s="664" t="s">
        <v>173</v>
      </c>
      <c r="C9" s="728">
        <f>Import!L43</f>
        <v>0</v>
      </c>
      <c r="D9" s="268"/>
      <c r="E9" s="728">
        <f>C9</f>
        <v>0</v>
      </c>
      <c r="G9" s="665">
        <v>4</v>
      </c>
      <c r="H9" s="666" t="s">
        <v>111</v>
      </c>
      <c r="I9" s="180"/>
    </row>
    <row r="10" spans="1:11" x14ac:dyDescent="0.3">
      <c r="A10" s="259"/>
      <c r="B10" s="664" t="s">
        <v>75</v>
      </c>
      <c r="C10" s="694">
        <f>Import!L196</f>
        <v>0</v>
      </c>
      <c r="D10" s="268"/>
      <c r="E10" s="728">
        <f>C10</f>
        <v>0</v>
      </c>
      <c r="G10" s="665">
        <v>6</v>
      </c>
      <c r="H10" s="666" t="s">
        <v>251</v>
      </c>
      <c r="I10" s="180"/>
    </row>
    <row r="11" spans="1:11" x14ac:dyDescent="0.3">
      <c r="A11" s="259"/>
      <c r="B11" s="664" t="s">
        <v>76</v>
      </c>
      <c r="C11" s="695">
        <f>Import!L44</f>
        <v>0</v>
      </c>
      <c r="D11" s="269"/>
      <c r="E11" s="728">
        <f>C11</f>
        <v>0</v>
      </c>
      <c r="G11" s="665">
        <v>5</v>
      </c>
      <c r="H11" s="666" t="s">
        <v>112</v>
      </c>
      <c r="I11" s="180"/>
    </row>
    <row r="12" spans="1:11" x14ac:dyDescent="0.3">
      <c r="A12" s="19"/>
      <c r="B12" s="664" t="s">
        <v>77</v>
      </c>
      <c r="C12" s="729">
        <f>C7+C8-SUM(C9:C11)</f>
        <v>0</v>
      </c>
      <c r="E12" s="729">
        <f>E7-SUM(E9:E11)</f>
        <v>0</v>
      </c>
      <c r="G12" s="665" t="s">
        <v>1495</v>
      </c>
      <c r="H12" s="667" t="s">
        <v>1530</v>
      </c>
      <c r="I12" s="666" t="s">
        <v>1533</v>
      </c>
      <c r="J12" s="667" t="s">
        <v>1534</v>
      </c>
      <c r="K12" s="668"/>
    </row>
    <row r="13" spans="1:11" x14ac:dyDescent="0.3">
      <c r="A13" s="259"/>
      <c r="B13" s="259"/>
      <c r="C13" s="266"/>
      <c r="D13" s="266"/>
      <c r="E13" s="266"/>
      <c r="G13" s="665"/>
      <c r="H13" s="666"/>
      <c r="I13" s="180"/>
    </row>
    <row r="14" spans="1:11" x14ac:dyDescent="0.3">
      <c r="A14" s="259"/>
      <c r="B14" s="664" t="s">
        <v>1487</v>
      </c>
      <c r="C14" s="730">
        <f>Import!L51</f>
        <v>0</v>
      </c>
      <c r="D14" s="266"/>
      <c r="E14" s="266"/>
      <c r="G14" s="665">
        <v>9</v>
      </c>
      <c r="H14" s="666" t="s">
        <v>195</v>
      </c>
      <c r="I14" s="180"/>
    </row>
    <row r="15" spans="1:11" x14ac:dyDescent="0.3">
      <c r="A15" s="259"/>
      <c r="B15" s="664" t="s">
        <v>78</v>
      </c>
      <c r="C15" s="731">
        <f>C14-C12</f>
        <v>0</v>
      </c>
      <c r="D15" s="266"/>
      <c r="E15" s="266"/>
      <c r="G15" s="665" t="s">
        <v>1495</v>
      </c>
      <c r="H15" s="667" t="s">
        <v>1531</v>
      </c>
      <c r="I15" s="669"/>
    </row>
    <row r="16" spans="1:11" x14ac:dyDescent="0.3">
      <c r="A16" s="259"/>
      <c r="B16" s="270" t="s">
        <v>79</v>
      </c>
      <c r="C16" s="266"/>
      <c r="D16" s="266"/>
      <c r="E16" s="266"/>
      <c r="G16" s="665"/>
      <c r="H16" s="666"/>
      <c r="I16" s="180"/>
    </row>
    <row r="17" spans="1:9" x14ac:dyDescent="0.3">
      <c r="A17" s="271" t="s">
        <v>80</v>
      </c>
      <c r="B17" s="664" t="s">
        <v>1489</v>
      </c>
      <c r="C17" s="731">
        <f>Import!L47</f>
        <v>0</v>
      </c>
      <c r="D17" s="266"/>
      <c r="E17" s="266"/>
      <c r="G17" s="665">
        <v>7</v>
      </c>
      <c r="H17" s="666" t="s">
        <v>193</v>
      </c>
      <c r="I17" s="180"/>
    </row>
    <row r="18" spans="1:9" ht="15" thickBot="1" x14ac:dyDescent="0.35">
      <c r="B18" s="664" t="s">
        <v>81</v>
      </c>
      <c r="C18" s="732">
        <f>(C15-SUM(C17:C17))</f>
        <v>0</v>
      </c>
      <c r="D18" s="266"/>
      <c r="E18" s="266"/>
      <c r="G18" s="665" t="s">
        <v>1495</v>
      </c>
      <c r="H18" s="667" t="s">
        <v>1532</v>
      </c>
      <c r="I18" s="180"/>
    </row>
    <row r="19" spans="1:9" ht="15" thickTop="1" x14ac:dyDescent="0.3">
      <c r="B19" s="259"/>
      <c r="C19" s="266"/>
      <c r="D19" s="266"/>
      <c r="E19" s="266"/>
      <c r="G19" s="665"/>
      <c r="H19" s="666"/>
      <c r="I19" s="180"/>
    </row>
    <row r="20" spans="1:9" ht="15" thickBot="1" x14ac:dyDescent="0.35">
      <c r="B20" s="664" t="s">
        <v>1490</v>
      </c>
      <c r="C20" s="733">
        <f>Import!L46</f>
        <v>0</v>
      </c>
      <c r="D20" s="266"/>
      <c r="E20" s="266"/>
      <c r="G20" s="665">
        <v>391</v>
      </c>
      <c r="H20" s="666" t="s">
        <v>192</v>
      </c>
      <c r="I20" s="180"/>
    </row>
    <row r="21" spans="1:9" ht="15.6" thickTop="1" thickBot="1" x14ac:dyDescent="0.35">
      <c r="B21" s="272"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34">
        <f>ABS(C18-C20)</f>
        <v>0</v>
      </c>
      <c r="D21" s="266"/>
      <c r="E21" s="266"/>
      <c r="G21" s="155"/>
      <c r="I21" s="180"/>
    </row>
    <row r="22" spans="1:9" ht="15" thickTop="1" x14ac:dyDescent="0.3">
      <c r="B22" s="670" t="str">
        <f>IF(C18&gt;C20,"Since Restricted-Stabilization by State Statute was understated, verfiy that the unit did not appropriate fund balance in excess of legal amount available in row 12 above.","")</f>
        <v/>
      </c>
      <c r="C22" s="670"/>
      <c r="D22" s="670"/>
      <c r="E22" s="670"/>
      <c r="F22" s="266"/>
      <c r="G22" s="266"/>
    </row>
    <row r="23" spans="1:9" x14ac:dyDescent="0.3">
      <c r="B23" s="270" t="s">
        <v>82</v>
      </c>
      <c r="C23" s="266"/>
      <c r="D23" s="266"/>
      <c r="E23" s="273" t="s">
        <v>83</v>
      </c>
      <c r="G23" s="155"/>
      <c r="I23" s="180"/>
    </row>
    <row r="24" spans="1:9" x14ac:dyDescent="0.3">
      <c r="B24" s="270"/>
      <c r="C24" s="261" t="s">
        <v>84</v>
      </c>
      <c r="D24" s="266"/>
      <c r="E24" s="261" t="s">
        <v>91</v>
      </c>
      <c r="G24" s="155"/>
      <c r="I24" s="180"/>
    </row>
    <row r="25" spans="1:9" x14ac:dyDescent="0.3">
      <c r="B25" s="265" t="s">
        <v>85</v>
      </c>
      <c r="C25" s="266"/>
      <c r="D25" s="266"/>
      <c r="E25" s="266"/>
      <c r="G25" s="155"/>
      <c r="I25" s="180"/>
    </row>
    <row r="26" spans="1:9" x14ac:dyDescent="0.3">
      <c r="B26" s="664" t="s">
        <v>86</v>
      </c>
      <c r="C26" s="691">
        <f>Import!L59</f>
        <v>0</v>
      </c>
      <c r="D26" s="267"/>
      <c r="E26" s="691">
        <f>C26</f>
        <v>0</v>
      </c>
      <c r="G26" s="671">
        <v>532</v>
      </c>
      <c r="H26" s="674" t="s">
        <v>199</v>
      </c>
      <c r="I26" s="180"/>
    </row>
    <row r="27" spans="1:9" x14ac:dyDescent="0.3">
      <c r="B27" s="265" t="s">
        <v>87</v>
      </c>
      <c r="C27" s="266"/>
      <c r="D27" s="266"/>
      <c r="E27" s="266"/>
      <c r="G27" s="155"/>
      <c r="H27" s="666"/>
      <c r="I27" s="180"/>
    </row>
    <row r="28" spans="1:9" x14ac:dyDescent="0.3">
      <c r="B28" s="664" t="s">
        <v>88</v>
      </c>
      <c r="C28" s="693">
        <f>Import!L62</f>
        <v>0</v>
      </c>
      <c r="D28" s="268"/>
      <c r="E28" s="693">
        <f>C28</f>
        <v>0</v>
      </c>
      <c r="G28" s="671">
        <v>20</v>
      </c>
      <c r="H28" s="666" t="s">
        <v>201</v>
      </c>
      <c r="I28" s="180"/>
    </row>
    <row r="29" spans="1:9" ht="41.4" x14ac:dyDescent="0.3">
      <c r="B29" s="664" t="s">
        <v>1491</v>
      </c>
      <c r="C29" s="693">
        <f>Import!L65</f>
        <v>0</v>
      </c>
      <c r="D29" s="268"/>
      <c r="E29" s="693">
        <f>C29</f>
        <v>0</v>
      </c>
      <c r="G29" s="927">
        <v>509</v>
      </c>
      <c r="H29" s="928" t="s">
        <v>288</v>
      </c>
      <c r="I29" s="180"/>
    </row>
    <row r="30" spans="1:9" ht="21" customHeight="1" x14ac:dyDescent="0.3">
      <c r="B30" s="664" t="s">
        <v>89</v>
      </c>
      <c r="C30" s="693">
        <f>Import!L63</f>
        <v>0</v>
      </c>
      <c r="D30" s="268"/>
      <c r="E30" s="693">
        <f>C30</f>
        <v>0</v>
      </c>
      <c r="G30" s="927">
        <v>533</v>
      </c>
      <c r="H30" s="928" t="s">
        <v>888</v>
      </c>
      <c r="I30" s="180"/>
    </row>
    <row r="31" spans="1:9" ht="41.4" x14ac:dyDescent="0.3">
      <c r="B31" s="664" t="s">
        <v>1492</v>
      </c>
      <c r="C31" s="693">
        <f>Import!L64</f>
        <v>0</v>
      </c>
      <c r="D31" s="268"/>
      <c r="E31" s="693">
        <f>C31</f>
        <v>0</v>
      </c>
      <c r="G31" s="927">
        <v>508</v>
      </c>
      <c r="H31" s="928" t="s">
        <v>290</v>
      </c>
      <c r="I31" s="180"/>
    </row>
    <row r="32" spans="1:9" ht="16.95" customHeight="1" thickBot="1" x14ac:dyDescent="0.35">
      <c r="B32" s="672" t="s">
        <v>1493</v>
      </c>
      <c r="C32" s="735">
        <f>C26+C28+C29-C30-C31</f>
        <v>0</v>
      </c>
      <c r="D32" s="267"/>
      <c r="E32" s="735">
        <f>E26+E28+E29-E30-E31</f>
        <v>0</v>
      </c>
      <c r="G32" s="665" t="s">
        <v>1495</v>
      </c>
      <c r="H32" s="668" t="s">
        <v>1494</v>
      </c>
      <c r="I32" s="180"/>
    </row>
    <row r="33" spans="1:9" ht="15" thickTop="1" x14ac:dyDescent="0.3">
      <c r="B33" s="266"/>
      <c r="C33" s="266"/>
      <c r="D33" s="266"/>
      <c r="E33" s="266"/>
      <c r="G33" s="155"/>
      <c r="I33" s="180"/>
    </row>
    <row r="34" spans="1:9" ht="15" thickBot="1" x14ac:dyDescent="0.35">
      <c r="B34" s="672" t="s">
        <v>90</v>
      </c>
      <c r="C34" s="274" t="e">
        <f>C12/C32</f>
        <v>#DIV/0!</v>
      </c>
      <c r="D34" s="266"/>
      <c r="E34" s="274" t="e">
        <f>E12/E32</f>
        <v>#DIV/0!</v>
      </c>
      <c r="G34" s="155"/>
      <c r="I34" s="180"/>
    </row>
    <row r="35" spans="1:9" ht="15" thickTop="1" x14ac:dyDescent="0.3">
      <c r="C35" s="266"/>
      <c r="D35" s="266"/>
      <c r="E35" s="266"/>
      <c r="G35" s="155"/>
      <c r="I35" s="180"/>
    </row>
    <row r="36" spans="1:9" ht="15.6" x14ac:dyDescent="0.3">
      <c r="A36" s="20"/>
    </row>
    <row r="38" spans="1:9" x14ac:dyDescent="0.3">
      <c r="E38" s="527"/>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C2" sqref="C2"/>
    </sheetView>
  </sheetViews>
  <sheetFormatPr defaultColWidth="9.109375" defaultRowHeight="14.4" x14ac:dyDescent="0.3"/>
  <cols>
    <col min="1" max="1" width="45.109375" style="577" customWidth="1"/>
    <col min="2" max="2" width="36.44140625" style="577" customWidth="1"/>
    <col min="3" max="3" width="12.33203125" style="577" customWidth="1"/>
    <col min="4" max="4" width="1.33203125" style="577" customWidth="1"/>
    <col min="5" max="5" width="42.44140625" style="577" customWidth="1"/>
    <col min="6" max="6" width="19.88671875" style="577" customWidth="1"/>
    <col min="7" max="7" width="21.6640625" style="577" customWidth="1"/>
    <col min="8" max="8" width="6.6640625" style="577" customWidth="1"/>
    <col min="9" max="9" width="6.33203125" style="606" customWidth="1"/>
    <col min="10" max="10" width="11.6640625" style="606" hidden="1" customWidth="1"/>
    <col min="11" max="11" width="12" style="606" hidden="1" customWidth="1"/>
    <col min="12" max="12" width="17.109375" style="606" hidden="1" customWidth="1"/>
    <col min="13" max="13" width="15.109375" style="606" hidden="1" customWidth="1"/>
    <col min="14" max="14" width="15.5546875" style="606" hidden="1" customWidth="1"/>
    <col min="15" max="15" width="37.88671875" style="615" hidden="1" customWidth="1"/>
    <col min="16" max="16" width="15.109375" style="615" hidden="1" customWidth="1"/>
    <col min="17" max="17" width="26.6640625" style="606" customWidth="1"/>
    <col min="18" max="18" width="9.109375" style="606"/>
    <col min="19" max="19" width="11.44140625" style="606" customWidth="1"/>
    <col min="20" max="47" width="9.109375" style="606"/>
    <col min="48" max="16384" width="9.109375" style="577"/>
  </cols>
  <sheetData>
    <row r="1" spans="1:569" x14ac:dyDescent="0.3">
      <c r="A1" s="575"/>
      <c r="B1" s="589" t="str">
        <f>+'Unit Data from Audit Worksheet'!D2</f>
        <v>Select Unit Name from Drop Down List</v>
      </c>
      <c r="C1" s="576"/>
      <c r="D1" s="576"/>
      <c r="E1" s="630" t="s">
        <v>1450</v>
      </c>
      <c r="H1" s="576"/>
      <c r="J1" s="606" t="s">
        <v>1422</v>
      </c>
      <c r="K1" s="606" t="s">
        <v>1423</v>
      </c>
      <c r="M1" s="611" t="s">
        <v>1425</v>
      </c>
      <c r="N1" s="611" t="s">
        <v>1425</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75" t="s">
        <v>1444</v>
      </c>
      <c r="B2" s="575" t="e">
        <f>+'Unit Data from Audit Worksheet'!D3</f>
        <v>#N/A</v>
      </c>
      <c r="C2" s="576"/>
      <c r="D2" s="576"/>
      <c r="E2" s="631" t="s">
        <v>1449</v>
      </c>
      <c r="H2" s="576"/>
      <c r="M2" s="612" t="s">
        <v>1426</v>
      </c>
      <c r="N2" s="612" t="s">
        <v>1430</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75" t="e">
        <f>IF(LEN(VLOOKUP(B1,$L$4:$O$555,4,FALSE))=0,"",(VLOOKUP(B1,$L$4:$O$555,4,FALSE)))</f>
        <v>#N/A</v>
      </c>
      <c r="B3" s="575" t="s">
        <v>1445</v>
      </c>
      <c r="C3" s="576"/>
      <c r="D3" s="576"/>
      <c r="H3" s="576"/>
      <c r="J3" s="606" t="s">
        <v>383</v>
      </c>
      <c r="K3" s="606" t="s">
        <v>383</v>
      </c>
      <c r="M3" s="613" t="s">
        <v>1427</v>
      </c>
      <c r="N3" s="613" t="s">
        <v>1429</v>
      </c>
    </row>
    <row r="4" spans="1:569" x14ac:dyDescent="0.3">
      <c r="A4" s="1174" t="s">
        <v>557</v>
      </c>
      <c r="B4" s="1174"/>
      <c r="C4" s="1174"/>
      <c r="D4" s="576"/>
      <c r="E4" s="1175" t="s">
        <v>558</v>
      </c>
      <c r="F4" s="1175"/>
      <c r="G4" s="576"/>
      <c r="H4" s="576"/>
      <c r="L4" s="606" t="s">
        <v>470</v>
      </c>
      <c r="M4" s="606" t="s">
        <v>461</v>
      </c>
      <c r="N4" s="606" t="s">
        <v>461</v>
      </c>
      <c r="O4" s="606"/>
    </row>
    <row r="5" spans="1:569" ht="15" thickBot="1" x14ac:dyDescent="0.35">
      <c r="A5" s="578"/>
      <c r="B5" s="579"/>
      <c r="C5" s="578"/>
      <c r="D5" s="580"/>
      <c r="E5" s="578"/>
      <c r="F5" s="579"/>
      <c r="G5" s="579"/>
      <c r="H5" s="576"/>
      <c r="K5" s="615"/>
      <c r="L5" s="606" t="s">
        <v>1078</v>
      </c>
      <c r="M5" s="606" t="s">
        <v>461</v>
      </c>
      <c r="N5" s="606" t="s">
        <v>461</v>
      </c>
      <c r="O5" s="606"/>
    </row>
    <row r="6" spans="1:569" ht="15" thickBot="1" x14ac:dyDescent="0.35">
      <c r="A6" s="581" t="s">
        <v>559</v>
      </c>
      <c r="B6" s="582" t="e">
        <f>VLOOKUP(B1,$L$4:$M$555,2,FALSE)</f>
        <v>#N/A</v>
      </c>
      <c r="C6" s="582"/>
      <c r="D6" s="582"/>
      <c r="H6" s="582"/>
      <c r="L6" s="606" t="s">
        <v>1079</v>
      </c>
      <c r="M6" s="606" t="s">
        <v>461</v>
      </c>
      <c r="N6" s="606" t="s">
        <v>461</v>
      </c>
      <c r="O6" s="606"/>
    </row>
    <row r="7" spans="1:569" ht="15" thickBot="1" x14ac:dyDescent="0.35">
      <c r="A7" s="576" t="s">
        <v>652</v>
      </c>
      <c r="B7" s="252" t="e">
        <f>HLOOKUP(B1,'PY1 Data(H)'!D1:CZ277,127,FALSE)+HLOOKUP(B1,'PY1 Data(H)'!D1:CZ277,70,FALSE)</f>
        <v>#N/A</v>
      </c>
      <c r="C7" s="253"/>
      <c r="D7" s="253"/>
      <c r="E7" s="576" t="s">
        <v>563</v>
      </c>
      <c r="F7" s="633">
        <f>Import!L135</f>
        <v>0</v>
      </c>
      <c r="G7" s="582"/>
      <c r="H7" s="576"/>
      <c r="J7" s="606">
        <v>527</v>
      </c>
      <c r="K7" s="615">
        <v>366</v>
      </c>
      <c r="L7" s="609" t="s">
        <v>1080</v>
      </c>
      <c r="M7" s="609" t="s">
        <v>461</v>
      </c>
      <c r="N7" s="609">
        <v>0.05</v>
      </c>
      <c r="O7" s="606" t="s">
        <v>1446</v>
      </c>
    </row>
    <row r="8" spans="1:569" ht="15" thickBot="1" x14ac:dyDescent="0.35">
      <c r="A8" s="576" t="s">
        <v>561</v>
      </c>
      <c r="B8" s="627" t="e">
        <f>IF(B6="N/A","N/A",B6*B7)</f>
        <v>#N/A</v>
      </c>
      <c r="C8" s="254"/>
      <c r="D8" s="254"/>
      <c r="E8" s="629" t="s">
        <v>1082</v>
      </c>
      <c r="F8" s="633">
        <f>Import!L195</f>
        <v>0</v>
      </c>
      <c r="G8" s="575"/>
      <c r="H8" s="576"/>
      <c r="J8" s="614">
        <v>356</v>
      </c>
      <c r="K8" s="606">
        <v>1051</v>
      </c>
      <c r="L8" s="606" t="s">
        <v>1081</v>
      </c>
      <c r="M8" s="606" t="s">
        <v>461</v>
      </c>
      <c r="N8" s="606" t="s">
        <v>461</v>
      </c>
      <c r="O8" s="606"/>
    </row>
    <row r="9" spans="1:569" ht="15" thickBot="1" x14ac:dyDescent="0.35">
      <c r="A9" s="576"/>
      <c r="B9" s="576"/>
      <c r="C9" s="576"/>
      <c r="D9" s="576"/>
      <c r="E9" s="576"/>
      <c r="F9" s="576"/>
      <c r="G9" s="576"/>
      <c r="H9" s="576"/>
      <c r="L9" s="606" t="s">
        <v>471</v>
      </c>
      <c r="M9" s="606" t="s">
        <v>461</v>
      </c>
      <c r="N9" s="606" t="s">
        <v>461</v>
      </c>
      <c r="O9" s="606"/>
    </row>
    <row r="10" spans="1:569" ht="15" thickBot="1" x14ac:dyDescent="0.35">
      <c r="A10" s="581" t="s">
        <v>562</v>
      </c>
      <c r="B10" s="582" t="e">
        <f>VLOOKUP(B1,$L$4:$N$555,3,FALSE)</f>
        <v>#N/A</v>
      </c>
      <c r="C10" s="582"/>
      <c r="D10" s="582"/>
      <c r="E10" s="582"/>
      <c r="F10" s="582"/>
      <c r="G10" s="582"/>
      <c r="H10" s="582"/>
      <c r="L10" s="606" t="s">
        <v>1083</v>
      </c>
      <c r="M10" s="606" t="s">
        <v>461</v>
      </c>
      <c r="N10" s="606" t="s">
        <v>461</v>
      </c>
      <c r="O10" s="606"/>
    </row>
    <row r="11" spans="1:569" ht="15" thickBot="1" x14ac:dyDescent="0.35">
      <c r="A11" s="576" t="s">
        <v>653</v>
      </c>
      <c r="B11" s="583" t="e">
        <f>HLOOKUP(B1,'PY1 Data(H)'!D1:CZ277,35,FALSE)</f>
        <v>#N/A</v>
      </c>
      <c r="C11" s="584"/>
      <c r="D11" s="584"/>
      <c r="E11" s="628" t="s">
        <v>1448</v>
      </c>
      <c r="F11" s="627">
        <f>F7-F8</f>
        <v>0</v>
      </c>
      <c r="G11" s="576"/>
      <c r="H11" s="576"/>
      <c r="J11" s="606">
        <v>93</v>
      </c>
      <c r="L11" s="606" t="s">
        <v>1084</v>
      </c>
      <c r="M11" s="606" t="s">
        <v>461</v>
      </c>
      <c r="N11" s="606" t="s">
        <v>461</v>
      </c>
      <c r="O11" s="606"/>
    </row>
    <row r="12" spans="1:569" ht="15" thickBot="1" x14ac:dyDescent="0.35">
      <c r="A12" s="576" t="s">
        <v>561</v>
      </c>
      <c r="B12" s="627" t="e">
        <f>IF(B10="N/A","N/A",B10*B11)</f>
        <v>#N/A</v>
      </c>
      <c r="C12" s="254"/>
      <c r="D12" s="254"/>
      <c r="G12" s="576"/>
      <c r="H12" s="576"/>
      <c r="L12" s="608" t="s">
        <v>1085</v>
      </c>
      <c r="M12" s="608">
        <v>0.03</v>
      </c>
      <c r="N12" s="608">
        <v>0.05</v>
      </c>
      <c r="O12" s="606" t="s">
        <v>1451</v>
      </c>
      <c r="P12" s="615" t="s">
        <v>1447</v>
      </c>
    </row>
    <row r="13" spans="1:569" x14ac:dyDescent="0.3">
      <c r="A13" s="576"/>
      <c r="B13" s="585"/>
      <c r="C13" s="576"/>
      <c r="D13" s="576"/>
      <c r="E13" s="576"/>
      <c r="F13" s="576"/>
      <c r="G13" s="576"/>
      <c r="H13" s="576"/>
      <c r="L13" s="606" t="s">
        <v>1086</v>
      </c>
      <c r="M13" s="606" t="s">
        <v>461</v>
      </c>
      <c r="N13" s="606" t="s">
        <v>461</v>
      </c>
      <c r="O13" s="606"/>
    </row>
    <row r="14" spans="1:569" x14ac:dyDescent="0.3">
      <c r="A14" s="578"/>
      <c r="B14" s="579"/>
      <c r="C14" s="578"/>
      <c r="D14" s="580"/>
      <c r="E14" s="578"/>
      <c r="F14" s="579"/>
      <c r="G14" s="579"/>
      <c r="H14" s="255"/>
      <c r="L14" s="606" t="s">
        <v>1087</v>
      </c>
      <c r="M14" s="606" t="s">
        <v>461</v>
      </c>
      <c r="N14" s="606" t="s">
        <v>461</v>
      </c>
      <c r="O14" s="606"/>
    </row>
    <row r="15" spans="1:569" ht="15" thickBot="1" x14ac:dyDescent="0.35">
      <c r="A15" s="586" t="s">
        <v>564</v>
      </c>
      <c r="B15" s="576"/>
      <c r="C15" s="576"/>
      <c r="D15" s="576"/>
      <c r="E15" s="586" t="s">
        <v>564</v>
      </c>
      <c r="F15" s="575" t="s">
        <v>565</v>
      </c>
      <c r="G15" s="575" t="s">
        <v>566</v>
      </c>
      <c r="H15" s="576"/>
      <c r="L15" s="606" t="s">
        <v>1088</v>
      </c>
      <c r="M15" s="606" t="s">
        <v>461</v>
      </c>
      <c r="N15" s="606" t="s">
        <v>461</v>
      </c>
      <c r="O15" s="606"/>
    </row>
    <row r="16" spans="1:569" ht="15" thickBot="1" x14ac:dyDescent="0.35">
      <c r="A16" s="576" t="s">
        <v>560</v>
      </c>
      <c r="B16" s="252" t="e">
        <f>+B7</f>
        <v>#N/A</v>
      </c>
      <c r="C16" s="253"/>
      <c r="D16" s="253"/>
      <c r="E16" s="576" t="s">
        <v>567</v>
      </c>
      <c r="F16" s="634">
        <f>Import!L194</f>
        <v>0</v>
      </c>
      <c r="G16" s="594" t="e">
        <f>+B18</f>
        <v>#N/A</v>
      </c>
      <c r="H16" s="576"/>
      <c r="K16" s="606">
        <v>990</v>
      </c>
      <c r="L16" s="606" t="s">
        <v>1089</v>
      </c>
      <c r="M16" s="606" t="s">
        <v>461</v>
      </c>
      <c r="N16" s="606" t="s">
        <v>461</v>
      </c>
      <c r="O16" s="606"/>
    </row>
    <row r="17" spans="1:16" ht="15" thickBot="1" x14ac:dyDescent="0.35">
      <c r="A17" s="576" t="s">
        <v>568</v>
      </c>
      <c r="B17" s="662">
        <f>Import!L209</f>
        <v>0</v>
      </c>
      <c r="C17" s="576"/>
      <c r="D17" s="576"/>
      <c r="E17" s="576"/>
      <c r="F17" s="595"/>
      <c r="G17" s="595"/>
      <c r="H17" s="576"/>
      <c r="J17" s="606">
        <v>648</v>
      </c>
      <c r="L17" s="606" t="s">
        <v>1090</v>
      </c>
      <c r="M17" s="606" t="s">
        <v>461</v>
      </c>
      <c r="N17" s="606" t="s">
        <v>461</v>
      </c>
      <c r="O17" s="606"/>
    </row>
    <row r="18" spans="1:16" ht="29.4" thickBot="1" x14ac:dyDescent="0.35">
      <c r="A18" s="576" t="s">
        <v>561</v>
      </c>
      <c r="B18" s="593" t="e">
        <f>ROUND((B16/100)*B17,0)</f>
        <v>#N/A</v>
      </c>
      <c r="C18" s="256"/>
      <c r="D18" s="254"/>
      <c r="E18" s="587" t="s">
        <v>1092</v>
      </c>
      <c r="F18" s="593">
        <f>IF(F16=0,F11-F16,F11-MAX(F16,G16))</f>
        <v>0</v>
      </c>
      <c r="G18" s="595"/>
      <c r="H18" s="576"/>
      <c r="L18" s="606" t="s">
        <v>473</v>
      </c>
      <c r="M18" s="606" t="s">
        <v>461</v>
      </c>
      <c r="N18" s="606" t="s">
        <v>461</v>
      </c>
      <c r="O18" s="606"/>
    </row>
    <row r="19" spans="1:16" x14ac:dyDescent="0.3">
      <c r="A19" s="576"/>
      <c r="B19" s="576"/>
      <c r="C19" s="576"/>
      <c r="D19" s="588"/>
      <c r="E19" s="576"/>
      <c r="F19" s="526"/>
      <c r="G19" s="256"/>
      <c r="H19" s="576"/>
      <c r="L19" s="606" t="s">
        <v>1091</v>
      </c>
      <c r="M19" s="606" t="s">
        <v>461</v>
      </c>
      <c r="N19" s="606" t="s">
        <v>461</v>
      </c>
      <c r="O19" s="606"/>
    </row>
    <row r="20" spans="1:16" x14ac:dyDescent="0.3">
      <c r="A20" s="578"/>
      <c r="B20" s="579"/>
      <c r="C20" s="578"/>
      <c r="D20" s="576"/>
      <c r="E20" s="578"/>
      <c r="F20" s="579"/>
      <c r="G20" s="579"/>
      <c r="H20" s="576"/>
      <c r="L20" s="606" t="s">
        <v>1093</v>
      </c>
      <c r="M20" s="606" t="s">
        <v>461</v>
      </c>
      <c r="N20" s="606" t="s">
        <v>461</v>
      </c>
      <c r="O20" s="606"/>
    </row>
    <row r="21" spans="1:16" ht="15" thickBot="1" x14ac:dyDescent="0.35">
      <c r="A21" s="576"/>
      <c r="B21" s="576"/>
      <c r="C21" s="576"/>
      <c r="D21" s="576"/>
      <c r="E21" s="586" t="s">
        <v>569</v>
      </c>
      <c r="F21" s="586"/>
      <c r="G21" s="586"/>
      <c r="H21" s="576"/>
      <c r="L21" s="606" t="s">
        <v>800</v>
      </c>
      <c r="M21" s="606" t="s">
        <v>461</v>
      </c>
      <c r="N21" s="606" t="s">
        <v>461</v>
      </c>
      <c r="O21" s="606"/>
    </row>
    <row r="22" spans="1:16" ht="15" thickBot="1" x14ac:dyDescent="0.35">
      <c r="A22" s="576"/>
      <c r="B22" s="635"/>
      <c r="C22" s="576"/>
      <c r="D22" s="580"/>
      <c r="E22" s="576" t="s">
        <v>570</v>
      </c>
      <c r="F22" s="596" t="e">
        <f>MAX(B8,B12)</f>
        <v>#N/A</v>
      </c>
      <c r="G22" s="588"/>
      <c r="H22" s="254"/>
      <c r="L22" s="606" t="s">
        <v>1094</v>
      </c>
      <c r="M22" s="606" t="s">
        <v>461</v>
      </c>
      <c r="N22" s="606" t="s">
        <v>461</v>
      </c>
      <c r="O22" s="606"/>
    </row>
    <row r="23" spans="1:16" ht="15" thickBot="1" x14ac:dyDescent="0.35">
      <c r="A23" s="576"/>
      <c r="B23" s="635"/>
      <c r="C23" s="576"/>
      <c r="D23" s="586"/>
      <c r="E23" s="576"/>
      <c r="F23" s="647"/>
      <c r="G23" s="588"/>
      <c r="H23" s="254"/>
      <c r="L23" s="606" t="s">
        <v>1095</v>
      </c>
      <c r="M23" s="606" t="s">
        <v>461</v>
      </c>
      <c r="N23" s="606" t="s">
        <v>461</v>
      </c>
      <c r="O23" s="606"/>
    </row>
    <row r="24" spans="1:16" ht="15" thickBot="1" x14ac:dyDescent="0.35">
      <c r="B24" s="632"/>
      <c r="D24" s="588"/>
      <c r="E24" s="576" t="s">
        <v>571</v>
      </c>
      <c r="F24" s="597">
        <f>IF(F7=0,0,IF(F18&lt;=F22,"Yes", "No, unit exceeds limit by:"))</f>
        <v>0</v>
      </c>
      <c r="G24" s="576"/>
      <c r="H24" s="576"/>
      <c r="L24" s="608" t="s">
        <v>801</v>
      </c>
      <c r="M24" s="608">
        <v>0.03</v>
      </c>
      <c r="N24" s="608">
        <v>0.05</v>
      </c>
      <c r="O24" s="606" t="s">
        <v>1451</v>
      </c>
      <c r="P24" s="615" t="s">
        <v>1447</v>
      </c>
    </row>
    <row r="25" spans="1:16" ht="15" thickBot="1" x14ac:dyDescent="0.35">
      <c r="B25" s="632"/>
      <c r="C25" s="576"/>
      <c r="D25" s="588"/>
      <c r="E25" s="576"/>
      <c r="F25" s="597" t="e">
        <f>IF(F18-F22&lt;=0,0,F18-F22)</f>
        <v>#N/A</v>
      </c>
      <c r="G25" s="257"/>
      <c r="H25" s="586"/>
      <c r="L25" s="606" t="s">
        <v>474</v>
      </c>
      <c r="M25" s="606" t="s">
        <v>461</v>
      </c>
      <c r="N25" s="606" t="s">
        <v>461</v>
      </c>
      <c r="O25" s="606"/>
    </row>
    <row r="26" spans="1:16" ht="15" thickBot="1" x14ac:dyDescent="0.35">
      <c r="B26" s="632"/>
      <c r="C26" s="576"/>
      <c r="D26" s="589"/>
      <c r="E26" s="576"/>
      <c r="F26" s="595"/>
      <c r="G26" s="576"/>
      <c r="H26" s="576"/>
      <c r="L26" s="606" t="s">
        <v>802</v>
      </c>
      <c r="M26" s="606" t="s">
        <v>461</v>
      </c>
      <c r="N26" s="606" t="s">
        <v>461</v>
      </c>
      <c r="O26" s="606"/>
    </row>
    <row r="27" spans="1:16" x14ac:dyDescent="0.3">
      <c r="A27" s="576"/>
      <c r="B27" s="635"/>
      <c r="C27" s="576"/>
      <c r="D27" s="589"/>
      <c r="E27" s="590" t="s">
        <v>572</v>
      </c>
      <c r="F27" s="598">
        <f>IF(F16=0,0,F16-G16)</f>
        <v>0</v>
      </c>
      <c r="G27" s="576"/>
      <c r="H27" s="576"/>
      <c r="L27" s="606" t="s">
        <v>1096</v>
      </c>
      <c r="M27" s="606" t="s">
        <v>461</v>
      </c>
      <c r="N27" s="606" t="s">
        <v>461</v>
      </c>
      <c r="O27" s="606"/>
    </row>
    <row r="28" spans="1:16" ht="33.75" customHeight="1" thickBot="1" x14ac:dyDescent="0.35">
      <c r="A28" s="576"/>
      <c r="B28" s="635"/>
      <c r="C28" s="576"/>
      <c r="D28" s="576"/>
      <c r="E28" s="576"/>
      <c r="F28" s="258" t="str">
        <f>IF(F27=0,"","Investigate")</f>
        <v/>
      </c>
      <c r="G28" s="576"/>
      <c r="H28" s="576"/>
      <c r="L28" s="606" t="s">
        <v>1097</v>
      </c>
      <c r="M28" s="606" t="s">
        <v>461</v>
      </c>
      <c r="N28" s="606" t="s">
        <v>461</v>
      </c>
      <c r="O28" s="606"/>
    </row>
    <row r="29" spans="1:16" x14ac:dyDescent="0.3">
      <c r="A29" s="580"/>
      <c r="B29" s="576"/>
      <c r="C29" s="576"/>
      <c r="D29" s="576"/>
      <c r="E29" s="580" t="s">
        <v>573</v>
      </c>
      <c r="F29" s="576"/>
      <c r="G29" s="576"/>
      <c r="H29" s="576"/>
      <c r="L29" s="606" t="s">
        <v>1098</v>
      </c>
      <c r="M29" s="606" t="s">
        <v>461</v>
      </c>
      <c r="N29" s="606" t="s">
        <v>461</v>
      </c>
      <c r="O29" s="606"/>
    </row>
    <row r="30" spans="1:16" ht="14.4" customHeight="1" x14ac:dyDescent="0.3">
      <c r="A30" s="591"/>
      <c r="B30" s="591"/>
      <c r="C30" s="591"/>
      <c r="D30" s="576"/>
      <c r="E30" s="1176" t="s">
        <v>1483</v>
      </c>
      <c r="F30" s="1177"/>
      <c r="G30" s="1178"/>
      <c r="H30" s="576"/>
      <c r="L30" s="606" t="s">
        <v>475</v>
      </c>
      <c r="M30" s="606" t="s">
        <v>461</v>
      </c>
      <c r="N30" s="606" t="s">
        <v>461</v>
      </c>
      <c r="O30" s="606"/>
    </row>
    <row r="31" spans="1:16" x14ac:dyDescent="0.3">
      <c r="A31" s="576"/>
      <c r="B31" s="576"/>
      <c r="C31" s="591"/>
      <c r="D31" s="576"/>
      <c r="E31" s="1179"/>
      <c r="F31" s="1180"/>
      <c r="G31" s="1181"/>
      <c r="H31" s="576"/>
      <c r="L31" s="606" t="s">
        <v>1099</v>
      </c>
      <c r="M31" s="606" t="s">
        <v>461</v>
      </c>
      <c r="N31" s="606" t="s">
        <v>461</v>
      </c>
      <c r="O31" s="606"/>
    </row>
    <row r="32" spans="1:16" x14ac:dyDescent="0.3">
      <c r="A32" s="591"/>
      <c r="B32" s="591"/>
      <c r="C32" s="591"/>
      <c r="D32" s="576"/>
      <c r="E32" s="1179"/>
      <c r="F32" s="1180"/>
      <c r="G32" s="1181"/>
      <c r="L32" s="606" t="s">
        <v>1100</v>
      </c>
      <c r="M32" s="606" t="s">
        <v>461</v>
      </c>
      <c r="N32" s="606" t="s">
        <v>461</v>
      </c>
      <c r="O32" s="606"/>
    </row>
    <row r="33" spans="1:16" ht="30" customHeight="1" x14ac:dyDescent="0.3">
      <c r="A33" s="591"/>
      <c r="B33" s="591"/>
      <c r="C33" s="591"/>
      <c r="D33" s="576"/>
      <c r="E33" s="1182"/>
      <c r="F33" s="1183"/>
      <c r="G33" s="1184"/>
      <c r="L33" s="606" t="s">
        <v>1101</v>
      </c>
      <c r="M33" s="606" t="s">
        <v>461</v>
      </c>
      <c r="N33" s="606" t="s">
        <v>461</v>
      </c>
      <c r="O33" s="606"/>
    </row>
    <row r="34" spans="1:16" x14ac:dyDescent="0.3">
      <c r="A34" s="591"/>
      <c r="B34" s="591"/>
      <c r="C34" s="591"/>
      <c r="D34" s="576"/>
      <c r="E34" s="592"/>
      <c r="F34" s="592"/>
      <c r="G34" s="592"/>
      <c r="L34" s="606" t="s">
        <v>1102</v>
      </c>
      <c r="M34" s="606" t="s">
        <v>461</v>
      </c>
      <c r="N34" s="606" t="s">
        <v>461</v>
      </c>
      <c r="O34" s="606"/>
    </row>
    <row r="35" spans="1:16" x14ac:dyDescent="0.3">
      <c r="A35" s="591"/>
      <c r="B35" s="591"/>
      <c r="C35" s="591"/>
      <c r="D35" s="576"/>
      <c r="E35" s="1176" t="s">
        <v>1414</v>
      </c>
      <c r="F35" s="1177"/>
      <c r="G35" s="1178"/>
      <c r="L35" s="608" t="s">
        <v>476</v>
      </c>
      <c r="M35" s="608">
        <v>0.03</v>
      </c>
      <c r="N35" s="608">
        <v>0.05</v>
      </c>
      <c r="O35" s="606" t="s">
        <v>1451</v>
      </c>
      <c r="P35" s="615" t="s">
        <v>1447</v>
      </c>
    </row>
    <row r="36" spans="1:16" x14ac:dyDescent="0.3">
      <c r="A36" s="576"/>
      <c r="B36" s="576"/>
      <c r="C36" s="576"/>
      <c r="D36" s="576"/>
      <c r="E36" s="1179"/>
      <c r="F36" s="1185"/>
      <c r="G36" s="1181"/>
      <c r="L36" s="606" t="s">
        <v>803</v>
      </c>
      <c r="M36" s="606" t="s">
        <v>461</v>
      </c>
      <c r="N36" s="606" t="s">
        <v>461</v>
      </c>
      <c r="O36" s="606"/>
    </row>
    <row r="37" spans="1:16" x14ac:dyDescent="0.3">
      <c r="A37" s="576"/>
      <c r="B37" s="576"/>
      <c r="C37" s="576"/>
      <c r="D37" s="576"/>
      <c r="E37" s="1182"/>
      <c r="F37" s="1183"/>
      <c r="G37" s="1184"/>
      <c r="L37" s="606" t="s">
        <v>477</v>
      </c>
      <c r="M37" s="606" t="s">
        <v>461</v>
      </c>
      <c r="N37" s="606" t="s">
        <v>461</v>
      </c>
      <c r="O37" s="606"/>
    </row>
    <row r="38" spans="1:16" x14ac:dyDescent="0.3">
      <c r="A38" s="576"/>
      <c r="B38" s="576"/>
      <c r="C38" s="576"/>
      <c r="D38" s="576"/>
      <c r="E38" s="576"/>
      <c r="F38" s="576"/>
      <c r="G38" s="576"/>
      <c r="L38" s="606" t="s">
        <v>1104</v>
      </c>
      <c r="M38" s="606" t="s">
        <v>461</v>
      </c>
      <c r="N38" s="606" t="s">
        <v>461</v>
      </c>
      <c r="O38" s="606"/>
    </row>
    <row r="39" spans="1:16" ht="15" thickBot="1" x14ac:dyDescent="0.35">
      <c r="C39" s="576"/>
      <c r="D39" s="576"/>
      <c r="E39" s="1186" t="s">
        <v>574</v>
      </c>
      <c r="F39" s="1186"/>
      <c r="G39" s="1186"/>
      <c r="L39" s="608" t="s">
        <v>1105</v>
      </c>
      <c r="M39" s="608">
        <v>0.03</v>
      </c>
      <c r="N39" s="608">
        <v>0.05</v>
      </c>
      <c r="O39" s="606" t="s">
        <v>1451</v>
      </c>
      <c r="P39" s="615" t="s">
        <v>1447</v>
      </c>
    </row>
    <row r="40" spans="1:16" x14ac:dyDescent="0.3">
      <c r="A40" s="576"/>
      <c r="B40" s="576"/>
      <c r="C40" s="576"/>
      <c r="D40" s="576"/>
      <c r="E40" s="1165"/>
      <c r="F40" s="1166"/>
      <c r="G40" s="1167"/>
      <c r="L40" s="606" t="s">
        <v>1106</v>
      </c>
      <c r="M40" s="606" t="s">
        <v>461</v>
      </c>
      <c r="N40" s="606" t="s">
        <v>461</v>
      </c>
      <c r="O40" s="606"/>
    </row>
    <row r="41" spans="1:16" x14ac:dyDescent="0.3">
      <c r="A41" s="576"/>
      <c r="B41" s="576"/>
      <c r="C41" s="576"/>
      <c r="D41" s="576"/>
      <c r="E41" s="1168"/>
      <c r="F41" s="1169"/>
      <c r="G41" s="1170"/>
      <c r="L41" s="606" t="s">
        <v>1107</v>
      </c>
      <c r="M41" s="606" t="s">
        <v>461</v>
      </c>
      <c r="N41" s="606" t="s">
        <v>461</v>
      </c>
      <c r="O41" s="606"/>
    </row>
    <row r="42" spans="1:16" x14ac:dyDescent="0.3">
      <c r="A42" s="576"/>
      <c r="B42" s="576"/>
      <c r="C42" s="576"/>
      <c r="D42" s="576"/>
      <c r="E42" s="1168"/>
      <c r="F42" s="1169"/>
      <c r="G42" s="1170"/>
      <c r="L42" s="606" t="s">
        <v>1103</v>
      </c>
      <c r="M42" s="606" t="s">
        <v>461</v>
      </c>
      <c r="N42" s="606" t="s">
        <v>461</v>
      </c>
      <c r="O42" s="606"/>
    </row>
    <row r="43" spans="1:16" x14ac:dyDescent="0.3">
      <c r="A43" s="576"/>
      <c r="B43" s="576"/>
      <c r="C43" s="576"/>
      <c r="D43" s="576"/>
      <c r="E43" s="1168"/>
      <c r="F43" s="1169"/>
      <c r="G43" s="1170"/>
      <c r="L43" s="606" t="s">
        <v>479</v>
      </c>
      <c r="M43" s="606" t="s">
        <v>461</v>
      </c>
      <c r="N43" s="606" t="s">
        <v>461</v>
      </c>
      <c r="O43" s="606"/>
    </row>
    <row r="44" spans="1:16" x14ac:dyDescent="0.3">
      <c r="D44" s="576"/>
      <c r="E44" s="1168"/>
      <c r="F44" s="1169"/>
      <c r="G44" s="1170"/>
      <c r="L44" s="606" t="s">
        <v>1108</v>
      </c>
      <c r="M44" s="606" t="s">
        <v>461</v>
      </c>
      <c r="N44" s="606" t="s">
        <v>461</v>
      </c>
      <c r="O44" s="606"/>
    </row>
    <row r="45" spans="1:16" x14ac:dyDescent="0.3">
      <c r="D45" s="576"/>
      <c r="E45" s="1168"/>
      <c r="F45" s="1169"/>
      <c r="G45" s="1170"/>
      <c r="L45" s="606" t="s">
        <v>1109</v>
      </c>
      <c r="M45" s="606" t="s">
        <v>461</v>
      </c>
      <c r="N45" s="606" t="s">
        <v>461</v>
      </c>
      <c r="O45" s="606"/>
    </row>
    <row r="46" spans="1:16" x14ac:dyDescent="0.3">
      <c r="E46" s="1168"/>
      <c r="F46" s="1169"/>
      <c r="G46" s="1170"/>
      <c r="L46" s="606" t="s">
        <v>1110</v>
      </c>
      <c r="M46" s="606" t="s">
        <v>461</v>
      </c>
      <c r="N46" s="606" t="s">
        <v>461</v>
      </c>
      <c r="O46" s="606"/>
    </row>
    <row r="47" spans="1:16" x14ac:dyDescent="0.3">
      <c r="E47" s="1168"/>
      <c r="F47" s="1169"/>
      <c r="G47" s="1170"/>
      <c r="L47" s="606" t="s">
        <v>480</v>
      </c>
      <c r="M47" s="606" t="s">
        <v>461</v>
      </c>
      <c r="N47" s="606" t="s">
        <v>461</v>
      </c>
      <c r="O47" s="606" t="s">
        <v>1542</v>
      </c>
    </row>
    <row r="48" spans="1:16" x14ac:dyDescent="0.3">
      <c r="E48" s="1168"/>
      <c r="F48" s="1169"/>
      <c r="G48" s="1170"/>
      <c r="L48" s="606" t="s">
        <v>1111</v>
      </c>
      <c r="M48" s="606" t="s">
        <v>461</v>
      </c>
      <c r="N48" s="606" t="s">
        <v>461</v>
      </c>
      <c r="O48" s="606"/>
    </row>
    <row r="49" spans="5:15" x14ac:dyDescent="0.3">
      <c r="E49" s="1168"/>
      <c r="F49" s="1169"/>
      <c r="G49" s="1170"/>
      <c r="L49" s="606" t="s">
        <v>1112</v>
      </c>
      <c r="M49" s="606" t="s">
        <v>461</v>
      </c>
      <c r="N49" s="606" t="s">
        <v>461</v>
      </c>
      <c r="O49" s="606"/>
    </row>
    <row r="50" spans="5:15" x14ac:dyDescent="0.3">
      <c r="E50" s="1168"/>
      <c r="F50" s="1169"/>
      <c r="G50" s="1170"/>
      <c r="L50" s="606" t="s">
        <v>1113</v>
      </c>
      <c r="M50" s="606" t="s">
        <v>461</v>
      </c>
      <c r="N50" s="606" t="s">
        <v>461</v>
      </c>
      <c r="O50" s="606"/>
    </row>
    <row r="51" spans="5:15" ht="15" thickBot="1" x14ac:dyDescent="0.35">
      <c r="E51" s="1171"/>
      <c r="F51" s="1172"/>
      <c r="G51" s="1173"/>
      <c r="L51" s="606" t="s">
        <v>481</v>
      </c>
      <c r="M51" s="606" t="s">
        <v>461</v>
      </c>
      <c r="N51" s="606" t="s">
        <v>461</v>
      </c>
      <c r="O51" s="606"/>
    </row>
    <row r="52" spans="5:15" x14ac:dyDescent="0.3">
      <c r="L52" s="606" t="s">
        <v>1114</v>
      </c>
      <c r="M52" s="606" t="s">
        <v>461</v>
      </c>
      <c r="N52" s="606" t="s">
        <v>461</v>
      </c>
      <c r="O52" s="606"/>
    </row>
    <row r="53" spans="5:15" x14ac:dyDescent="0.3">
      <c r="L53" s="606" t="s">
        <v>1116</v>
      </c>
      <c r="M53" s="606" t="s">
        <v>461</v>
      </c>
      <c r="N53" s="606" t="s">
        <v>461</v>
      </c>
      <c r="O53" s="606"/>
    </row>
    <row r="54" spans="5:15" x14ac:dyDescent="0.3">
      <c r="L54" s="606" t="s">
        <v>1115</v>
      </c>
      <c r="M54" s="606" t="s">
        <v>461</v>
      </c>
      <c r="N54" s="606" t="s">
        <v>461</v>
      </c>
      <c r="O54" s="606"/>
    </row>
    <row r="55" spans="5:15" x14ac:dyDescent="0.3">
      <c r="L55" s="606" t="s">
        <v>1117</v>
      </c>
      <c r="M55" s="606" t="s">
        <v>461</v>
      </c>
      <c r="N55" s="606" t="s">
        <v>461</v>
      </c>
      <c r="O55" s="606"/>
    </row>
    <row r="56" spans="5:15" x14ac:dyDescent="0.3">
      <c r="L56" s="606" t="s">
        <v>482</v>
      </c>
      <c r="M56" s="606" t="s">
        <v>461</v>
      </c>
      <c r="N56" s="606" t="s">
        <v>461</v>
      </c>
      <c r="O56" s="606"/>
    </row>
    <row r="57" spans="5:15" x14ac:dyDescent="0.3">
      <c r="L57" s="606" t="s">
        <v>1118</v>
      </c>
      <c r="M57" s="606" t="s">
        <v>461</v>
      </c>
      <c r="N57" s="606" t="s">
        <v>461</v>
      </c>
      <c r="O57" s="606"/>
    </row>
    <row r="58" spans="5:15" x14ac:dyDescent="0.3">
      <c r="L58" s="606" t="s">
        <v>1119</v>
      </c>
      <c r="M58" s="606" t="s">
        <v>461</v>
      </c>
      <c r="N58" s="606" t="s">
        <v>461</v>
      </c>
      <c r="O58" s="606"/>
    </row>
    <row r="59" spans="5:15" x14ac:dyDescent="0.3">
      <c r="L59" s="609" t="s">
        <v>1120</v>
      </c>
      <c r="M59" s="609">
        <v>0.15</v>
      </c>
      <c r="N59" s="609" t="s">
        <v>461</v>
      </c>
      <c r="O59" s="606" t="s">
        <v>1446</v>
      </c>
    </row>
    <row r="60" spans="5:15" x14ac:dyDescent="0.3">
      <c r="L60" s="606" t="s">
        <v>483</v>
      </c>
      <c r="M60" s="606" t="s">
        <v>461</v>
      </c>
      <c r="N60" s="606" t="s">
        <v>461</v>
      </c>
      <c r="O60" s="606"/>
    </row>
    <row r="61" spans="5:15" x14ac:dyDescent="0.3">
      <c r="L61" s="606" t="s">
        <v>1121</v>
      </c>
      <c r="M61" s="606" t="s">
        <v>461</v>
      </c>
      <c r="N61" s="606" t="s">
        <v>461</v>
      </c>
      <c r="O61" s="606"/>
    </row>
    <row r="62" spans="5:15" x14ac:dyDescent="0.3">
      <c r="L62" s="606" t="s">
        <v>1122</v>
      </c>
      <c r="M62" s="606" t="s">
        <v>461</v>
      </c>
      <c r="N62" s="606" t="s">
        <v>461</v>
      </c>
      <c r="O62" s="606"/>
    </row>
    <row r="63" spans="5:15" x14ac:dyDescent="0.3">
      <c r="L63" s="606" t="s">
        <v>1123</v>
      </c>
      <c r="M63" s="606" t="s">
        <v>461</v>
      </c>
      <c r="N63" s="606" t="s">
        <v>461</v>
      </c>
      <c r="O63" s="606"/>
    </row>
    <row r="64" spans="5:15" x14ac:dyDescent="0.3">
      <c r="L64" s="606" t="s">
        <v>1124</v>
      </c>
      <c r="M64" s="606" t="s">
        <v>461</v>
      </c>
      <c r="N64" s="606" t="s">
        <v>461</v>
      </c>
      <c r="O64" s="606"/>
    </row>
    <row r="65" spans="12:15" x14ac:dyDescent="0.3">
      <c r="L65" s="606" t="s">
        <v>1125</v>
      </c>
      <c r="M65" s="606" t="s">
        <v>461</v>
      </c>
      <c r="N65" s="606" t="s">
        <v>461</v>
      </c>
      <c r="O65" s="606"/>
    </row>
    <row r="66" spans="12:15" x14ac:dyDescent="0.3">
      <c r="L66" s="606" t="s">
        <v>804</v>
      </c>
      <c r="M66" s="606" t="s">
        <v>461</v>
      </c>
      <c r="N66" s="606" t="s">
        <v>461</v>
      </c>
      <c r="O66" s="606"/>
    </row>
    <row r="67" spans="12:15" x14ac:dyDescent="0.3">
      <c r="L67" s="606" t="s">
        <v>1126</v>
      </c>
      <c r="M67" s="606" t="s">
        <v>461</v>
      </c>
      <c r="N67" s="606" t="s">
        <v>461</v>
      </c>
      <c r="O67" s="606"/>
    </row>
    <row r="68" spans="12:15" x14ac:dyDescent="0.3">
      <c r="L68" s="606" t="s">
        <v>1127</v>
      </c>
      <c r="M68" s="606" t="s">
        <v>461</v>
      </c>
      <c r="N68" s="606" t="s">
        <v>461</v>
      </c>
      <c r="O68" s="606"/>
    </row>
    <row r="69" spans="12:15" x14ac:dyDescent="0.3">
      <c r="L69" s="606" t="s">
        <v>1128</v>
      </c>
      <c r="M69" s="606" t="s">
        <v>461</v>
      </c>
      <c r="N69" s="606" t="s">
        <v>461</v>
      </c>
      <c r="O69" s="606"/>
    </row>
    <row r="70" spans="12:15" x14ac:dyDescent="0.3">
      <c r="L70" s="606" t="s">
        <v>1129</v>
      </c>
      <c r="M70" s="606" t="s">
        <v>461</v>
      </c>
      <c r="N70" s="606" t="s">
        <v>461</v>
      </c>
      <c r="O70" s="606"/>
    </row>
    <row r="71" spans="12:15" x14ac:dyDescent="0.3">
      <c r="L71" s="606" t="s">
        <v>1130</v>
      </c>
      <c r="M71" s="606" t="s">
        <v>461</v>
      </c>
      <c r="N71" s="606" t="s">
        <v>461</v>
      </c>
      <c r="O71" s="606"/>
    </row>
    <row r="72" spans="12:15" x14ac:dyDescent="0.3">
      <c r="L72" s="606" t="s">
        <v>1131</v>
      </c>
      <c r="M72" s="606" t="s">
        <v>461</v>
      </c>
      <c r="N72" s="606" t="s">
        <v>461</v>
      </c>
      <c r="O72" s="606"/>
    </row>
    <row r="73" spans="12:15" x14ac:dyDescent="0.3">
      <c r="L73" s="606" t="s">
        <v>1132</v>
      </c>
      <c r="M73" s="606" t="s">
        <v>461</v>
      </c>
      <c r="N73" s="606" t="s">
        <v>461</v>
      </c>
      <c r="O73" s="606"/>
    </row>
    <row r="74" spans="12:15" x14ac:dyDescent="0.3">
      <c r="L74" s="606" t="s">
        <v>1133</v>
      </c>
      <c r="M74" s="606" t="s">
        <v>461</v>
      </c>
      <c r="N74" s="606" t="s">
        <v>461</v>
      </c>
      <c r="O74" s="606"/>
    </row>
    <row r="75" spans="12:15" x14ac:dyDescent="0.3">
      <c r="L75" s="606" t="s">
        <v>1134</v>
      </c>
      <c r="M75" s="606" t="s">
        <v>461</v>
      </c>
      <c r="N75" s="606" t="s">
        <v>461</v>
      </c>
      <c r="O75" s="606"/>
    </row>
    <row r="76" spans="12:15" x14ac:dyDescent="0.3">
      <c r="L76" s="606" t="s">
        <v>1135</v>
      </c>
      <c r="M76" s="606" t="s">
        <v>461</v>
      </c>
      <c r="N76" s="606" t="s">
        <v>461</v>
      </c>
      <c r="O76" s="606"/>
    </row>
    <row r="77" spans="12:15" x14ac:dyDescent="0.3">
      <c r="L77" s="606" t="s">
        <v>1136</v>
      </c>
      <c r="M77" s="606" t="s">
        <v>461</v>
      </c>
      <c r="N77" s="606" t="s">
        <v>461</v>
      </c>
      <c r="O77" s="606"/>
    </row>
    <row r="78" spans="12:15" x14ac:dyDescent="0.3">
      <c r="L78" s="606" t="s">
        <v>1137</v>
      </c>
      <c r="M78" s="606" t="s">
        <v>461</v>
      </c>
      <c r="N78" s="606" t="s">
        <v>461</v>
      </c>
      <c r="O78" s="606"/>
    </row>
    <row r="79" spans="12:15" x14ac:dyDescent="0.3">
      <c r="L79" s="606" t="s">
        <v>1138</v>
      </c>
      <c r="M79" s="606" t="s">
        <v>461</v>
      </c>
      <c r="N79" s="606" t="s">
        <v>461</v>
      </c>
      <c r="O79" s="606"/>
    </row>
    <row r="80" spans="12:15" x14ac:dyDescent="0.3">
      <c r="L80" s="606" t="s">
        <v>1139</v>
      </c>
      <c r="M80" s="606" t="s">
        <v>461</v>
      </c>
      <c r="N80" s="606" t="s">
        <v>461</v>
      </c>
      <c r="O80" s="606"/>
    </row>
    <row r="81" spans="12:15" x14ac:dyDescent="0.3">
      <c r="L81" s="606" t="s">
        <v>1140</v>
      </c>
      <c r="M81" s="606" t="s">
        <v>461</v>
      </c>
      <c r="N81" s="606" t="s">
        <v>461</v>
      </c>
      <c r="O81" s="606"/>
    </row>
    <row r="82" spans="12:15" x14ac:dyDescent="0.3">
      <c r="L82" s="606" t="s">
        <v>1141</v>
      </c>
      <c r="M82" s="606" t="s">
        <v>461</v>
      </c>
      <c r="N82" s="606" t="s">
        <v>461</v>
      </c>
      <c r="O82" s="606"/>
    </row>
    <row r="83" spans="12:15" x14ac:dyDescent="0.3">
      <c r="L83" s="606" t="s">
        <v>805</v>
      </c>
      <c r="M83" s="606" t="s">
        <v>461</v>
      </c>
      <c r="N83" s="606" t="s">
        <v>461</v>
      </c>
      <c r="O83" s="606"/>
    </row>
    <row r="84" spans="12:15" x14ac:dyDescent="0.3">
      <c r="L84" s="606" t="s">
        <v>484</v>
      </c>
      <c r="M84" s="606" t="s">
        <v>461</v>
      </c>
      <c r="N84" s="606" t="s">
        <v>461</v>
      </c>
      <c r="O84" s="606"/>
    </row>
    <row r="85" spans="12:15" x14ac:dyDescent="0.3">
      <c r="L85" s="606" t="s">
        <v>1142</v>
      </c>
      <c r="M85" s="606" t="s">
        <v>461</v>
      </c>
      <c r="N85" s="606" t="s">
        <v>461</v>
      </c>
      <c r="O85" s="606"/>
    </row>
    <row r="86" spans="12:15" x14ac:dyDescent="0.3">
      <c r="L86" s="606" t="s">
        <v>1143</v>
      </c>
      <c r="M86" s="606" t="s">
        <v>461</v>
      </c>
      <c r="N86" s="606" t="s">
        <v>461</v>
      </c>
      <c r="O86" s="606"/>
    </row>
    <row r="87" spans="12:15" x14ac:dyDescent="0.3">
      <c r="L87" s="606" t="s">
        <v>1144</v>
      </c>
      <c r="M87" s="606" t="s">
        <v>461</v>
      </c>
      <c r="N87" s="606" t="s">
        <v>461</v>
      </c>
      <c r="O87" s="606"/>
    </row>
    <row r="88" spans="12:15" x14ac:dyDescent="0.3">
      <c r="L88" s="606" t="s">
        <v>1145</v>
      </c>
      <c r="M88" s="606" t="s">
        <v>461</v>
      </c>
      <c r="N88" s="606" t="s">
        <v>461</v>
      </c>
      <c r="O88" s="606"/>
    </row>
    <row r="89" spans="12:15" x14ac:dyDescent="0.3">
      <c r="L89" s="606" t="s">
        <v>485</v>
      </c>
      <c r="M89" s="606" t="s">
        <v>461</v>
      </c>
      <c r="N89" s="606" t="s">
        <v>461</v>
      </c>
      <c r="O89" s="606"/>
    </row>
    <row r="90" spans="12:15" x14ac:dyDescent="0.3">
      <c r="L90" s="606" t="s">
        <v>1146</v>
      </c>
      <c r="M90" s="606" t="s">
        <v>461</v>
      </c>
      <c r="N90" s="606" t="s">
        <v>461</v>
      </c>
      <c r="O90" s="606"/>
    </row>
    <row r="91" spans="12:15" x14ac:dyDescent="0.3">
      <c r="L91" s="606" t="s">
        <v>392</v>
      </c>
      <c r="M91" s="606" t="s">
        <v>461</v>
      </c>
      <c r="N91" s="606" t="s">
        <v>461</v>
      </c>
      <c r="O91" s="606"/>
    </row>
    <row r="92" spans="12:15" x14ac:dyDescent="0.3">
      <c r="L92" s="606" t="s">
        <v>393</v>
      </c>
      <c r="M92" s="606" t="s">
        <v>461</v>
      </c>
      <c r="N92" s="606" t="s">
        <v>461</v>
      </c>
      <c r="O92" s="606"/>
    </row>
    <row r="93" spans="12:15" x14ac:dyDescent="0.3">
      <c r="L93" s="609" t="s">
        <v>1147</v>
      </c>
      <c r="M93" s="609">
        <v>0.05</v>
      </c>
      <c r="N93" s="609" t="s">
        <v>461</v>
      </c>
      <c r="O93" s="606" t="s">
        <v>1446</v>
      </c>
    </row>
    <row r="94" spans="12:15" x14ac:dyDescent="0.3">
      <c r="L94" s="606" t="s">
        <v>486</v>
      </c>
      <c r="M94" s="606" t="s">
        <v>461</v>
      </c>
      <c r="N94" s="606" t="s">
        <v>461</v>
      </c>
      <c r="O94" s="606"/>
    </row>
    <row r="95" spans="12:15" x14ac:dyDescent="0.3">
      <c r="L95" s="606" t="s">
        <v>1148</v>
      </c>
      <c r="M95" s="606" t="s">
        <v>461</v>
      </c>
      <c r="N95" s="606" t="s">
        <v>461</v>
      </c>
      <c r="O95" s="606"/>
    </row>
    <row r="96" spans="12:15" x14ac:dyDescent="0.3">
      <c r="L96" s="606" t="s">
        <v>806</v>
      </c>
      <c r="M96" s="606" t="s">
        <v>461</v>
      </c>
      <c r="N96" s="606" t="s">
        <v>461</v>
      </c>
      <c r="O96" s="606"/>
    </row>
    <row r="97" spans="12:16" x14ac:dyDescent="0.3">
      <c r="L97" s="606" t="s">
        <v>1149</v>
      </c>
      <c r="M97" s="606" t="s">
        <v>461</v>
      </c>
      <c r="N97" s="606" t="s">
        <v>461</v>
      </c>
      <c r="O97" s="606"/>
    </row>
    <row r="98" spans="12:16" x14ac:dyDescent="0.3">
      <c r="L98" s="606" t="s">
        <v>807</v>
      </c>
      <c r="M98" s="606" t="s">
        <v>461</v>
      </c>
      <c r="N98" s="606" t="s">
        <v>461</v>
      </c>
      <c r="O98" s="606"/>
    </row>
    <row r="99" spans="12:16" x14ac:dyDescent="0.3">
      <c r="L99" s="608" t="s">
        <v>1150</v>
      </c>
      <c r="M99" s="608">
        <v>0.03</v>
      </c>
      <c r="N99" s="608">
        <v>0.05</v>
      </c>
      <c r="O99" s="606" t="s">
        <v>1451</v>
      </c>
      <c r="P99" s="615" t="s">
        <v>1447</v>
      </c>
    </row>
    <row r="100" spans="12:16" x14ac:dyDescent="0.3">
      <c r="L100" s="606" t="s">
        <v>1151</v>
      </c>
      <c r="M100" s="606" t="s">
        <v>461</v>
      </c>
      <c r="N100" s="606" t="s">
        <v>461</v>
      </c>
      <c r="O100" s="606"/>
    </row>
    <row r="101" spans="12:16" x14ac:dyDescent="0.3">
      <c r="L101" s="606" t="s">
        <v>1152</v>
      </c>
      <c r="M101" s="606" t="s">
        <v>461</v>
      </c>
      <c r="N101" s="606" t="s">
        <v>461</v>
      </c>
      <c r="O101" s="606"/>
    </row>
    <row r="102" spans="12:16" x14ac:dyDescent="0.3">
      <c r="L102" s="606" t="s">
        <v>1153</v>
      </c>
      <c r="M102" s="606" t="s">
        <v>461</v>
      </c>
      <c r="N102" s="606" t="s">
        <v>461</v>
      </c>
      <c r="O102" s="606"/>
    </row>
    <row r="103" spans="12:16" x14ac:dyDescent="0.3">
      <c r="L103" s="606" t="s">
        <v>1154</v>
      </c>
      <c r="M103" s="606" t="s">
        <v>461</v>
      </c>
      <c r="N103" s="606" t="s">
        <v>461</v>
      </c>
      <c r="O103" s="606"/>
    </row>
    <row r="104" spans="12:16" x14ac:dyDescent="0.3">
      <c r="L104" s="606" t="s">
        <v>1155</v>
      </c>
      <c r="M104" s="606" t="s">
        <v>461</v>
      </c>
      <c r="N104" s="606" t="s">
        <v>461</v>
      </c>
      <c r="O104" s="606"/>
    </row>
    <row r="105" spans="12:16" x14ac:dyDescent="0.3">
      <c r="L105" s="606" t="s">
        <v>808</v>
      </c>
      <c r="M105" s="606" t="s">
        <v>461</v>
      </c>
      <c r="N105" s="606" t="s">
        <v>461</v>
      </c>
      <c r="O105" s="606"/>
    </row>
    <row r="106" spans="12:16" x14ac:dyDescent="0.3">
      <c r="L106" s="606" t="s">
        <v>487</v>
      </c>
      <c r="M106" s="606" t="s">
        <v>461</v>
      </c>
      <c r="N106" s="606" t="s">
        <v>461</v>
      </c>
      <c r="O106" s="606"/>
    </row>
    <row r="107" spans="12:16" x14ac:dyDescent="0.3">
      <c r="L107" s="606" t="s">
        <v>488</v>
      </c>
      <c r="M107" s="606" t="s">
        <v>461</v>
      </c>
      <c r="N107" s="606" t="s">
        <v>461</v>
      </c>
      <c r="O107" s="606"/>
    </row>
    <row r="108" spans="12:16" x14ac:dyDescent="0.3">
      <c r="L108" s="606" t="s">
        <v>1156</v>
      </c>
      <c r="M108" s="606" t="s">
        <v>461</v>
      </c>
      <c r="N108" s="606" t="s">
        <v>461</v>
      </c>
      <c r="O108" s="606"/>
    </row>
    <row r="109" spans="12:16" x14ac:dyDescent="0.3">
      <c r="L109" s="606" t="s">
        <v>1157</v>
      </c>
      <c r="M109" s="606" t="s">
        <v>461</v>
      </c>
      <c r="N109" s="606" t="s">
        <v>461</v>
      </c>
      <c r="O109" s="606"/>
    </row>
    <row r="110" spans="12:16" x14ac:dyDescent="0.3">
      <c r="L110" s="606" t="s">
        <v>1158</v>
      </c>
      <c r="M110" s="606" t="s">
        <v>461</v>
      </c>
      <c r="N110" s="606" t="s">
        <v>461</v>
      </c>
      <c r="O110" s="606" t="s">
        <v>1542</v>
      </c>
    </row>
    <row r="111" spans="12:16" x14ac:dyDescent="0.3">
      <c r="L111" s="606" t="s">
        <v>809</v>
      </c>
      <c r="M111" s="606" t="s">
        <v>461</v>
      </c>
      <c r="N111" s="606" t="s">
        <v>461</v>
      </c>
      <c r="O111" s="606"/>
    </row>
    <row r="112" spans="12:16" x14ac:dyDescent="0.3">
      <c r="L112" s="606" t="s">
        <v>1159</v>
      </c>
      <c r="M112" s="606" t="s">
        <v>461</v>
      </c>
      <c r="N112" s="606" t="s">
        <v>461</v>
      </c>
      <c r="O112" s="606"/>
    </row>
    <row r="113" spans="12:15" x14ac:dyDescent="0.3">
      <c r="L113" s="606" t="s">
        <v>1160</v>
      </c>
      <c r="M113" s="606" t="s">
        <v>461</v>
      </c>
      <c r="N113" s="606" t="s">
        <v>461</v>
      </c>
      <c r="O113" s="606"/>
    </row>
    <row r="114" spans="12:15" x14ac:dyDescent="0.3">
      <c r="L114" s="606" t="s">
        <v>1161</v>
      </c>
      <c r="M114" s="606" t="s">
        <v>461</v>
      </c>
      <c r="N114" s="606" t="s">
        <v>461</v>
      </c>
      <c r="O114" s="606"/>
    </row>
    <row r="115" spans="12:15" x14ac:dyDescent="0.3">
      <c r="L115" s="606" t="s">
        <v>1162</v>
      </c>
      <c r="M115" s="606" t="s">
        <v>461</v>
      </c>
      <c r="N115" s="606" t="s">
        <v>461</v>
      </c>
      <c r="O115" s="606"/>
    </row>
    <row r="116" spans="12:15" x14ac:dyDescent="0.3">
      <c r="L116" s="609" t="s">
        <v>1163</v>
      </c>
      <c r="M116" s="609">
        <v>0.03</v>
      </c>
      <c r="N116" s="609" t="s">
        <v>461</v>
      </c>
      <c r="O116" s="606" t="s">
        <v>1446</v>
      </c>
    </row>
    <row r="117" spans="12:15" x14ac:dyDescent="0.3">
      <c r="L117" s="606" t="s">
        <v>1164</v>
      </c>
      <c r="M117" s="606" t="s">
        <v>461</v>
      </c>
      <c r="N117" s="606" t="s">
        <v>461</v>
      </c>
      <c r="O117" s="606"/>
    </row>
    <row r="118" spans="12:15" x14ac:dyDescent="0.3">
      <c r="L118" s="606" t="s">
        <v>1165</v>
      </c>
      <c r="M118" s="606" t="s">
        <v>461</v>
      </c>
      <c r="N118" s="606" t="s">
        <v>461</v>
      </c>
      <c r="O118" s="606"/>
    </row>
    <row r="119" spans="12:15" x14ac:dyDescent="0.3">
      <c r="L119" s="606" t="s">
        <v>1166</v>
      </c>
      <c r="M119" s="606" t="s">
        <v>461</v>
      </c>
      <c r="N119" s="606" t="s">
        <v>461</v>
      </c>
      <c r="O119" s="606"/>
    </row>
    <row r="120" spans="12:15" x14ac:dyDescent="0.3">
      <c r="L120" s="606" t="s">
        <v>810</v>
      </c>
      <c r="M120" s="606" t="s">
        <v>461</v>
      </c>
      <c r="N120" s="606" t="s">
        <v>461</v>
      </c>
      <c r="O120" s="606"/>
    </row>
    <row r="121" spans="12:15" x14ac:dyDescent="0.3">
      <c r="L121" s="606" t="s">
        <v>1167</v>
      </c>
      <c r="M121" s="606" t="s">
        <v>461</v>
      </c>
      <c r="N121" s="606" t="s">
        <v>461</v>
      </c>
      <c r="O121" s="606"/>
    </row>
    <row r="122" spans="12:15" x14ac:dyDescent="0.3">
      <c r="L122" s="606" t="s">
        <v>811</v>
      </c>
      <c r="M122" s="606" t="s">
        <v>461</v>
      </c>
      <c r="N122" s="606" t="s">
        <v>461</v>
      </c>
      <c r="O122" s="606" t="s">
        <v>1542</v>
      </c>
    </row>
    <row r="123" spans="12:15" x14ac:dyDescent="0.3">
      <c r="L123" s="606" t="s">
        <v>1168</v>
      </c>
      <c r="M123" s="606" t="s">
        <v>461</v>
      </c>
      <c r="N123" s="606" t="s">
        <v>461</v>
      </c>
      <c r="O123" s="606"/>
    </row>
    <row r="124" spans="12:15" x14ac:dyDescent="0.3">
      <c r="L124" s="606" t="s">
        <v>1169</v>
      </c>
      <c r="M124" s="606" t="s">
        <v>461</v>
      </c>
      <c r="N124" s="606" t="s">
        <v>461</v>
      </c>
      <c r="O124" s="606"/>
    </row>
    <row r="125" spans="12:15" x14ac:dyDescent="0.3">
      <c r="L125" s="606" t="s">
        <v>1170</v>
      </c>
      <c r="M125" s="606" t="s">
        <v>461</v>
      </c>
      <c r="N125" s="606" t="s">
        <v>461</v>
      </c>
      <c r="O125" s="606"/>
    </row>
    <row r="126" spans="12:15" x14ac:dyDescent="0.3">
      <c r="L126" s="606" t="s">
        <v>1171</v>
      </c>
      <c r="M126" s="606" t="s">
        <v>461</v>
      </c>
      <c r="N126" s="606" t="s">
        <v>461</v>
      </c>
      <c r="O126" s="606"/>
    </row>
    <row r="127" spans="12:15" x14ac:dyDescent="0.3">
      <c r="L127" s="606" t="s">
        <v>489</v>
      </c>
      <c r="M127" s="606" t="s">
        <v>461</v>
      </c>
      <c r="N127" s="606" t="s">
        <v>461</v>
      </c>
      <c r="O127" s="606"/>
    </row>
    <row r="128" spans="12:15" x14ac:dyDescent="0.3">
      <c r="L128" s="606" t="s">
        <v>1172</v>
      </c>
      <c r="M128" s="606" t="s">
        <v>461</v>
      </c>
      <c r="N128" s="606" t="s">
        <v>461</v>
      </c>
      <c r="O128" s="606"/>
    </row>
    <row r="129" spans="12:16" x14ac:dyDescent="0.3">
      <c r="L129" s="606" t="s">
        <v>1173</v>
      </c>
      <c r="M129" s="606" t="s">
        <v>461</v>
      </c>
      <c r="N129" s="606" t="s">
        <v>461</v>
      </c>
      <c r="O129" s="606"/>
    </row>
    <row r="130" spans="12:16" x14ac:dyDescent="0.3">
      <c r="L130" s="606" t="s">
        <v>490</v>
      </c>
      <c r="M130" s="606" t="s">
        <v>461</v>
      </c>
      <c r="N130" s="606" t="s">
        <v>461</v>
      </c>
      <c r="O130" s="606"/>
    </row>
    <row r="131" spans="12:16" x14ac:dyDescent="0.3">
      <c r="L131" s="609" t="s">
        <v>1174</v>
      </c>
      <c r="M131" s="609">
        <v>0.03</v>
      </c>
      <c r="N131" s="609" t="s">
        <v>461</v>
      </c>
      <c r="O131" s="606" t="s">
        <v>1446</v>
      </c>
    </row>
    <row r="132" spans="12:16" x14ac:dyDescent="0.3">
      <c r="L132" s="606" t="s">
        <v>1175</v>
      </c>
      <c r="M132" s="606" t="s">
        <v>461</v>
      </c>
      <c r="N132" s="606" t="s">
        <v>461</v>
      </c>
      <c r="O132" s="606"/>
    </row>
    <row r="133" spans="12:16" x14ac:dyDescent="0.3">
      <c r="L133" s="606" t="s">
        <v>1176</v>
      </c>
      <c r="M133" s="606" t="s">
        <v>461</v>
      </c>
      <c r="N133" s="606" t="s">
        <v>461</v>
      </c>
      <c r="O133" s="606"/>
    </row>
    <row r="134" spans="12:16" x14ac:dyDescent="0.3">
      <c r="L134" s="606" t="s">
        <v>1177</v>
      </c>
      <c r="M134" s="606" t="s">
        <v>461</v>
      </c>
      <c r="N134" s="606" t="s">
        <v>461</v>
      </c>
      <c r="O134" s="606"/>
    </row>
    <row r="135" spans="12:16" x14ac:dyDescent="0.3">
      <c r="L135" s="606" t="s">
        <v>387</v>
      </c>
      <c r="M135" s="606" t="s">
        <v>461</v>
      </c>
      <c r="N135" s="606" t="s">
        <v>461</v>
      </c>
      <c r="O135" s="606"/>
    </row>
    <row r="136" spans="12:16" x14ac:dyDescent="0.3">
      <c r="L136" s="606" t="s">
        <v>491</v>
      </c>
      <c r="M136" s="606" t="s">
        <v>461</v>
      </c>
      <c r="N136" s="606" t="s">
        <v>461</v>
      </c>
      <c r="O136" s="606"/>
    </row>
    <row r="137" spans="12:16" x14ac:dyDescent="0.3">
      <c r="L137" s="606" t="s">
        <v>1178</v>
      </c>
      <c r="M137" s="606" t="s">
        <v>461</v>
      </c>
      <c r="N137" s="606" t="s">
        <v>461</v>
      </c>
      <c r="O137" s="606"/>
    </row>
    <row r="138" spans="12:16" x14ac:dyDescent="0.3">
      <c r="L138" s="606" t="s">
        <v>1179</v>
      </c>
      <c r="M138" s="606" t="s">
        <v>461</v>
      </c>
      <c r="N138" s="606" t="s">
        <v>461</v>
      </c>
      <c r="O138" s="606"/>
    </row>
    <row r="139" spans="12:16" x14ac:dyDescent="0.3">
      <c r="L139" s="606" t="s">
        <v>492</v>
      </c>
      <c r="M139" s="606" t="s">
        <v>461</v>
      </c>
      <c r="N139" s="606" t="s">
        <v>461</v>
      </c>
      <c r="O139" s="606"/>
    </row>
    <row r="140" spans="12:16" x14ac:dyDescent="0.3">
      <c r="L140" s="606" t="s">
        <v>493</v>
      </c>
      <c r="M140" s="606" t="s">
        <v>461</v>
      </c>
      <c r="N140" s="606" t="s">
        <v>461</v>
      </c>
      <c r="O140" s="606"/>
    </row>
    <row r="141" spans="12:16" x14ac:dyDescent="0.3">
      <c r="L141" s="606" t="s">
        <v>1180</v>
      </c>
      <c r="M141" s="606" t="s">
        <v>461</v>
      </c>
      <c r="N141" s="606" t="s">
        <v>461</v>
      </c>
      <c r="O141" s="606"/>
    </row>
    <row r="142" spans="12:16" x14ac:dyDescent="0.3">
      <c r="L142" s="606" t="s">
        <v>1181</v>
      </c>
      <c r="M142" s="606" t="s">
        <v>461</v>
      </c>
      <c r="N142" s="606" t="s">
        <v>461</v>
      </c>
      <c r="O142" s="606"/>
    </row>
    <row r="143" spans="12:16" x14ac:dyDescent="0.3">
      <c r="L143" s="608" t="s">
        <v>1182</v>
      </c>
      <c r="M143" s="608">
        <v>0.03</v>
      </c>
      <c r="N143" s="608">
        <v>0.05</v>
      </c>
      <c r="O143" s="606" t="s">
        <v>1451</v>
      </c>
      <c r="P143" s="615" t="s">
        <v>1447</v>
      </c>
    </row>
    <row r="144" spans="12:16" x14ac:dyDescent="0.3">
      <c r="L144" s="608" t="s">
        <v>812</v>
      </c>
      <c r="M144" s="608">
        <v>0.03</v>
      </c>
      <c r="N144" s="608">
        <v>0.05</v>
      </c>
      <c r="O144" s="606" t="s">
        <v>1451</v>
      </c>
      <c r="P144" s="615" t="s">
        <v>1447</v>
      </c>
    </row>
    <row r="145" spans="12:15" x14ac:dyDescent="0.3">
      <c r="L145" s="606" t="s">
        <v>1183</v>
      </c>
      <c r="M145" s="606" t="s">
        <v>461</v>
      </c>
      <c r="N145" s="606" t="s">
        <v>461</v>
      </c>
      <c r="O145" s="606"/>
    </row>
    <row r="146" spans="12:15" x14ac:dyDescent="0.3">
      <c r="L146" s="606" t="s">
        <v>1184</v>
      </c>
      <c r="M146" s="606" t="s">
        <v>461</v>
      </c>
      <c r="N146" s="606" t="s">
        <v>461</v>
      </c>
      <c r="O146" s="606"/>
    </row>
    <row r="147" spans="12:15" x14ac:dyDescent="0.3">
      <c r="L147" s="606" t="s">
        <v>1185</v>
      </c>
      <c r="M147" s="606" t="s">
        <v>461</v>
      </c>
      <c r="N147" s="606" t="s">
        <v>461</v>
      </c>
      <c r="O147" s="606"/>
    </row>
    <row r="148" spans="12:15" x14ac:dyDescent="0.3">
      <c r="L148" s="606" t="s">
        <v>1186</v>
      </c>
      <c r="M148" s="606" t="s">
        <v>461</v>
      </c>
      <c r="N148" s="606" t="s">
        <v>461</v>
      </c>
      <c r="O148" s="606"/>
    </row>
    <row r="149" spans="12:15" x14ac:dyDescent="0.3">
      <c r="L149" s="606" t="s">
        <v>495</v>
      </c>
      <c r="M149" s="606" t="s">
        <v>461</v>
      </c>
      <c r="N149" s="606" t="s">
        <v>461</v>
      </c>
      <c r="O149" s="606"/>
    </row>
    <row r="150" spans="12:15" x14ac:dyDescent="0.3">
      <c r="L150" s="606" t="s">
        <v>496</v>
      </c>
      <c r="M150" s="606" t="s">
        <v>461</v>
      </c>
      <c r="N150" s="606" t="s">
        <v>461</v>
      </c>
      <c r="O150" s="606"/>
    </row>
    <row r="151" spans="12:15" x14ac:dyDescent="0.3">
      <c r="L151" s="606" t="s">
        <v>1187</v>
      </c>
      <c r="M151" s="606" t="s">
        <v>461</v>
      </c>
      <c r="N151" s="606" t="s">
        <v>461</v>
      </c>
      <c r="O151" s="606"/>
    </row>
    <row r="152" spans="12:15" x14ac:dyDescent="0.3">
      <c r="L152" s="606" t="s">
        <v>1188</v>
      </c>
      <c r="M152" s="606" t="s">
        <v>461</v>
      </c>
      <c r="N152" s="606" t="s">
        <v>461</v>
      </c>
      <c r="O152" s="606"/>
    </row>
    <row r="153" spans="12:15" x14ac:dyDescent="0.3">
      <c r="L153" s="606" t="s">
        <v>497</v>
      </c>
      <c r="M153" s="606" t="s">
        <v>461</v>
      </c>
      <c r="N153" s="606" t="s">
        <v>461</v>
      </c>
      <c r="O153" s="606" t="s">
        <v>1542</v>
      </c>
    </row>
    <row r="154" spans="12:15" x14ac:dyDescent="0.3">
      <c r="L154" s="606" t="s">
        <v>813</v>
      </c>
      <c r="M154" s="606" t="s">
        <v>461</v>
      </c>
      <c r="N154" s="606" t="s">
        <v>461</v>
      </c>
      <c r="O154" s="606"/>
    </row>
    <row r="155" spans="12:15" x14ac:dyDescent="0.3">
      <c r="L155" s="606" t="s">
        <v>814</v>
      </c>
      <c r="M155" s="606" t="s">
        <v>461</v>
      </c>
      <c r="N155" s="606" t="s">
        <v>461</v>
      </c>
      <c r="O155" s="606"/>
    </row>
    <row r="156" spans="12:15" x14ac:dyDescent="0.3">
      <c r="L156" s="606" t="s">
        <v>498</v>
      </c>
      <c r="M156" s="606" t="s">
        <v>461</v>
      </c>
      <c r="N156" s="606" t="s">
        <v>461</v>
      </c>
      <c r="O156" s="606"/>
    </row>
    <row r="157" spans="12:15" x14ac:dyDescent="0.3">
      <c r="L157" s="606" t="s">
        <v>499</v>
      </c>
      <c r="M157" s="606" t="s">
        <v>461</v>
      </c>
      <c r="N157" s="606" t="s">
        <v>461</v>
      </c>
      <c r="O157" s="606"/>
    </row>
    <row r="158" spans="12:15" x14ac:dyDescent="0.3">
      <c r="L158" s="606" t="s">
        <v>500</v>
      </c>
      <c r="M158" s="606" t="s">
        <v>461</v>
      </c>
      <c r="N158" s="606" t="s">
        <v>461</v>
      </c>
      <c r="O158" s="606"/>
    </row>
    <row r="159" spans="12:15" x14ac:dyDescent="0.3">
      <c r="L159" s="606" t="s">
        <v>1189</v>
      </c>
      <c r="M159" s="606" t="s">
        <v>461</v>
      </c>
      <c r="N159" s="606" t="s">
        <v>461</v>
      </c>
      <c r="O159" s="606"/>
    </row>
    <row r="160" spans="12:15" x14ac:dyDescent="0.3">
      <c r="L160" s="606" t="s">
        <v>1190</v>
      </c>
      <c r="M160" s="606" t="s">
        <v>461</v>
      </c>
      <c r="N160" s="606" t="s">
        <v>461</v>
      </c>
      <c r="O160" s="606"/>
    </row>
    <row r="161" spans="12:16" x14ac:dyDescent="0.3">
      <c r="L161" s="606" t="s">
        <v>1191</v>
      </c>
      <c r="M161" s="606" t="s">
        <v>461</v>
      </c>
      <c r="N161" s="606" t="s">
        <v>461</v>
      </c>
      <c r="O161" s="606"/>
    </row>
    <row r="162" spans="12:16" x14ac:dyDescent="0.3">
      <c r="L162" s="606" t="s">
        <v>1192</v>
      </c>
      <c r="M162" s="606" t="s">
        <v>461</v>
      </c>
      <c r="N162" s="606" t="s">
        <v>461</v>
      </c>
      <c r="O162" s="606"/>
    </row>
    <row r="163" spans="12:16" x14ac:dyDescent="0.3">
      <c r="L163" s="606" t="s">
        <v>1193</v>
      </c>
      <c r="M163" s="606" t="s">
        <v>461</v>
      </c>
      <c r="N163" s="606" t="s">
        <v>461</v>
      </c>
      <c r="O163" s="606"/>
    </row>
    <row r="164" spans="12:16" x14ac:dyDescent="0.3">
      <c r="L164" s="606" t="s">
        <v>1194</v>
      </c>
      <c r="M164" s="606" t="s">
        <v>461</v>
      </c>
      <c r="N164" s="606" t="s">
        <v>461</v>
      </c>
      <c r="O164" s="606"/>
    </row>
    <row r="165" spans="12:16" x14ac:dyDescent="0.3">
      <c r="L165" s="608" t="s">
        <v>1195</v>
      </c>
      <c r="M165" s="608">
        <v>0.03</v>
      </c>
      <c r="N165" s="608">
        <v>0.05</v>
      </c>
      <c r="O165" s="606" t="s">
        <v>1451</v>
      </c>
      <c r="P165" s="615" t="s">
        <v>1447</v>
      </c>
    </row>
    <row r="166" spans="12:16" x14ac:dyDescent="0.3">
      <c r="L166" s="606" t="s">
        <v>1196</v>
      </c>
      <c r="M166" s="606" t="s">
        <v>461</v>
      </c>
      <c r="N166" s="606" t="s">
        <v>461</v>
      </c>
      <c r="O166" s="606" t="s">
        <v>1542</v>
      </c>
    </row>
    <row r="167" spans="12:16" x14ac:dyDescent="0.3">
      <c r="L167" s="606" t="s">
        <v>1197</v>
      </c>
      <c r="M167" s="606" t="s">
        <v>461</v>
      </c>
      <c r="N167" s="606" t="s">
        <v>461</v>
      </c>
      <c r="O167" s="606"/>
    </row>
    <row r="168" spans="12:16" x14ac:dyDescent="0.3">
      <c r="L168" s="606" t="s">
        <v>1198</v>
      </c>
      <c r="M168" s="606" t="s">
        <v>461</v>
      </c>
      <c r="N168" s="606" t="s">
        <v>461</v>
      </c>
      <c r="O168" s="606"/>
    </row>
    <row r="169" spans="12:16" x14ac:dyDescent="0.3">
      <c r="L169" s="606" t="s">
        <v>501</v>
      </c>
      <c r="M169" s="606" t="s">
        <v>461</v>
      </c>
      <c r="N169" s="606" t="s">
        <v>461</v>
      </c>
      <c r="O169" s="606"/>
    </row>
    <row r="170" spans="12:16" x14ac:dyDescent="0.3">
      <c r="L170" s="606" t="s">
        <v>1199</v>
      </c>
      <c r="M170" s="606" t="s">
        <v>461</v>
      </c>
      <c r="N170" s="606" t="s">
        <v>461</v>
      </c>
      <c r="O170" s="606" t="s">
        <v>1542</v>
      </c>
    </row>
    <row r="171" spans="12:16" x14ac:dyDescent="0.3">
      <c r="L171" s="606" t="s">
        <v>1200</v>
      </c>
      <c r="M171" s="606" t="s">
        <v>461</v>
      </c>
      <c r="N171" s="606" t="s">
        <v>461</v>
      </c>
      <c r="O171" s="606"/>
    </row>
    <row r="172" spans="12:16" x14ac:dyDescent="0.3">
      <c r="L172" s="606" t="s">
        <v>1201</v>
      </c>
      <c r="M172" s="606" t="s">
        <v>461</v>
      </c>
      <c r="N172" s="606" t="s">
        <v>461</v>
      </c>
      <c r="O172" s="606" t="s">
        <v>1542</v>
      </c>
    </row>
    <row r="173" spans="12:16" x14ac:dyDescent="0.3">
      <c r="L173" s="606" t="s">
        <v>502</v>
      </c>
      <c r="M173" s="606" t="s">
        <v>461</v>
      </c>
      <c r="N173" s="606" t="s">
        <v>461</v>
      </c>
      <c r="O173" s="606"/>
    </row>
    <row r="174" spans="12:16" x14ac:dyDescent="0.3">
      <c r="L174" s="606" t="s">
        <v>1202</v>
      </c>
      <c r="M174" s="606" t="s">
        <v>461</v>
      </c>
      <c r="N174" s="606" t="s">
        <v>461</v>
      </c>
      <c r="O174" s="606"/>
    </row>
    <row r="175" spans="12:16" x14ac:dyDescent="0.3">
      <c r="L175" s="606" t="s">
        <v>1203</v>
      </c>
      <c r="M175" s="606" t="s">
        <v>461</v>
      </c>
      <c r="N175" s="606" t="s">
        <v>461</v>
      </c>
      <c r="O175" s="606"/>
    </row>
    <row r="176" spans="12:16" x14ac:dyDescent="0.3">
      <c r="L176" s="606" t="s">
        <v>1204</v>
      </c>
      <c r="M176" s="606" t="s">
        <v>461</v>
      </c>
      <c r="N176" s="606" t="s">
        <v>461</v>
      </c>
      <c r="O176" s="606"/>
    </row>
    <row r="177" spans="12:16" x14ac:dyDescent="0.3">
      <c r="L177" s="606" t="s">
        <v>503</v>
      </c>
      <c r="M177" s="606" t="s">
        <v>461</v>
      </c>
      <c r="N177" s="606" t="s">
        <v>461</v>
      </c>
      <c r="O177" s="606"/>
    </row>
    <row r="178" spans="12:16" x14ac:dyDescent="0.3">
      <c r="L178" s="608" t="s">
        <v>504</v>
      </c>
      <c r="M178" s="608">
        <v>0.03</v>
      </c>
      <c r="N178" s="608">
        <v>0.05</v>
      </c>
      <c r="O178" s="606" t="s">
        <v>1451</v>
      </c>
      <c r="P178" s="615" t="s">
        <v>1447</v>
      </c>
    </row>
    <row r="179" spans="12:16" x14ac:dyDescent="0.3">
      <c r="L179" s="606" t="s">
        <v>1205</v>
      </c>
      <c r="M179" s="606" t="s">
        <v>461</v>
      </c>
      <c r="N179" s="606" t="s">
        <v>461</v>
      </c>
      <c r="O179" s="606"/>
    </row>
    <row r="180" spans="12:16" x14ac:dyDescent="0.3">
      <c r="L180" s="606" t="s">
        <v>1206</v>
      </c>
      <c r="M180" s="606" t="s">
        <v>461</v>
      </c>
      <c r="N180" s="606" t="s">
        <v>461</v>
      </c>
      <c r="O180" s="606"/>
    </row>
    <row r="181" spans="12:16" x14ac:dyDescent="0.3">
      <c r="L181" s="606" t="s">
        <v>1207</v>
      </c>
      <c r="M181" s="606" t="s">
        <v>461</v>
      </c>
      <c r="N181" s="606" t="s">
        <v>461</v>
      </c>
      <c r="O181" s="606"/>
    </row>
    <row r="182" spans="12:16" x14ac:dyDescent="0.3">
      <c r="L182" s="606" t="s">
        <v>1208</v>
      </c>
      <c r="M182" s="606" t="s">
        <v>461</v>
      </c>
      <c r="N182" s="606" t="s">
        <v>461</v>
      </c>
      <c r="O182" s="606"/>
    </row>
    <row r="183" spans="12:16" x14ac:dyDescent="0.3">
      <c r="L183" s="606" t="s">
        <v>1209</v>
      </c>
      <c r="M183" s="606" t="s">
        <v>461</v>
      </c>
      <c r="N183" s="606" t="s">
        <v>461</v>
      </c>
      <c r="O183" s="606"/>
    </row>
    <row r="184" spans="12:16" x14ac:dyDescent="0.3">
      <c r="L184" s="606" t="s">
        <v>388</v>
      </c>
      <c r="M184" s="606" t="s">
        <v>461</v>
      </c>
      <c r="N184" s="606" t="s">
        <v>461</v>
      </c>
      <c r="O184" s="606"/>
    </row>
    <row r="185" spans="12:16" x14ac:dyDescent="0.3">
      <c r="L185" s="609" t="s">
        <v>1210</v>
      </c>
      <c r="M185" s="609">
        <v>0.03</v>
      </c>
      <c r="N185" s="609" t="s">
        <v>461</v>
      </c>
      <c r="O185" s="606" t="s">
        <v>1446</v>
      </c>
    </row>
    <row r="186" spans="12:16" x14ac:dyDescent="0.3">
      <c r="L186" s="606" t="s">
        <v>1211</v>
      </c>
      <c r="M186" s="606" t="s">
        <v>461</v>
      </c>
      <c r="N186" s="606" t="s">
        <v>461</v>
      </c>
      <c r="O186" s="606"/>
    </row>
    <row r="187" spans="12:16" x14ac:dyDescent="0.3">
      <c r="L187" s="606" t="s">
        <v>815</v>
      </c>
      <c r="M187" s="606" t="s">
        <v>461</v>
      </c>
      <c r="N187" s="606" t="s">
        <v>461</v>
      </c>
      <c r="O187" s="606"/>
    </row>
    <row r="188" spans="12:16" x14ac:dyDescent="0.3">
      <c r="L188" s="606" t="s">
        <v>1212</v>
      </c>
      <c r="M188" s="606" t="s">
        <v>461</v>
      </c>
      <c r="N188" s="606" t="s">
        <v>461</v>
      </c>
      <c r="O188" s="606"/>
    </row>
    <row r="189" spans="12:16" x14ac:dyDescent="0.3">
      <c r="L189" s="606" t="s">
        <v>505</v>
      </c>
      <c r="M189" s="606" t="s">
        <v>461</v>
      </c>
      <c r="N189" s="606" t="s">
        <v>461</v>
      </c>
      <c r="O189" s="606"/>
    </row>
    <row r="190" spans="12:16" x14ac:dyDescent="0.3">
      <c r="L190" s="606" t="s">
        <v>1213</v>
      </c>
      <c r="M190" s="606" t="s">
        <v>461</v>
      </c>
      <c r="N190" s="606" t="s">
        <v>461</v>
      </c>
      <c r="O190" s="606"/>
    </row>
    <row r="191" spans="12:16" x14ac:dyDescent="0.3">
      <c r="L191" s="606" t="s">
        <v>506</v>
      </c>
      <c r="M191" s="606" t="s">
        <v>461</v>
      </c>
      <c r="N191" s="606" t="s">
        <v>461</v>
      </c>
      <c r="O191" s="606"/>
    </row>
    <row r="192" spans="12:16" x14ac:dyDescent="0.3">
      <c r="L192" s="606" t="s">
        <v>1214</v>
      </c>
      <c r="M192" s="606" t="s">
        <v>461</v>
      </c>
      <c r="N192" s="606" t="s">
        <v>461</v>
      </c>
      <c r="O192" s="606"/>
    </row>
    <row r="193" spans="12:16" x14ac:dyDescent="0.3">
      <c r="L193" s="606" t="s">
        <v>1054</v>
      </c>
      <c r="M193" s="606" t="s">
        <v>461</v>
      </c>
      <c r="N193" s="606" t="s">
        <v>461</v>
      </c>
      <c r="O193" s="606"/>
    </row>
    <row r="194" spans="12:16" x14ac:dyDescent="0.3">
      <c r="L194" s="606" t="s">
        <v>1215</v>
      </c>
      <c r="M194" s="606" t="s">
        <v>461</v>
      </c>
      <c r="N194" s="606" t="s">
        <v>461</v>
      </c>
      <c r="O194" s="606"/>
    </row>
    <row r="195" spans="12:16" x14ac:dyDescent="0.3">
      <c r="L195" s="609" t="s">
        <v>1216</v>
      </c>
      <c r="M195" s="609">
        <v>0.03</v>
      </c>
      <c r="N195" s="609" t="s">
        <v>461</v>
      </c>
      <c r="O195" s="606" t="s">
        <v>1446</v>
      </c>
    </row>
    <row r="196" spans="12:16" x14ac:dyDescent="0.3">
      <c r="L196" s="606" t="s">
        <v>1217</v>
      </c>
      <c r="M196" s="606" t="s">
        <v>461</v>
      </c>
      <c r="N196" s="606" t="s">
        <v>461</v>
      </c>
      <c r="O196" s="606"/>
    </row>
    <row r="197" spans="12:16" x14ac:dyDescent="0.3">
      <c r="L197" s="606" t="s">
        <v>1218</v>
      </c>
      <c r="M197" s="606" t="s">
        <v>461</v>
      </c>
      <c r="N197" s="606" t="s">
        <v>461</v>
      </c>
      <c r="O197" s="606"/>
    </row>
    <row r="198" spans="12:16" x14ac:dyDescent="0.3">
      <c r="L198" s="606" t="s">
        <v>816</v>
      </c>
      <c r="M198" s="606" t="s">
        <v>461</v>
      </c>
      <c r="N198" s="606" t="s">
        <v>461</v>
      </c>
      <c r="O198" s="606"/>
    </row>
    <row r="199" spans="12:16" x14ac:dyDescent="0.3">
      <c r="L199" s="606" t="s">
        <v>507</v>
      </c>
      <c r="M199" s="606" t="s">
        <v>461</v>
      </c>
      <c r="N199" s="606" t="s">
        <v>461</v>
      </c>
      <c r="O199" s="606"/>
    </row>
    <row r="200" spans="12:16" x14ac:dyDescent="0.3">
      <c r="L200" s="606" t="s">
        <v>394</v>
      </c>
      <c r="M200" s="606" t="s">
        <v>461</v>
      </c>
      <c r="N200" s="606" t="s">
        <v>461</v>
      </c>
      <c r="O200" s="606"/>
    </row>
    <row r="201" spans="12:16" x14ac:dyDescent="0.3">
      <c r="L201" s="608" t="s">
        <v>395</v>
      </c>
      <c r="M201" s="608">
        <v>0.03</v>
      </c>
      <c r="N201" s="608">
        <v>0.05</v>
      </c>
      <c r="O201" s="606" t="s">
        <v>1451</v>
      </c>
      <c r="P201" s="615" t="s">
        <v>1447</v>
      </c>
    </row>
    <row r="202" spans="12:16" x14ac:dyDescent="0.3">
      <c r="L202" s="606" t="s">
        <v>1219</v>
      </c>
      <c r="M202" s="606" t="s">
        <v>461</v>
      </c>
      <c r="N202" s="606" t="s">
        <v>461</v>
      </c>
      <c r="O202" s="606"/>
    </row>
    <row r="203" spans="12:16" x14ac:dyDescent="0.3">
      <c r="L203" s="606" t="s">
        <v>1220</v>
      </c>
      <c r="M203" s="606" t="s">
        <v>461</v>
      </c>
      <c r="N203" s="606" t="s">
        <v>461</v>
      </c>
      <c r="O203" s="606"/>
    </row>
    <row r="204" spans="12:16" x14ac:dyDescent="0.3">
      <c r="L204" s="606" t="s">
        <v>508</v>
      </c>
      <c r="M204" s="606" t="s">
        <v>461</v>
      </c>
      <c r="N204" s="606" t="s">
        <v>461</v>
      </c>
      <c r="O204" s="606"/>
    </row>
    <row r="205" spans="12:16" x14ac:dyDescent="0.3">
      <c r="L205" s="606" t="s">
        <v>509</v>
      </c>
      <c r="M205" s="606" t="s">
        <v>461</v>
      </c>
      <c r="N205" s="606" t="s">
        <v>461</v>
      </c>
      <c r="O205" s="606"/>
    </row>
    <row r="206" spans="12:16" x14ac:dyDescent="0.3">
      <c r="L206" s="608" t="s">
        <v>510</v>
      </c>
      <c r="M206" s="608">
        <v>0.03</v>
      </c>
      <c r="N206" s="608">
        <v>0.05</v>
      </c>
      <c r="O206" s="606" t="s">
        <v>1451</v>
      </c>
      <c r="P206" s="615" t="s">
        <v>1447</v>
      </c>
    </row>
    <row r="207" spans="12:16" x14ac:dyDescent="0.3">
      <c r="L207" s="606" t="s">
        <v>511</v>
      </c>
      <c r="M207" s="606" t="s">
        <v>461</v>
      </c>
      <c r="N207" s="606" t="s">
        <v>461</v>
      </c>
      <c r="O207" s="606"/>
    </row>
    <row r="208" spans="12:16" x14ac:dyDescent="0.3">
      <c r="L208" s="606" t="s">
        <v>1221</v>
      </c>
      <c r="M208" s="606" t="s">
        <v>461</v>
      </c>
      <c r="N208" s="606" t="s">
        <v>461</v>
      </c>
      <c r="O208" s="606"/>
    </row>
    <row r="209" spans="12:16" x14ac:dyDescent="0.3">
      <c r="L209" s="606" t="s">
        <v>1222</v>
      </c>
      <c r="M209" s="606" t="s">
        <v>461</v>
      </c>
      <c r="N209" s="606" t="s">
        <v>461</v>
      </c>
      <c r="O209" s="606"/>
    </row>
    <row r="210" spans="12:16" x14ac:dyDescent="0.3">
      <c r="L210" s="606" t="s">
        <v>1223</v>
      </c>
      <c r="M210" s="606" t="s">
        <v>461</v>
      </c>
      <c r="N210" s="606" t="s">
        <v>461</v>
      </c>
      <c r="O210" s="606"/>
    </row>
    <row r="211" spans="12:16" x14ac:dyDescent="0.3">
      <c r="L211" s="606" t="s">
        <v>1224</v>
      </c>
      <c r="M211" s="606" t="s">
        <v>461</v>
      </c>
      <c r="N211" s="606" t="s">
        <v>461</v>
      </c>
      <c r="O211" s="606"/>
    </row>
    <row r="212" spans="12:16" x14ac:dyDescent="0.3">
      <c r="L212" s="606" t="s">
        <v>817</v>
      </c>
      <c r="M212" s="606" t="s">
        <v>461</v>
      </c>
      <c r="N212" s="606" t="s">
        <v>461</v>
      </c>
      <c r="O212" s="606"/>
    </row>
    <row r="213" spans="12:16" x14ac:dyDescent="0.3">
      <c r="L213" s="606" t="s">
        <v>1225</v>
      </c>
      <c r="M213" s="606" t="s">
        <v>461</v>
      </c>
      <c r="N213" s="606" t="s">
        <v>461</v>
      </c>
      <c r="O213" s="606"/>
    </row>
    <row r="214" spans="12:16" x14ac:dyDescent="0.3">
      <c r="L214" s="606" t="s">
        <v>818</v>
      </c>
      <c r="M214" s="606" t="s">
        <v>461</v>
      </c>
      <c r="N214" s="606" t="s">
        <v>461</v>
      </c>
      <c r="O214" s="606"/>
    </row>
    <row r="215" spans="12:16" x14ac:dyDescent="0.3">
      <c r="L215" s="606" t="s">
        <v>1226</v>
      </c>
      <c r="M215" s="606" t="s">
        <v>461</v>
      </c>
      <c r="N215" s="606" t="s">
        <v>461</v>
      </c>
      <c r="O215" s="606"/>
    </row>
    <row r="216" spans="12:16" x14ac:dyDescent="0.3">
      <c r="L216" s="606" t="s">
        <v>1227</v>
      </c>
      <c r="M216" s="606" t="s">
        <v>461</v>
      </c>
      <c r="N216" s="606" t="s">
        <v>461</v>
      </c>
      <c r="O216" s="606"/>
    </row>
    <row r="217" spans="12:16" x14ac:dyDescent="0.3">
      <c r="L217" s="606" t="s">
        <v>389</v>
      </c>
      <c r="M217" s="606" t="s">
        <v>461</v>
      </c>
      <c r="N217" s="606" t="s">
        <v>461</v>
      </c>
      <c r="O217" s="606"/>
    </row>
    <row r="218" spans="12:16" x14ac:dyDescent="0.3">
      <c r="L218" s="606" t="s">
        <v>1228</v>
      </c>
      <c r="M218" s="606" t="s">
        <v>461</v>
      </c>
      <c r="N218" s="606" t="s">
        <v>461</v>
      </c>
      <c r="O218" s="606"/>
    </row>
    <row r="219" spans="12:16" x14ac:dyDescent="0.3">
      <c r="L219" s="608" t="s">
        <v>819</v>
      </c>
      <c r="M219" s="608">
        <v>0.03</v>
      </c>
      <c r="N219" s="608">
        <v>0.05</v>
      </c>
      <c r="O219" s="606" t="s">
        <v>1451</v>
      </c>
      <c r="P219" s="615" t="s">
        <v>1447</v>
      </c>
    </row>
    <row r="220" spans="12:16" x14ac:dyDescent="0.3">
      <c r="L220" s="606" t="s">
        <v>1229</v>
      </c>
      <c r="M220" s="606" t="s">
        <v>461</v>
      </c>
      <c r="N220" s="606" t="s">
        <v>461</v>
      </c>
      <c r="O220" s="606"/>
    </row>
    <row r="221" spans="12:16" x14ac:dyDescent="0.3">
      <c r="L221" s="609" t="s">
        <v>396</v>
      </c>
      <c r="M221" s="609" t="s">
        <v>461</v>
      </c>
      <c r="N221" s="609" t="s">
        <v>461</v>
      </c>
      <c r="O221" s="606" t="s">
        <v>1446</v>
      </c>
    </row>
    <row r="222" spans="12:16" x14ac:dyDescent="0.3">
      <c r="L222" s="606" t="s">
        <v>1230</v>
      </c>
      <c r="M222" s="606" t="s">
        <v>461</v>
      </c>
      <c r="N222" s="606" t="s">
        <v>461</v>
      </c>
      <c r="O222" s="606"/>
    </row>
    <row r="223" spans="12:16" x14ac:dyDescent="0.3">
      <c r="L223" s="606" t="s">
        <v>1231</v>
      </c>
      <c r="M223" s="606" t="s">
        <v>461</v>
      </c>
      <c r="N223" s="606" t="s">
        <v>461</v>
      </c>
      <c r="O223" s="606" t="s">
        <v>1542</v>
      </c>
    </row>
    <row r="224" spans="12:16" x14ac:dyDescent="0.3">
      <c r="L224" s="606" t="s">
        <v>1232</v>
      </c>
      <c r="M224" s="606" t="s">
        <v>461</v>
      </c>
      <c r="N224" s="606" t="s">
        <v>461</v>
      </c>
      <c r="O224" s="606"/>
    </row>
    <row r="225" spans="12:16" x14ac:dyDescent="0.3">
      <c r="L225" s="606" t="s">
        <v>1233</v>
      </c>
      <c r="M225" s="606" t="s">
        <v>461</v>
      </c>
      <c r="N225" s="606" t="s">
        <v>461</v>
      </c>
      <c r="O225" s="606"/>
    </row>
    <row r="226" spans="12:16" x14ac:dyDescent="0.3">
      <c r="L226" s="608" t="s">
        <v>1234</v>
      </c>
      <c r="M226" s="608">
        <v>0.03</v>
      </c>
      <c r="N226" s="608">
        <v>0.05</v>
      </c>
      <c r="O226" s="606" t="s">
        <v>1451</v>
      </c>
      <c r="P226" s="615" t="s">
        <v>1447</v>
      </c>
    </row>
    <row r="227" spans="12:16" x14ac:dyDescent="0.3">
      <c r="L227" s="606" t="s">
        <v>512</v>
      </c>
      <c r="M227" s="606" t="s">
        <v>461</v>
      </c>
      <c r="N227" s="606" t="s">
        <v>461</v>
      </c>
      <c r="O227" s="606"/>
    </row>
    <row r="228" spans="12:16" x14ac:dyDescent="0.3">
      <c r="L228" s="606" t="s">
        <v>1235</v>
      </c>
      <c r="M228" s="606" t="s">
        <v>461</v>
      </c>
      <c r="N228" s="606" t="s">
        <v>461</v>
      </c>
      <c r="O228" s="606"/>
    </row>
    <row r="229" spans="12:16" x14ac:dyDescent="0.3">
      <c r="L229" s="606" t="s">
        <v>513</v>
      </c>
      <c r="M229" s="606" t="s">
        <v>461</v>
      </c>
      <c r="N229" s="606" t="s">
        <v>461</v>
      </c>
      <c r="O229" s="606"/>
    </row>
    <row r="230" spans="12:16" x14ac:dyDescent="0.3">
      <c r="L230" s="606" t="s">
        <v>1236</v>
      </c>
      <c r="M230" s="606" t="s">
        <v>461</v>
      </c>
      <c r="N230" s="606" t="s">
        <v>461</v>
      </c>
      <c r="O230" s="606"/>
    </row>
    <row r="231" spans="12:16" x14ac:dyDescent="0.3">
      <c r="L231" s="608" t="s">
        <v>514</v>
      </c>
      <c r="M231" s="608">
        <v>0.03</v>
      </c>
      <c r="N231" s="608">
        <v>0.05</v>
      </c>
      <c r="O231" s="606" t="s">
        <v>1451</v>
      </c>
      <c r="P231" s="615" t="s">
        <v>1447</v>
      </c>
    </row>
    <row r="232" spans="12:16" x14ac:dyDescent="0.3">
      <c r="L232" s="606" t="s">
        <v>1237</v>
      </c>
      <c r="M232" s="606" t="s">
        <v>461</v>
      </c>
      <c r="N232" s="606" t="s">
        <v>461</v>
      </c>
      <c r="O232" s="606"/>
    </row>
    <row r="233" spans="12:16" x14ac:dyDescent="0.3">
      <c r="L233" s="606" t="s">
        <v>1238</v>
      </c>
      <c r="M233" s="606" t="s">
        <v>461</v>
      </c>
      <c r="N233" s="606" t="s">
        <v>461</v>
      </c>
      <c r="O233" s="606"/>
    </row>
    <row r="234" spans="12:16" x14ac:dyDescent="0.3">
      <c r="L234" s="606" t="s">
        <v>1055</v>
      </c>
      <c r="M234" s="606" t="s">
        <v>461</v>
      </c>
      <c r="N234" s="606" t="s">
        <v>461</v>
      </c>
      <c r="O234" s="606"/>
    </row>
    <row r="235" spans="12:16" x14ac:dyDescent="0.3">
      <c r="L235" s="609" t="s">
        <v>1239</v>
      </c>
      <c r="M235" s="609" t="s">
        <v>461</v>
      </c>
      <c r="N235" s="609" t="s">
        <v>461</v>
      </c>
      <c r="O235" s="606" t="s">
        <v>1446</v>
      </c>
    </row>
    <row r="236" spans="12:16" x14ac:dyDescent="0.3">
      <c r="L236" s="606" t="s">
        <v>433</v>
      </c>
      <c r="M236" s="606" t="s">
        <v>461</v>
      </c>
      <c r="N236" s="606" t="s">
        <v>461</v>
      </c>
      <c r="O236" s="606"/>
    </row>
    <row r="237" spans="12:16" x14ac:dyDescent="0.3">
      <c r="L237" s="606" t="s">
        <v>1240</v>
      </c>
      <c r="M237" s="606" t="s">
        <v>461</v>
      </c>
      <c r="N237" s="606" t="s">
        <v>461</v>
      </c>
      <c r="O237" s="606"/>
    </row>
    <row r="238" spans="12:16" x14ac:dyDescent="0.3">
      <c r="L238" s="606" t="s">
        <v>434</v>
      </c>
      <c r="M238" s="606" t="s">
        <v>461</v>
      </c>
      <c r="N238" s="606" t="s">
        <v>461</v>
      </c>
      <c r="O238" s="606"/>
    </row>
    <row r="239" spans="12:16" x14ac:dyDescent="0.3">
      <c r="L239" s="606" t="s">
        <v>1241</v>
      </c>
      <c r="M239" s="606" t="s">
        <v>461</v>
      </c>
      <c r="N239" s="606" t="s">
        <v>461</v>
      </c>
      <c r="O239" s="606"/>
    </row>
    <row r="240" spans="12:16" x14ac:dyDescent="0.3">
      <c r="L240" s="606" t="s">
        <v>1242</v>
      </c>
      <c r="M240" s="606" t="s">
        <v>461</v>
      </c>
      <c r="N240" s="606" t="s">
        <v>461</v>
      </c>
      <c r="O240" s="606"/>
    </row>
    <row r="241" spans="12:16" x14ac:dyDescent="0.3">
      <c r="L241" s="606" t="s">
        <v>1243</v>
      </c>
      <c r="M241" s="606" t="s">
        <v>461</v>
      </c>
      <c r="N241" s="606" t="s">
        <v>461</v>
      </c>
      <c r="O241" s="606"/>
    </row>
    <row r="242" spans="12:16" x14ac:dyDescent="0.3">
      <c r="L242" s="606" t="s">
        <v>1244</v>
      </c>
      <c r="M242" s="606" t="s">
        <v>461</v>
      </c>
      <c r="N242" s="606" t="s">
        <v>461</v>
      </c>
      <c r="O242" s="606"/>
    </row>
    <row r="243" spans="12:16" x14ac:dyDescent="0.3">
      <c r="L243" s="606" t="s">
        <v>1245</v>
      </c>
      <c r="M243" s="606" t="s">
        <v>461</v>
      </c>
      <c r="N243" s="606" t="s">
        <v>461</v>
      </c>
      <c r="O243" s="606"/>
    </row>
    <row r="244" spans="12:16" x14ac:dyDescent="0.3">
      <c r="L244" s="606" t="s">
        <v>1246</v>
      </c>
      <c r="M244" s="606" t="s">
        <v>461</v>
      </c>
      <c r="N244" s="606" t="s">
        <v>461</v>
      </c>
      <c r="O244" s="606"/>
    </row>
    <row r="245" spans="12:16" x14ac:dyDescent="0.3">
      <c r="L245" s="606" t="s">
        <v>1247</v>
      </c>
      <c r="M245" s="606" t="s">
        <v>461</v>
      </c>
      <c r="N245" s="606" t="s">
        <v>461</v>
      </c>
      <c r="O245" s="606"/>
    </row>
    <row r="246" spans="12:16" x14ac:dyDescent="0.3">
      <c r="L246" s="606" t="s">
        <v>1248</v>
      </c>
      <c r="M246" s="606" t="s">
        <v>461</v>
      </c>
      <c r="N246" s="606" t="s">
        <v>461</v>
      </c>
      <c r="O246" s="606"/>
    </row>
    <row r="247" spans="12:16" x14ac:dyDescent="0.3">
      <c r="L247" s="606" t="s">
        <v>1249</v>
      </c>
      <c r="M247" s="606" t="s">
        <v>461</v>
      </c>
      <c r="N247" s="606" t="s">
        <v>461</v>
      </c>
      <c r="O247" s="606"/>
    </row>
    <row r="248" spans="12:16" x14ac:dyDescent="0.3">
      <c r="L248" s="606" t="s">
        <v>1250</v>
      </c>
      <c r="M248" s="606" t="s">
        <v>461</v>
      </c>
      <c r="N248" s="606" t="s">
        <v>461</v>
      </c>
      <c r="O248" s="606"/>
    </row>
    <row r="249" spans="12:16" x14ac:dyDescent="0.3">
      <c r="L249" s="606" t="s">
        <v>1251</v>
      </c>
      <c r="M249" s="606" t="s">
        <v>461</v>
      </c>
      <c r="N249" s="606" t="s">
        <v>461</v>
      </c>
      <c r="O249" s="606"/>
    </row>
    <row r="250" spans="12:16" x14ac:dyDescent="0.3">
      <c r="L250" s="606" t="s">
        <v>1252</v>
      </c>
      <c r="M250" s="606" t="s">
        <v>461</v>
      </c>
      <c r="N250" s="606" t="s">
        <v>461</v>
      </c>
      <c r="O250" s="606"/>
    </row>
    <row r="251" spans="12:16" x14ac:dyDescent="0.3">
      <c r="L251" s="606" t="s">
        <v>1253</v>
      </c>
      <c r="M251" s="606" t="s">
        <v>461</v>
      </c>
      <c r="N251" s="606" t="s">
        <v>461</v>
      </c>
      <c r="O251" s="606" t="s">
        <v>1542</v>
      </c>
    </row>
    <row r="252" spans="12:16" x14ac:dyDescent="0.3">
      <c r="L252" s="606" t="s">
        <v>435</v>
      </c>
      <c r="M252" s="606" t="s">
        <v>461</v>
      </c>
      <c r="N252" s="606" t="s">
        <v>461</v>
      </c>
      <c r="O252" s="606"/>
    </row>
    <row r="253" spans="12:16" x14ac:dyDescent="0.3">
      <c r="L253" s="608" t="s">
        <v>1254</v>
      </c>
      <c r="M253" s="608">
        <v>0.03</v>
      </c>
      <c r="N253" s="608">
        <v>0.05</v>
      </c>
      <c r="O253" s="606" t="s">
        <v>1451</v>
      </c>
      <c r="P253" s="615" t="s">
        <v>1447</v>
      </c>
    </row>
    <row r="254" spans="12:16" x14ac:dyDescent="0.3">
      <c r="L254" s="606" t="s">
        <v>1255</v>
      </c>
      <c r="M254" s="606" t="s">
        <v>461</v>
      </c>
      <c r="N254" s="606" t="s">
        <v>461</v>
      </c>
      <c r="O254" s="606"/>
    </row>
    <row r="255" spans="12:16" x14ac:dyDescent="0.3">
      <c r="L255" s="606" t="s">
        <v>1256</v>
      </c>
      <c r="M255" s="606" t="s">
        <v>461</v>
      </c>
      <c r="N255" s="606" t="s">
        <v>461</v>
      </c>
      <c r="O255" s="606"/>
    </row>
    <row r="256" spans="12:16" x14ac:dyDescent="0.3">
      <c r="L256" s="606" t="s">
        <v>1257</v>
      </c>
      <c r="M256" s="606" t="s">
        <v>461</v>
      </c>
      <c r="N256" s="606" t="s">
        <v>461</v>
      </c>
      <c r="O256" s="606"/>
    </row>
    <row r="257" spans="12:16" x14ac:dyDescent="0.3">
      <c r="L257" s="606" t="s">
        <v>1258</v>
      </c>
      <c r="M257" s="606" t="s">
        <v>461</v>
      </c>
      <c r="N257" s="606" t="s">
        <v>461</v>
      </c>
      <c r="O257" s="606"/>
    </row>
    <row r="258" spans="12:16" x14ac:dyDescent="0.3">
      <c r="L258" s="608" t="s">
        <v>1259</v>
      </c>
      <c r="M258" s="608">
        <v>0.03</v>
      </c>
      <c r="N258" s="608">
        <v>0.05</v>
      </c>
      <c r="O258" s="606" t="s">
        <v>1451</v>
      </c>
      <c r="P258" s="615" t="s">
        <v>1447</v>
      </c>
    </row>
    <row r="259" spans="12:16" x14ac:dyDescent="0.3">
      <c r="L259" s="606" t="s">
        <v>1260</v>
      </c>
      <c r="M259" s="606" t="s">
        <v>461</v>
      </c>
      <c r="N259" s="606" t="s">
        <v>461</v>
      </c>
      <c r="O259" s="606"/>
    </row>
    <row r="260" spans="12:16" x14ac:dyDescent="0.3">
      <c r="L260" s="606" t="s">
        <v>1261</v>
      </c>
      <c r="M260" s="606" t="s">
        <v>461</v>
      </c>
      <c r="N260" s="606" t="s">
        <v>461</v>
      </c>
      <c r="O260" s="606"/>
    </row>
    <row r="261" spans="12:16" x14ac:dyDescent="0.3">
      <c r="L261" s="606" t="s">
        <v>1262</v>
      </c>
      <c r="M261" s="606" t="s">
        <v>461</v>
      </c>
      <c r="N261" s="606" t="s">
        <v>461</v>
      </c>
      <c r="O261" s="606"/>
    </row>
    <row r="262" spans="12:16" x14ac:dyDescent="0.3">
      <c r="L262" s="606" t="s">
        <v>1263</v>
      </c>
      <c r="M262" s="606" t="s">
        <v>461</v>
      </c>
      <c r="N262" s="606" t="s">
        <v>461</v>
      </c>
      <c r="O262" s="606"/>
    </row>
    <row r="263" spans="12:16" x14ac:dyDescent="0.3">
      <c r="L263" s="609" t="s">
        <v>1264</v>
      </c>
      <c r="M263" s="609" t="s">
        <v>461</v>
      </c>
      <c r="N263" s="609" t="s">
        <v>461</v>
      </c>
      <c r="O263" s="606" t="s">
        <v>1446</v>
      </c>
    </row>
    <row r="264" spans="12:16" x14ac:dyDescent="0.3">
      <c r="L264" s="606" t="s">
        <v>1265</v>
      </c>
      <c r="M264" s="606" t="s">
        <v>461</v>
      </c>
      <c r="N264" s="606" t="s">
        <v>461</v>
      </c>
      <c r="O264" s="606"/>
    </row>
    <row r="265" spans="12:16" x14ac:dyDescent="0.3">
      <c r="L265" s="606" t="s">
        <v>1266</v>
      </c>
      <c r="M265" s="606" t="s">
        <v>461</v>
      </c>
      <c r="N265" s="606" t="s">
        <v>461</v>
      </c>
      <c r="O265" s="606"/>
    </row>
    <row r="266" spans="12:16" x14ac:dyDescent="0.3">
      <c r="L266" s="606" t="s">
        <v>1267</v>
      </c>
      <c r="M266" s="606" t="s">
        <v>461</v>
      </c>
      <c r="N266" s="606" t="s">
        <v>461</v>
      </c>
      <c r="O266" s="606"/>
    </row>
    <row r="267" spans="12:16" x14ac:dyDescent="0.3">
      <c r="L267" s="606" t="s">
        <v>1268</v>
      </c>
      <c r="M267" s="606" t="s">
        <v>461</v>
      </c>
      <c r="N267" s="606" t="s">
        <v>461</v>
      </c>
      <c r="O267" s="606"/>
    </row>
    <row r="268" spans="12:16" x14ac:dyDescent="0.3">
      <c r="L268" s="608" t="s">
        <v>1269</v>
      </c>
      <c r="M268" s="608">
        <v>0.03</v>
      </c>
      <c r="N268" s="608">
        <v>0.05</v>
      </c>
      <c r="O268" s="606" t="s">
        <v>1451</v>
      </c>
      <c r="P268" s="615" t="s">
        <v>1447</v>
      </c>
    </row>
    <row r="269" spans="12:16" x14ac:dyDescent="0.3">
      <c r="L269" s="606" t="s">
        <v>1270</v>
      </c>
      <c r="M269" s="606" t="s">
        <v>461</v>
      </c>
      <c r="N269" s="606" t="s">
        <v>461</v>
      </c>
      <c r="O269" s="606"/>
    </row>
    <row r="270" spans="12:16" x14ac:dyDescent="0.3">
      <c r="L270" s="606" t="s">
        <v>1271</v>
      </c>
      <c r="M270" s="606" t="s">
        <v>461</v>
      </c>
      <c r="N270" s="606" t="s">
        <v>461</v>
      </c>
      <c r="O270" s="606"/>
    </row>
    <row r="271" spans="12:16" x14ac:dyDescent="0.3">
      <c r="L271" s="606" t="s">
        <v>1272</v>
      </c>
      <c r="M271" s="606" t="s">
        <v>461</v>
      </c>
      <c r="N271" s="606" t="s">
        <v>461</v>
      </c>
      <c r="O271" s="606"/>
    </row>
    <row r="272" spans="12:16" x14ac:dyDescent="0.3">
      <c r="L272" s="606" t="s">
        <v>1273</v>
      </c>
      <c r="M272" s="606" t="s">
        <v>461</v>
      </c>
      <c r="N272" s="606" t="s">
        <v>461</v>
      </c>
      <c r="O272" s="606"/>
    </row>
    <row r="273" spans="12:16" x14ac:dyDescent="0.3">
      <c r="L273" s="606" t="s">
        <v>1274</v>
      </c>
      <c r="M273" s="606" t="s">
        <v>461</v>
      </c>
      <c r="N273" s="606" t="s">
        <v>461</v>
      </c>
      <c r="O273" s="606"/>
    </row>
    <row r="274" spans="12:16" x14ac:dyDescent="0.3">
      <c r="L274" s="606" t="s">
        <v>1275</v>
      </c>
      <c r="M274" s="606" t="s">
        <v>461</v>
      </c>
      <c r="N274" s="606" t="s">
        <v>461</v>
      </c>
      <c r="O274" s="606"/>
    </row>
    <row r="275" spans="12:16" x14ac:dyDescent="0.3">
      <c r="L275" s="609" t="s">
        <v>1276</v>
      </c>
      <c r="M275" s="609">
        <v>0.03</v>
      </c>
      <c r="N275" s="609">
        <v>0.03</v>
      </c>
      <c r="O275" s="606" t="s">
        <v>1446</v>
      </c>
    </row>
    <row r="276" spans="12:16" x14ac:dyDescent="0.3">
      <c r="L276" s="606" t="s">
        <v>1277</v>
      </c>
      <c r="M276" s="606" t="s">
        <v>461</v>
      </c>
      <c r="N276" s="606" t="s">
        <v>461</v>
      </c>
      <c r="O276" s="606"/>
    </row>
    <row r="277" spans="12:16" x14ac:dyDescent="0.3">
      <c r="L277" s="606" t="s">
        <v>1278</v>
      </c>
      <c r="M277" s="606" t="s">
        <v>461</v>
      </c>
      <c r="N277" s="606" t="s">
        <v>461</v>
      </c>
      <c r="O277" s="606"/>
    </row>
    <row r="278" spans="12:16" x14ac:dyDescent="0.3">
      <c r="L278" s="606" t="s">
        <v>1279</v>
      </c>
      <c r="M278" s="606" t="s">
        <v>461</v>
      </c>
      <c r="N278" s="606" t="s">
        <v>461</v>
      </c>
      <c r="O278" s="606"/>
    </row>
    <row r="279" spans="12:16" x14ac:dyDescent="0.3">
      <c r="L279" s="609" t="s">
        <v>1280</v>
      </c>
      <c r="M279" s="609" t="s">
        <v>461</v>
      </c>
      <c r="N279" s="609" t="s">
        <v>461</v>
      </c>
      <c r="O279" s="606" t="s">
        <v>1446</v>
      </c>
    </row>
    <row r="280" spans="12:16" x14ac:dyDescent="0.3">
      <c r="L280" s="606" t="s">
        <v>1281</v>
      </c>
      <c r="M280" s="606" t="s">
        <v>461</v>
      </c>
      <c r="N280" s="606" t="s">
        <v>461</v>
      </c>
      <c r="O280" s="606"/>
    </row>
    <row r="281" spans="12:16" x14ac:dyDescent="0.3">
      <c r="L281" s="606" t="s">
        <v>1282</v>
      </c>
      <c r="M281" s="606" t="s">
        <v>461</v>
      </c>
      <c r="N281" s="606" t="s">
        <v>461</v>
      </c>
      <c r="O281" s="606"/>
    </row>
    <row r="282" spans="12:16" x14ac:dyDescent="0.3">
      <c r="L282" s="606" t="s">
        <v>1283</v>
      </c>
      <c r="M282" s="606" t="s">
        <v>461</v>
      </c>
      <c r="N282" s="606" t="s">
        <v>461</v>
      </c>
      <c r="O282" s="606"/>
    </row>
    <row r="283" spans="12:16" x14ac:dyDescent="0.3">
      <c r="L283" s="606" t="s">
        <v>1284</v>
      </c>
      <c r="M283" s="606" t="s">
        <v>461</v>
      </c>
      <c r="N283" s="606" t="s">
        <v>461</v>
      </c>
      <c r="O283" s="606"/>
    </row>
    <row r="284" spans="12:16" x14ac:dyDescent="0.3">
      <c r="L284" s="608" t="s">
        <v>1285</v>
      </c>
      <c r="M284" s="608">
        <v>0.03</v>
      </c>
      <c r="N284" s="608">
        <v>0.05</v>
      </c>
      <c r="O284" s="606" t="s">
        <v>1451</v>
      </c>
      <c r="P284" s="615" t="s">
        <v>1447</v>
      </c>
    </row>
    <row r="285" spans="12:16" x14ac:dyDescent="0.3">
      <c r="L285" s="606" t="s">
        <v>436</v>
      </c>
      <c r="M285" s="606" t="s">
        <v>461</v>
      </c>
      <c r="N285" s="606" t="s">
        <v>461</v>
      </c>
      <c r="O285" s="606"/>
    </row>
    <row r="286" spans="12:16" x14ac:dyDescent="0.3">
      <c r="L286" s="606" t="s">
        <v>1286</v>
      </c>
      <c r="M286" s="606" t="s">
        <v>461</v>
      </c>
      <c r="N286" s="606" t="s">
        <v>461</v>
      </c>
    </row>
    <row r="287" spans="12:16" x14ac:dyDescent="0.3">
      <c r="L287" s="606" t="s">
        <v>437</v>
      </c>
      <c r="M287" s="606" t="s">
        <v>461</v>
      </c>
      <c r="N287" s="606" t="s">
        <v>461</v>
      </c>
      <c r="O287" s="606" t="s">
        <v>1542</v>
      </c>
    </row>
    <row r="288" spans="12:16" x14ac:dyDescent="0.3">
      <c r="L288" s="606" t="s">
        <v>1287</v>
      </c>
      <c r="M288" s="606" t="s">
        <v>461</v>
      </c>
      <c r="N288" s="606" t="s">
        <v>461</v>
      </c>
      <c r="O288" s="606"/>
    </row>
    <row r="289" spans="12:16" x14ac:dyDescent="0.3">
      <c r="L289" s="608" t="s">
        <v>438</v>
      </c>
      <c r="M289" s="608">
        <v>0.03</v>
      </c>
      <c r="N289" s="608">
        <v>0.05</v>
      </c>
      <c r="O289" s="606" t="s">
        <v>1451</v>
      </c>
      <c r="P289" s="615" t="s">
        <v>1447</v>
      </c>
    </row>
    <row r="290" spans="12:16" x14ac:dyDescent="0.3">
      <c r="L290" s="606" t="s">
        <v>439</v>
      </c>
      <c r="M290" s="606" t="s">
        <v>461</v>
      </c>
      <c r="N290" s="606" t="s">
        <v>461</v>
      </c>
      <c r="O290" s="606" t="s">
        <v>1542</v>
      </c>
    </row>
    <row r="291" spans="12:16" x14ac:dyDescent="0.3">
      <c r="L291" s="606" t="s">
        <v>390</v>
      </c>
      <c r="M291" s="606" t="s">
        <v>461</v>
      </c>
      <c r="N291" s="606" t="s">
        <v>461</v>
      </c>
      <c r="O291" s="606"/>
    </row>
    <row r="292" spans="12:16" x14ac:dyDescent="0.3">
      <c r="L292" s="606" t="s">
        <v>1288</v>
      </c>
      <c r="M292" s="606" t="s">
        <v>461</v>
      </c>
      <c r="N292" s="606" t="s">
        <v>461</v>
      </c>
      <c r="O292" s="606"/>
    </row>
    <row r="293" spans="12:16" x14ac:dyDescent="0.3">
      <c r="L293" s="606" t="s">
        <v>1289</v>
      </c>
      <c r="M293" s="606" t="s">
        <v>461</v>
      </c>
      <c r="N293" s="606" t="s">
        <v>461</v>
      </c>
      <c r="O293" s="606"/>
    </row>
    <row r="294" spans="12:16" x14ac:dyDescent="0.3">
      <c r="L294" s="606" t="s">
        <v>440</v>
      </c>
      <c r="M294" s="606" t="s">
        <v>461</v>
      </c>
      <c r="N294" s="606" t="s">
        <v>461</v>
      </c>
      <c r="O294" s="606"/>
    </row>
    <row r="295" spans="12:16" x14ac:dyDescent="0.3">
      <c r="L295" s="609" t="s">
        <v>1290</v>
      </c>
      <c r="M295" s="609">
        <v>0.03</v>
      </c>
      <c r="N295" s="609" t="s">
        <v>461</v>
      </c>
      <c r="O295" s="606" t="s">
        <v>1446</v>
      </c>
    </row>
    <row r="296" spans="12:16" x14ac:dyDescent="0.3">
      <c r="L296" s="606" t="s">
        <v>1291</v>
      </c>
      <c r="M296" s="606" t="s">
        <v>461</v>
      </c>
      <c r="N296" s="606" t="s">
        <v>461</v>
      </c>
      <c r="O296" s="606"/>
    </row>
    <row r="297" spans="12:16" x14ac:dyDescent="0.3">
      <c r="L297" s="606" t="s">
        <v>1292</v>
      </c>
      <c r="M297" s="606" t="s">
        <v>461</v>
      </c>
      <c r="N297" s="606" t="s">
        <v>461</v>
      </c>
      <c r="O297" s="606"/>
    </row>
    <row r="298" spans="12:16" x14ac:dyDescent="0.3">
      <c r="L298" s="606" t="s">
        <v>1293</v>
      </c>
      <c r="M298" s="606" t="s">
        <v>461</v>
      </c>
      <c r="N298" s="606" t="s">
        <v>461</v>
      </c>
      <c r="O298" s="606"/>
    </row>
    <row r="299" spans="12:16" x14ac:dyDescent="0.3">
      <c r="L299" s="606" t="s">
        <v>1294</v>
      </c>
      <c r="M299" s="606" t="s">
        <v>461</v>
      </c>
      <c r="N299" s="606" t="s">
        <v>461</v>
      </c>
      <c r="O299" s="606"/>
    </row>
    <row r="300" spans="12:16" x14ac:dyDescent="0.3">
      <c r="L300" s="606" t="s">
        <v>1295</v>
      </c>
      <c r="M300" s="606" t="s">
        <v>461</v>
      </c>
      <c r="N300" s="606" t="s">
        <v>461</v>
      </c>
      <c r="O300" s="606"/>
    </row>
    <row r="301" spans="12:16" x14ac:dyDescent="0.3">
      <c r="L301" s="606" t="s">
        <v>1296</v>
      </c>
      <c r="M301" s="606" t="s">
        <v>461</v>
      </c>
      <c r="N301" s="606" t="s">
        <v>461</v>
      </c>
      <c r="O301" s="606"/>
    </row>
    <row r="302" spans="12:16" x14ac:dyDescent="0.3">
      <c r="L302" s="606" t="s">
        <v>1297</v>
      </c>
      <c r="M302" s="606" t="s">
        <v>461</v>
      </c>
      <c r="N302" s="606" t="s">
        <v>461</v>
      </c>
      <c r="O302" s="606"/>
    </row>
    <row r="303" spans="12:16" x14ac:dyDescent="0.3">
      <c r="L303" s="606" t="s">
        <v>1298</v>
      </c>
      <c r="M303" s="606" t="s">
        <v>461</v>
      </c>
      <c r="N303" s="606" t="s">
        <v>461</v>
      </c>
      <c r="O303" s="606"/>
    </row>
    <row r="304" spans="12:16" x14ac:dyDescent="0.3">
      <c r="L304" s="606" t="s">
        <v>1299</v>
      </c>
      <c r="M304" s="606" t="s">
        <v>461</v>
      </c>
      <c r="N304" s="606" t="s">
        <v>461</v>
      </c>
      <c r="O304" s="606"/>
    </row>
    <row r="305" spans="12:15" x14ac:dyDescent="0.3">
      <c r="L305" s="606" t="s">
        <v>1300</v>
      </c>
      <c r="M305" s="606" t="s">
        <v>461</v>
      </c>
      <c r="N305" s="606" t="s">
        <v>461</v>
      </c>
      <c r="O305" s="606"/>
    </row>
    <row r="306" spans="12:15" x14ac:dyDescent="0.3">
      <c r="L306" s="606" t="s">
        <v>441</v>
      </c>
      <c r="M306" s="606" t="s">
        <v>461</v>
      </c>
      <c r="N306" s="606" t="s">
        <v>461</v>
      </c>
      <c r="O306" s="606"/>
    </row>
    <row r="307" spans="12:15" x14ac:dyDescent="0.3">
      <c r="L307" s="606" t="s">
        <v>1301</v>
      </c>
      <c r="M307" s="606" t="s">
        <v>461</v>
      </c>
      <c r="N307" s="606" t="s">
        <v>461</v>
      </c>
      <c r="O307" s="606"/>
    </row>
    <row r="308" spans="12:15" x14ac:dyDescent="0.3">
      <c r="L308" s="606" t="s">
        <v>1302</v>
      </c>
      <c r="M308" s="606" t="s">
        <v>461</v>
      </c>
      <c r="N308" s="606" t="s">
        <v>461</v>
      </c>
      <c r="O308" s="606"/>
    </row>
    <row r="309" spans="12:15" x14ac:dyDescent="0.3">
      <c r="L309" s="606" t="s">
        <v>1303</v>
      </c>
      <c r="M309" s="606" t="s">
        <v>461</v>
      </c>
      <c r="N309" s="606" t="s">
        <v>461</v>
      </c>
      <c r="O309" s="606"/>
    </row>
    <row r="310" spans="12:15" x14ac:dyDescent="0.3">
      <c r="L310" s="606" t="s">
        <v>1304</v>
      </c>
      <c r="M310" s="606" t="s">
        <v>461</v>
      </c>
      <c r="N310" s="606" t="s">
        <v>461</v>
      </c>
      <c r="O310" s="606"/>
    </row>
    <row r="311" spans="12:15" x14ac:dyDescent="0.3">
      <c r="L311" s="606" t="s">
        <v>1305</v>
      </c>
      <c r="M311" s="606" t="s">
        <v>461</v>
      </c>
      <c r="N311" s="606" t="s">
        <v>461</v>
      </c>
      <c r="O311" s="606"/>
    </row>
    <row r="312" spans="12:15" x14ac:dyDescent="0.3">
      <c r="L312" s="606" t="s">
        <v>820</v>
      </c>
      <c r="M312" s="606" t="s">
        <v>461</v>
      </c>
      <c r="N312" s="606" t="s">
        <v>461</v>
      </c>
      <c r="O312" s="606"/>
    </row>
    <row r="313" spans="12:15" x14ac:dyDescent="0.3">
      <c r="L313" s="606" t="s">
        <v>821</v>
      </c>
      <c r="M313" s="606" t="s">
        <v>461</v>
      </c>
      <c r="N313" s="606" t="s">
        <v>461</v>
      </c>
      <c r="O313" s="606"/>
    </row>
    <row r="314" spans="12:15" x14ac:dyDescent="0.3">
      <c r="L314" s="606" t="s">
        <v>1306</v>
      </c>
      <c r="M314" s="606" t="s">
        <v>461</v>
      </c>
      <c r="N314" s="606" t="s">
        <v>461</v>
      </c>
      <c r="O314" s="606"/>
    </row>
    <row r="315" spans="12:15" x14ac:dyDescent="0.3">
      <c r="L315" s="606" t="s">
        <v>1307</v>
      </c>
      <c r="M315" s="606" t="s">
        <v>461</v>
      </c>
      <c r="N315" s="606" t="s">
        <v>461</v>
      </c>
      <c r="O315" s="606"/>
    </row>
    <row r="316" spans="12:15" x14ac:dyDescent="0.3">
      <c r="L316" s="606" t="s">
        <v>1308</v>
      </c>
      <c r="M316" s="606" t="s">
        <v>461</v>
      </c>
      <c r="N316" s="606" t="s">
        <v>461</v>
      </c>
      <c r="O316" s="606"/>
    </row>
    <row r="317" spans="12:15" x14ac:dyDescent="0.3">
      <c r="L317" s="606" t="s">
        <v>1309</v>
      </c>
      <c r="M317" s="606" t="s">
        <v>461</v>
      </c>
      <c r="N317" s="606" t="s">
        <v>461</v>
      </c>
      <c r="O317" s="606"/>
    </row>
    <row r="318" spans="12:15" x14ac:dyDescent="0.3">
      <c r="L318" s="606" t="s">
        <v>516</v>
      </c>
      <c r="M318" s="606" t="s">
        <v>461</v>
      </c>
      <c r="N318" s="606" t="s">
        <v>461</v>
      </c>
      <c r="O318" s="606"/>
    </row>
    <row r="319" spans="12:15" x14ac:dyDescent="0.3">
      <c r="L319" s="606" t="s">
        <v>1310</v>
      </c>
      <c r="M319" s="606" t="s">
        <v>461</v>
      </c>
      <c r="N319" s="606" t="s">
        <v>461</v>
      </c>
      <c r="O319" s="606"/>
    </row>
    <row r="320" spans="12:15" x14ac:dyDescent="0.3">
      <c r="L320" s="606" t="s">
        <v>1311</v>
      </c>
      <c r="M320" s="606" t="s">
        <v>461</v>
      </c>
      <c r="N320" s="606" t="s">
        <v>461</v>
      </c>
      <c r="O320" s="606"/>
    </row>
    <row r="321" spans="12:15" x14ac:dyDescent="0.3">
      <c r="L321" s="606" t="s">
        <v>822</v>
      </c>
      <c r="M321" s="606" t="s">
        <v>461</v>
      </c>
      <c r="N321" s="606" t="s">
        <v>461</v>
      </c>
      <c r="O321" s="606"/>
    </row>
    <row r="322" spans="12:15" x14ac:dyDescent="0.3">
      <c r="L322" s="606" t="s">
        <v>1312</v>
      </c>
      <c r="M322" s="606" t="s">
        <v>461</v>
      </c>
      <c r="N322" s="606" t="s">
        <v>461</v>
      </c>
      <c r="O322" s="606"/>
    </row>
    <row r="323" spans="12:15" x14ac:dyDescent="0.3">
      <c r="L323" s="606" t="s">
        <v>1313</v>
      </c>
      <c r="M323" s="606" t="s">
        <v>461</v>
      </c>
      <c r="N323" s="606" t="s">
        <v>461</v>
      </c>
      <c r="O323" s="606"/>
    </row>
    <row r="324" spans="12:15" x14ac:dyDescent="0.3">
      <c r="L324" s="606" t="s">
        <v>1314</v>
      </c>
      <c r="M324" s="606" t="s">
        <v>461</v>
      </c>
      <c r="N324" s="606" t="s">
        <v>461</v>
      </c>
      <c r="O324" s="606"/>
    </row>
    <row r="325" spans="12:15" x14ac:dyDescent="0.3">
      <c r="L325" s="609" t="s">
        <v>1315</v>
      </c>
      <c r="M325" s="609">
        <v>0.01</v>
      </c>
      <c r="N325" s="609" t="s">
        <v>461</v>
      </c>
      <c r="O325" s="606" t="s">
        <v>1446</v>
      </c>
    </row>
    <row r="326" spans="12:15" x14ac:dyDescent="0.3">
      <c r="L326" s="606" t="s">
        <v>517</v>
      </c>
      <c r="M326" s="606" t="s">
        <v>461</v>
      </c>
      <c r="N326" s="606" t="s">
        <v>461</v>
      </c>
      <c r="O326" s="606"/>
    </row>
    <row r="327" spans="12:15" x14ac:dyDescent="0.3">
      <c r="L327" s="606" t="s">
        <v>1316</v>
      </c>
      <c r="M327" s="606" t="s">
        <v>461</v>
      </c>
      <c r="N327" s="606" t="s">
        <v>461</v>
      </c>
      <c r="O327" s="606"/>
    </row>
    <row r="328" spans="12:15" x14ac:dyDescent="0.3">
      <c r="L328" s="606" t="s">
        <v>1317</v>
      </c>
      <c r="M328" s="606" t="s">
        <v>461</v>
      </c>
      <c r="N328" s="606" t="s">
        <v>461</v>
      </c>
      <c r="O328" s="606"/>
    </row>
    <row r="329" spans="12:15" x14ac:dyDescent="0.3">
      <c r="L329" s="606" t="s">
        <v>1318</v>
      </c>
      <c r="M329" s="606" t="s">
        <v>461</v>
      </c>
      <c r="N329" s="606" t="s">
        <v>461</v>
      </c>
      <c r="O329" s="606"/>
    </row>
    <row r="330" spans="12:15" x14ac:dyDescent="0.3">
      <c r="L330" s="609" t="s">
        <v>1319</v>
      </c>
      <c r="M330" s="609">
        <v>0.05</v>
      </c>
      <c r="N330" s="609" t="s">
        <v>461</v>
      </c>
      <c r="O330" s="606" t="s">
        <v>1446</v>
      </c>
    </row>
    <row r="331" spans="12:15" x14ac:dyDescent="0.3">
      <c r="L331" s="606" t="s">
        <v>1320</v>
      </c>
      <c r="M331" s="606" t="s">
        <v>461</v>
      </c>
      <c r="N331" s="606" t="s">
        <v>461</v>
      </c>
      <c r="O331" s="606"/>
    </row>
    <row r="332" spans="12:15" x14ac:dyDescent="0.3">
      <c r="L332" s="606" t="s">
        <v>1321</v>
      </c>
      <c r="M332" s="606" t="s">
        <v>461</v>
      </c>
      <c r="N332" s="606" t="s">
        <v>461</v>
      </c>
      <c r="O332" s="606"/>
    </row>
    <row r="333" spans="12:15" x14ac:dyDescent="0.3">
      <c r="L333" s="606" t="s">
        <v>1322</v>
      </c>
      <c r="M333" s="606" t="s">
        <v>461</v>
      </c>
      <c r="N333" s="606" t="s">
        <v>461</v>
      </c>
      <c r="O333" s="606"/>
    </row>
    <row r="334" spans="12:15" x14ac:dyDescent="0.3">
      <c r="L334" s="606" t="s">
        <v>1323</v>
      </c>
      <c r="M334" s="606" t="s">
        <v>461</v>
      </c>
      <c r="N334" s="606" t="s">
        <v>461</v>
      </c>
      <c r="O334" s="606"/>
    </row>
    <row r="335" spans="12:15" x14ac:dyDescent="0.3">
      <c r="L335" s="606" t="s">
        <v>823</v>
      </c>
      <c r="M335" s="606" t="s">
        <v>461</v>
      </c>
      <c r="N335" s="606" t="s">
        <v>461</v>
      </c>
      <c r="O335" s="606"/>
    </row>
    <row r="336" spans="12:15" x14ac:dyDescent="0.3">
      <c r="L336" s="606" t="s">
        <v>518</v>
      </c>
      <c r="M336" s="606" t="s">
        <v>461</v>
      </c>
      <c r="N336" s="606" t="s">
        <v>461</v>
      </c>
      <c r="O336" s="606"/>
    </row>
    <row r="337" spans="12:16" x14ac:dyDescent="0.3">
      <c r="L337" s="606" t="s">
        <v>1324</v>
      </c>
      <c r="M337" s="606" t="s">
        <v>461</v>
      </c>
      <c r="N337" s="606" t="s">
        <v>461</v>
      </c>
      <c r="O337" s="606"/>
    </row>
    <row r="338" spans="12:16" x14ac:dyDescent="0.3">
      <c r="L338" s="606" t="s">
        <v>1325</v>
      </c>
      <c r="M338" s="606" t="s">
        <v>461</v>
      </c>
      <c r="N338" s="606" t="s">
        <v>461</v>
      </c>
      <c r="O338" s="606"/>
    </row>
    <row r="339" spans="12:16" x14ac:dyDescent="0.3">
      <c r="L339" s="606" t="s">
        <v>1326</v>
      </c>
      <c r="M339" s="606" t="s">
        <v>461</v>
      </c>
      <c r="N339" s="606" t="s">
        <v>461</v>
      </c>
      <c r="O339" s="606"/>
    </row>
    <row r="340" spans="12:16" x14ac:dyDescent="0.3">
      <c r="L340" s="606" t="s">
        <v>1327</v>
      </c>
      <c r="M340" s="606" t="s">
        <v>461</v>
      </c>
      <c r="N340" s="606" t="s">
        <v>461</v>
      </c>
      <c r="O340" s="606"/>
    </row>
    <row r="341" spans="12:16" x14ac:dyDescent="0.3">
      <c r="L341" s="606" t="s">
        <v>1328</v>
      </c>
      <c r="M341" s="606" t="s">
        <v>461</v>
      </c>
      <c r="N341" s="606" t="s">
        <v>461</v>
      </c>
      <c r="O341" s="606"/>
    </row>
    <row r="342" spans="12:16" x14ac:dyDescent="0.3">
      <c r="L342" s="606" t="s">
        <v>519</v>
      </c>
      <c r="M342" s="606" t="s">
        <v>461</v>
      </c>
      <c r="N342" s="606" t="s">
        <v>461</v>
      </c>
      <c r="O342" s="606"/>
    </row>
    <row r="343" spans="12:16" x14ac:dyDescent="0.3">
      <c r="L343" s="608" t="s">
        <v>1329</v>
      </c>
      <c r="M343" s="608">
        <v>0.03</v>
      </c>
      <c r="N343" s="608">
        <v>0.05</v>
      </c>
      <c r="O343" s="606" t="s">
        <v>1451</v>
      </c>
      <c r="P343" s="615" t="s">
        <v>1447</v>
      </c>
    </row>
    <row r="344" spans="12:16" x14ac:dyDescent="0.3">
      <c r="L344" s="606" t="s">
        <v>1330</v>
      </c>
      <c r="M344" s="606" t="s">
        <v>461</v>
      </c>
      <c r="N344" s="606" t="s">
        <v>461</v>
      </c>
      <c r="O344" s="606"/>
    </row>
    <row r="345" spans="12:16" x14ac:dyDescent="0.3">
      <c r="L345" s="606" t="s">
        <v>1331</v>
      </c>
      <c r="M345" s="606" t="s">
        <v>461</v>
      </c>
      <c r="N345" s="606" t="s">
        <v>461</v>
      </c>
      <c r="O345" s="606"/>
    </row>
    <row r="346" spans="12:16" x14ac:dyDescent="0.3">
      <c r="L346" s="606" t="s">
        <v>520</v>
      </c>
      <c r="M346" s="606" t="s">
        <v>461</v>
      </c>
      <c r="N346" s="606" t="s">
        <v>461</v>
      </c>
      <c r="O346" s="606"/>
    </row>
    <row r="347" spans="12:16" x14ac:dyDescent="0.3">
      <c r="L347" s="609" t="s">
        <v>1332</v>
      </c>
      <c r="M347" s="609">
        <v>0.03</v>
      </c>
      <c r="N347" s="609">
        <v>0.05</v>
      </c>
      <c r="O347" s="606" t="s">
        <v>1446</v>
      </c>
    </row>
    <row r="348" spans="12:16" x14ac:dyDescent="0.3">
      <c r="L348" s="606" t="s">
        <v>521</v>
      </c>
      <c r="M348" s="606" t="s">
        <v>461</v>
      </c>
      <c r="N348" s="606" t="s">
        <v>461</v>
      </c>
      <c r="O348" s="606"/>
    </row>
    <row r="349" spans="12:16" x14ac:dyDescent="0.3">
      <c r="L349" s="606" t="s">
        <v>522</v>
      </c>
      <c r="M349" s="606" t="s">
        <v>461</v>
      </c>
      <c r="N349" s="606" t="s">
        <v>461</v>
      </c>
      <c r="O349" s="606"/>
    </row>
    <row r="350" spans="12:16" x14ac:dyDescent="0.3">
      <c r="L350" s="606" t="s">
        <v>523</v>
      </c>
      <c r="M350" s="606" t="s">
        <v>461</v>
      </c>
      <c r="N350" s="606" t="s">
        <v>461</v>
      </c>
      <c r="O350" s="606"/>
    </row>
    <row r="351" spans="12:16" x14ac:dyDescent="0.3">
      <c r="L351" s="606" t="s">
        <v>1333</v>
      </c>
      <c r="M351" s="606" t="s">
        <v>461</v>
      </c>
      <c r="N351" s="606" t="s">
        <v>461</v>
      </c>
      <c r="O351" s="606"/>
    </row>
    <row r="352" spans="12:16" x14ac:dyDescent="0.3">
      <c r="L352" s="606" t="s">
        <v>1334</v>
      </c>
      <c r="M352" s="606" t="s">
        <v>461</v>
      </c>
      <c r="N352" s="606" t="s">
        <v>461</v>
      </c>
      <c r="O352" s="606"/>
    </row>
    <row r="353" spans="12:15" x14ac:dyDescent="0.3">
      <c r="L353" s="606" t="s">
        <v>1335</v>
      </c>
      <c r="M353" s="606" t="s">
        <v>461</v>
      </c>
      <c r="N353" s="606" t="s">
        <v>461</v>
      </c>
      <c r="O353" s="606"/>
    </row>
    <row r="354" spans="12:15" x14ac:dyDescent="0.3">
      <c r="L354" s="606" t="s">
        <v>525</v>
      </c>
      <c r="M354" s="606" t="s">
        <v>461</v>
      </c>
      <c r="N354" s="606" t="s">
        <v>461</v>
      </c>
      <c r="O354" s="606"/>
    </row>
    <row r="355" spans="12:15" x14ac:dyDescent="0.3">
      <c r="L355" s="606" t="s">
        <v>526</v>
      </c>
      <c r="M355" s="606" t="s">
        <v>461</v>
      </c>
      <c r="N355" s="606" t="s">
        <v>461</v>
      </c>
      <c r="O355" s="606" t="s">
        <v>1542</v>
      </c>
    </row>
    <row r="356" spans="12:15" x14ac:dyDescent="0.3">
      <c r="L356" s="606" t="s">
        <v>1336</v>
      </c>
      <c r="M356" s="606" t="s">
        <v>461</v>
      </c>
      <c r="N356" s="606" t="s">
        <v>461</v>
      </c>
      <c r="O356" s="606"/>
    </row>
    <row r="357" spans="12:15" x14ac:dyDescent="0.3">
      <c r="L357" s="606" t="s">
        <v>1337</v>
      </c>
      <c r="M357" s="606" t="s">
        <v>461</v>
      </c>
      <c r="N357" s="606" t="s">
        <v>461</v>
      </c>
      <c r="O357" s="606"/>
    </row>
    <row r="358" spans="12:15" x14ac:dyDescent="0.3">
      <c r="L358" s="606" t="s">
        <v>1338</v>
      </c>
      <c r="M358" s="606" t="s">
        <v>461</v>
      </c>
      <c r="N358" s="606" t="s">
        <v>461</v>
      </c>
      <c r="O358" s="606"/>
    </row>
    <row r="359" spans="12:15" x14ac:dyDescent="0.3">
      <c r="L359" s="606" t="s">
        <v>1339</v>
      </c>
      <c r="M359" s="606" t="s">
        <v>461</v>
      </c>
      <c r="N359" s="606" t="s">
        <v>461</v>
      </c>
      <c r="O359" s="606"/>
    </row>
    <row r="360" spans="12:15" x14ac:dyDescent="0.3">
      <c r="L360" s="606" t="s">
        <v>1340</v>
      </c>
      <c r="M360" s="606" t="s">
        <v>461</v>
      </c>
      <c r="N360" s="606" t="s">
        <v>461</v>
      </c>
      <c r="O360" s="606"/>
    </row>
    <row r="361" spans="12:15" x14ac:dyDescent="0.3">
      <c r="L361" s="606" t="s">
        <v>1341</v>
      </c>
      <c r="M361" s="606" t="s">
        <v>461</v>
      </c>
      <c r="N361" s="606" t="s">
        <v>461</v>
      </c>
      <c r="O361" s="606"/>
    </row>
    <row r="362" spans="12:15" x14ac:dyDescent="0.3">
      <c r="L362" s="606" t="s">
        <v>1342</v>
      </c>
      <c r="M362" s="606" t="s">
        <v>461</v>
      </c>
      <c r="N362" s="606" t="s">
        <v>461</v>
      </c>
      <c r="O362" s="606"/>
    </row>
    <row r="363" spans="12:15" x14ac:dyDescent="0.3">
      <c r="L363" s="606" t="s">
        <v>1343</v>
      </c>
      <c r="M363" s="606" t="s">
        <v>461</v>
      </c>
      <c r="N363" s="606" t="s">
        <v>461</v>
      </c>
      <c r="O363" s="606"/>
    </row>
    <row r="364" spans="12:15" x14ac:dyDescent="0.3">
      <c r="L364" s="606" t="s">
        <v>1344</v>
      </c>
      <c r="M364" s="606" t="s">
        <v>461</v>
      </c>
      <c r="N364" s="606" t="s">
        <v>461</v>
      </c>
      <c r="O364" s="606"/>
    </row>
    <row r="365" spans="12:15" x14ac:dyDescent="0.3">
      <c r="L365" s="606" t="s">
        <v>1345</v>
      </c>
      <c r="M365" s="606" t="s">
        <v>461</v>
      </c>
      <c r="N365" s="606" t="s">
        <v>461</v>
      </c>
      <c r="O365" s="606"/>
    </row>
    <row r="366" spans="12:15" x14ac:dyDescent="0.3">
      <c r="L366" s="606" t="s">
        <v>1346</v>
      </c>
      <c r="M366" s="606" t="s">
        <v>461</v>
      </c>
      <c r="N366" s="606" t="s">
        <v>461</v>
      </c>
      <c r="O366" s="606"/>
    </row>
    <row r="367" spans="12:15" x14ac:dyDescent="0.3">
      <c r="L367" s="606" t="s">
        <v>1347</v>
      </c>
      <c r="M367" s="606" t="s">
        <v>461</v>
      </c>
      <c r="N367" s="606" t="s">
        <v>461</v>
      </c>
      <c r="O367" s="606"/>
    </row>
    <row r="368" spans="12:15" x14ac:dyDescent="0.3">
      <c r="L368" s="606" t="s">
        <v>1348</v>
      </c>
      <c r="M368" s="606" t="s">
        <v>461</v>
      </c>
      <c r="N368" s="606" t="s">
        <v>461</v>
      </c>
      <c r="O368" s="606"/>
    </row>
    <row r="369" spans="12:16" x14ac:dyDescent="0.3">
      <c r="L369" s="606" t="s">
        <v>1349</v>
      </c>
      <c r="M369" s="606" t="s">
        <v>461</v>
      </c>
      <c r="N369" s="606" t="s">
        <v>461</v>
      </c>
      <c r="O369" s="606"/>
    </row>
    <row r="370" spans="12:16" x14ac:dyDescent="0.3">
      <c r="L370" s="606" t="s">
        <v>1350</v>
      </c>
      <c r="M370" s="606" t="s">
        <v>461</v>
      </c>
      <c r="N370" s="606" t="s">
        <v>461</v>
      </c>
      <c r="O370" s="606"/>
    </row>
    <row r="371" spans="12:16" x14ac:dyDescent="0.3">
      <c r="L371" s="606" t="s">
        <v>1351</v>
      </c>
      <c r="M371" s="606" t="s">
        <v>461</v>
      </c>
      <c r="N371" s="606" t="s">
        <v>461</v>
      </c>
      <c r="O371" s="606"/>
    </row>
    <row r="372" spans="12:16" x14ac:dyDescent="0.3">
      <c r="L372" s="608" t="s">
        <v>528</v>
      </c>
      <c r="M372" s="608">
        <v>0.03</v>
      </c>
      <c r="N372" s="608">
        <v>0.05</v>
      </c>
      <c r="O372" s="606" t="s">
        <v>1451</v>
      </c>
      <c r="P372" s="615" t="s">
        <v>1447</v>
      </c>
    </row>
    <row r="373" spans="12:16" x14ac:dyDescent="0.3">
      <c r="L373" s="606" t="s">
        <v>529</v>
      </c>
      <c r="M373" s="606" t="s">
        <v>461</v>
      </c>
      <c r="N373" s="606" t="s">
        <v>461</v>
      </c>
      <c r="O373" s="606"/>
    </row>
    <row r="374" spans="12:16" x14ac:dyDescent="0.3">
      <c r="L374" s="606" t="s">
        <v>1352</v>
      </c>
      <c r="M374" s="606" t="s">
        <v>461</v>
      </c>
      <c r="N374" s="606" t="s">
        <v>461</v>
      </c>
      <c r="O374" s="606"/>
    </row>
    <row r="375" spans="12:16" x14ac:dyDescent="0.3">
      <c r="L375" s="606" t="s">
        <v>1353</v>
      </c>
      <c r="M375" s="606" t="s">
        <v>461</v>
      </c>
      <c r="N375" s="606" t="s">
        <v>461</v>
      </c>
      <c r="O375" s="606"/>
    </row>
    <row r="376" spans="12:16" x14ac:dyDescent="0.3">
      <c r="L376" s="606" t="s">
        <v>1354</v>
      </c>
      <c r="M376" s="606" t="s">
        <v>461</v>
      </c>
      <c r="N376" s="606" t="s">
        <v>461</v>
      </c>
      <c r="O376" s="606"/>
    </row>
    <row r="377" spans="12:16" x14ac:dyDescent="0.3">
      <c r="L377" s="606" t="s">
        <v>1355</v>
      </c>
      <c r="M377" s="606" t="s">
        <v>461</v>
      </c>
      <c r="N377" s="606" t="s">
        <v>461</v>
      </c>
      <c r="O377" s="606"/>
    </row>
    <row r="378" spans="12:16" x14ac:dyDescent="0.3">
      <c r="L378" s="606" t="s">
        <v>1356</v>
      </c>
      <c r="M378" s="606" t="s">
        <v>461</v>
      </c>
      <c r="N378" s="606" t="s">
        <v>461</v>
      </c>
      <c r="O378" s="606" t="s">
        <v>1542</v>
      </c>
    </row>
    <row r="379" spans="12:16" x14ac:dyDescent="0.3">
      <c r="L379" s="609" t="s">
        <v>1357</v>
      </c>
      <c r="M379" s="609" t="s">
        <v>461</v>
      </c>
      <c r="N379" s="609" t="s">
        <v>461</v>
      </c>
      <c r="O379" s="606" t="s">
        <v>1446</v>
      </c>
    </row>
    <row r="380" spans="12:16" x14ac:dyDescent="0.3">
      <c r="L380" s="606" t="s">
        <v>1358</v>
      </c>
      <c r="M380" s="606" t="s">
        <v>461</v>
      </c>
      <c r="N380" s="606" t="s">
        <v>461</v>
      </c>
      <c r="O380" s="606"/>
    </row>
    <row r="381" spans="12:16" x14ac:dyDescent="0.3">
      <c r="L381" s="606" t="s">
        <v>1359</v>
      </c>
      <c r="M381" s="606" t="s">
        <v>461</v>
      </c>
      <c r="N381" s="606" t="s">
        <v>461</v>
      </c>
      <c r="O381" s="606"/>
    </row>
    <row r="382" spans="12:16" x14ac:dyDescent="0.3">
      <c r="L382" s="606" t="s">
        <v>1360</v>
      </c>
      <c r="M382" s="606" t="s">
        <v>461</v>
      </c>
      <c r="N382" s="606" t="s">
        <v>461</v>
      </c>
      <c r="O382" s="606"/>
    </row>
    <row r="383" spans="12:16" x14ac:dyDescent="0.3">
      <c r="L383" s="606" t="s">
        <v>824</v>
      </c>
      <c r="M383" s="606" t="s">
        <v>461</v>
      </c>
      <c r="N383" s="606" t="s">
        <v>461</v>
      </c>
      <c r="O383" s="606"/>
    </row>
    <row r="384" spans="12:16" x14ac:dyDescent="0.3">
      <c r="L384" s="606" t="s">
        <v>1361</v>
      </c>
      <c r="M384" s="606" t="s">
        <v>461</v>
      </c>
      <c r="N384" s="606" t="s">
        <v>461</v>
      </c>
      <c r="O384" s="606"/>
    </row>
    <row r="385" spans="12:16" x14ac:dyDescent="0.3">
      <c r="L385" s="606" t="s">
        <v>530</v>
      </c>
      <c r="M385" s="606" t="s">
        <v>461</v>
      </c>
      <c r="N385" s="606" t="s">
        <v>461</v>
      </c>
      <c r="O385" s="606"/>
    </row>
    <row r="386" spans="12:16" x14ac:dyDescent="0.3">
      <c r="L386" s="606" t="s">
        <v>531</v>
      </c>
      <c r="M386" s="606" t="s">
        <v>461</v>
      </c>
      <c r="N386" s="606" t="s">
        <v>461</v>
      </c>
      <c r="O386" s="606"/>
    </row>
    <row r="387" spans="12:16" x14ac:dyDescent="0.3">
      <c r="L387" s="606" t="s">
        <v>1362</v>
      </c>
      <c r="M387" s="606" t="s">
        <v>461</v>
      </c>
      <c r="N387" s="606" t="s">
        <v>461</v>
      </c>
      <c r="O387" s="606"/>
    </row>
    <row r="388" spans="12:16" x14ac:dyDescent="0.3">
      <c r="L388" s="606" t="s">
        <v>1363</v>
      </c>
      <c r="M388" s="606" t="s">
        <v>461</v>
      </c>
      <c r="N388" s="606" t="s">
        <v>461</v>
      </c>
      <c r="O388" s="606"/>
    </row>
    <row r="389" spans="12:16" x14ac:dyDescent="0.3">
      <c r="L389" s="606" t="s">
        <v>532</v>
      </c>
      <c r="M389" s="606" t="s">
        <v>461</v>
      </c>
      <c r="N389" s="606" t="s">
        <v>461</v>
      </c>
      <c r="O389" s="606"/>
    </row>
    <row r="390" spans="12:16" x14ac:dyDescent="0.3">
      <c r="L390" s="606" t="s">
        <v>533</v>
      </c>
      <c r="M390" s="606" t="s">
        <v>461</v>
      </c>
      <c r="N390" s="606" t="s">
        <v>461</v>
      </c>
      <c r="O390" s="606"/>
    </row>
    <row r="391" spans="12:16" x14ac:dyDescent="0.3">
      <c r="L391" s="606" t="s">
        <v>1364</v>
      </c>
      <c r="M391" s="606" t="s">
        <v>461</v>
      </c>
      <c r="N391" s="606" t="s">
        <v>461</v>
      </c>
      <c r="O391" s="606"/>
    </row>
    <row r="392" spans="12:16" x14ac:dyDescent="0.3">
      <c r="L392" s="606" t="s">
        <v>1365</v>
      </c>
      <c r="M392" s="606" t="s">
        <v>461</v>
      </c>
      <c r="N392" s="606" t="s">
        <v>461</v>
      </c>
      <c r="O392" s="606"/>
    </row>
    <row r="393" spans="12:16" x14ac:dyDescent="0.3">
      <c r="L393" s="606" t="s">
        <v>534</v>
      </c>
      <c r="M393" s="606" t="s">
        <v>461</v>
      </c>
      <c r="N393" s="606" t="s">
        <v>461</v>
      </c>
      <c r="O393" s="606"/>
    </row>
    <row r="394" spans="12:16" x14ac:dyDescent="0.3">
      <c r="L394" s="606" t="s">
        <v>1366</v>
      </c>
      <c r="M394" s="606" t="s">
        <v>461</v>
      </c>
      <c r="N394" s="606" t="s">
        <v>461</v>
      </c>
      <c r="O394" s="606"/>
    </row>
    <row r="395" spans="12:16" x14ac:dyDescent="0.3">
      <c r="L395" s="606" t="s">
        <v>535</v>
      </c>
      <c r="M395" s="606" t="s">
        <v>461</v>
      </c>
      <c r="N395" s="606" t="s">
        <v>461</v>
      </c>
      <c r="O395" s="606"/>
    </row>
    <row r="396" spans="12:16" x14ac:dyDescent="0.3">
      <c r="L396" s="606" t="s">
        <v>1367</v>
      </c>
      <c r="M396" s="606" t="s">
        <v>461</v>
      </c>
      <c r="N396" s="606" t="s">
        <v>461</v>
      </c>
      <c r="O396" s="606"/>
    </row>
    <row r="397" spans="12:16" x14ac:dyDescent="0.3">
      <c r="L397" s="606" t="s">
        <v>1368</v>
      </c>
      <c r="M397" s="606" t="s">
        <v>461</v>
      </c>
      <c r="N397" s="606" t="s">
        <v>461</v>
      </c>
      <c r="O397" s="606"/>
    </row>
    <row r="398" spans="12:16" x14ac:dyDescent="0.3">
      <c r="L398" s="606" t="s">
        <v>1369</v>
      </c>
      <c r="M398" s="606" t="s">
        <v>461</v>
      </c>
      <c r="N398" s="606" t="s">
        <v>461</v>
      </c>
      <c r="O398" s="606"/>
    </row>
    <row r="399" spans="12:16" x14ac:dyDescent="0.3">
      <c r="L399" s="608" t="s">
        <v>536</v>
      </c>
      <c r="M399" s="608">
        <v>0.03</v>
      </c>
      <c r="N399" s="608">
        <v>0.05</v>
      </c>
      <c r="O399" s="606" t="s">
        <v>1451</v>
      </c>
      <c r="P399" s="615" t="s">
        <v>1447</v>
      </c>
    </row>
    <row r="400" spans="12:16" x14ac:dyDescent="0.3">
      <c r="L400" s="606" t="s">
        <v>1370</v>
      </c>
      <c r="M400" s="606" t="s">
        <v>461</v>
      </c>
      <c r="N400" s="606" t="s">
        <v>461</v>
      </c>
      <c r="O400" s="606"/>
    </row>
    <row r="401" spans="12:16" x14ac:dyDescent="0.3">
      <c r="L401" s="606" t="s">
        <v>1371</v>
      </c>
      <c r="M401" s="606" t="s">
        <v>461</v>
      </c>
      <c r="N401" s="606" t="s">
        <v>461</v>
      </c>
      <c r="O401" s="606"/>
    </row>
    <row r="402" spans="12:16" x14ac:dyDescent="0.3">
      <c r="L402" s="606" t="s">
        <v>1372</v>
      </c>
      <c r="M402" s="606" t="s">
        <v>461</v>
      </c>
      <c r="N402" s="606" t="s">
        <v>461</v>
      </c>
      <c r="O402" s="606"/>
    </row>
    <row r="403" spans="12:16" x14ac:dyDescent="0.3">
      <c r="L403" s="606" t="s">
        <v>537</v>
      </c>
      <c r="M403" s="606" t="s">
        <v>461</v>
      </c>
      <c r="N403" s="606" t="s">
        <v>461</v>
      </c>
      <c r="O403" s="606"/>
    </row>
    <row r="404" spans="12:16" x14ac:dyDescent="0.3">
      <c r="L404" s="606" t="s">
        <v>825</v>
      </c>
      <c r="M404" s="606" t="s">
        <v>461</v>
      </c>
      <c r="N404" s="606" t="s">
        <v>461</v>
      </c>
      <c r="O404" s="606"/>
    </row>
    <row r="405" spans="12:16" x14ac:dyDescent="0.3">
      <c r="L405" s="606" t="s">
        <v>1373</v>
      </c>
      <c r="M405" s="606" t="s">
        <v>461</v>
      </c>
      <c r="N405" s="606" t="s">
        <v>461</v>
      </c>
      <c r="O405" s="606"/>
    </row>
    <row r="406" spans="12:16" x14ac:dyDescent="0.3">
      <c r="L406" s="606" t="s">
        <v>1374</v>
      </c>
      <c r="M406" s="606" t="s">
        <v>461</v>
      </c>
      <c r="N406" s="606" t="s">
        <v>461</v>
      </c>
      <c r="O406" s="606"/>
    </row>
    <row r="407" spans="12:16" x14ac:dyDescent="0.3">
      <c r="L407" s="606" t="s">
        <v>1375</v>
      </c>
      <c r="M407" s="606" t="s">
        <v>461</v>
      </c>
      <c r="N407" s="606" t="s">
        <v>461</v>
      </c>
      <c r="O407" s="606"/>
    </row>
    <row r="408" spans="12:16" x14ac:dyDescent="0.3">
      <c r="L408" s="606" t="s">
        <v>538</v>
      </c>
      <c r="M408" s="606" t="s">
        <v>461</v>
      </c>
      <c r="N408" s="606" t="s">
        <v>461</v>
      </c>
      <c r="O408" s="606"/>
    </row>
    <row r="409" spans="12:16" x14ac:dyDescent="0.3">
      <c r="L409" s="606" t="s">
        <v>1376</v>
      </c>
      <c r="M409" s="606" t="s">
        <v>461</v>
      </c>
      <c r="N409" s="606" t="s">
        <v>461</v>
      </c>
      <c r="O409" s="606"/>
    </row>
    <row r="410" spans="12:16" x14ac:dyDescent="0.3">
      <c r="L410" s="608" t="s">
        <v>539</v>
      </c>
      <c r="M410" s="608">
        <v>0.03</v>
      </c>
      <c r="N410" s="608">
        <v>0.05</v>
      </c>
      <c r="O410" s="606" t="s">
        <v>1451</v>
      </c>
      <c r="P410" s="615" t="s">
        <v>1447</v>
      </c>
    </row>
    <row r="411" spans="12:16" x14ac:dyDescent="0.3">
      <c r="L411" s="606" t="s">
        <v>391</v>
      </c>
      <c r="M411" s="606" t="s">
        <v>461</v>
      </c>
      <c r="N411" s="606" t="s">
        <v>461</v>
      </c>
      <c r="O411" s="606"/>
    </row>
    <row r="412" spans="12:16" x14ac:dyDescent="0.3">
      <c r="L412" s="606" t="s">
        <v>1377</v>
      </c>
      <c r="M412" s="606" t="s">
        <v>461</v>
      </c>
      <c r="N412" s="606" t="s">
        <v>461</v>
      </c>
      <c r="O412" s="606"/>
    </row>
    <row r="413" spans="12:16" x14ac:dyDescent="0.3">
      <c r="L413" s="608" t="s">
        <v>1378</v>
      </c>
      <c r="M413" s="608">
        <v>0.03</v>
      </c>
      <c r="N413" s="608">
        <v>0.05</v>
      </c>
      <c r="O413" s="606" t="s">
        <v>1451</v>
      </c>
      <c r="P413" s="615" t="s">
        <v>1447</v>
      </c>
    </row>
    <row r="414" spans="12:16" x14ac:dyDescent="0.3">
      <c r="L414" s="606" t="s">
        <v>1379</v>
      </c>
      <c r="M414" s="606" t="s">
        <v>461</v>
      </c>
      <c r="N414" s="606" t="s">
        <v>461</v>
      </c>
      <c r="O414" s="606"/>
    </row>
    <row r="415" spans="12:16" x14ac:dyDescent="0.3">
      <c r="L415" s="606" t="s">
        <v>540</v>
      </c>
      <c r="M415" s="606" t="s">
        <v>461</v>
      </c>
      <c r="N415" s="606" t="s">
        <v>461</v>
      </c>
      <c r="O415" s="606"/>
    </row>
    <row r="416" spans="12:16" x14ac:dyDescent="0.3">
      <c r="L416" s="606" t="s">
        <v>1380</v>
      </c>
      <c r="M416" s="606" t="s">
        <v>461</v>
      </c>
      <c r="N416" s="606" t="s">
        <v>461</v>
      </c>
      <c r="O416" s="606"/>
    </row>
    <row r="417" spans="12:15" x14ac:dyDescent="0.3">
      <c r="L417" s="606" t="s">
        <v>1381</v>
      </c>
      <c r="M417" s="606" t="s">
        <v>461</v>
      </c>
      <c r="N417" s="606" t="s">
        <v>461</v>
      </c>
      <c r="O417" s="606"/>
    </row>
    <row r="418" spans="12:15" x14ac:dyDescent="0.3">
      <c r="L418" s="606" t="s">
        <v>826</v>
      </c>
      <c r="M418" s="606" t="s">
        <v>461</v>
      </c>
      <c r="N418" s="606" t="s">
        <v>461</v>
      </c>
      <c r="O418" s="606"/>
    </row>
    <row r="419" spans="12:15" x14ac:dyDescent="0.3">
      <c r="L419" s="606" t="s">
        <v>827</v>
      </c>
      <c r="M419" s="606" t="s">
        <v>461</v>
      </c>
      <c r="N419" s="606" t="s">
        <v>461</v>
      </c>
      <c r="O419" s="606"/>
    </row>
    <row r="420" spans="12:15" x14ac:dyDescent="0.3">
      <c r="L420" s="606" t="s">
        <v>828</v>
      </c>
      <c r="M420" s="606" t="s">
        <v>461</v>
      </c>
      <c r="N420" s="606" t="s">
        <v>461</v>
      </c>
      <c r="O420" s="606"/>
    </row>
    <row r="421" spans="12:15" x14ac:dyDescent="0.3">
      <c r="L421" s="606" t="s">
        <v>829</v>
      </c>
      <c r="M421" s="606" t="s">
        <v>461</v>
      </c>
      <c r="N421" s="606" t="s">
        <v>461</v>
      </c>
      <c r="O421" s="606"/>
    </row>
    <row r="422" spans="12:15" x14ac:dyDescent="0.3">
      <c r="L422" s="606" t="s">
        <v>1382</v>
      </c>
      <c r="M422" s="606" t="s">
        <v>461</v>
      </c>
      <c r="N422" s="606" t="s">
        <v>461</v>
      </c>
      <c r="O422" s="606"/>
    </row>
    <row r="423" spans="12:15" x14ac:dyDescent="0.3">
      <c r="L423" s="606" t="s">
        <v>1383</v>
      </c>
      <c r="M423" s="606" t="s">
        <v>461</v>
      </c>
      <c r="N423" s="606" t="s">
        <v>461</v>
      </c>
      <c r="O423" s="606"/>
    </row>
    <row r="424" spans="12:15" x14ac:dyDescent="0.3">
      <c r="L424" s="606" t="s">
        <v>830</v>
      </c>
      <c r="M424" s="606" t="s">
        <v>461</v>
      </c>
      <c r="N424" s="606" t="s">
        <v>461</v>
      </c>
      <c r="O424" s="606"/>
    </row>
    <row r="425" spans="12:15" x14ac:dyDescent="0.3">
      <c r="L425" s="606" t="s">
        <v>1384</v>
      </c>
      <c r="M425" s="606" t="s">
        <v>461</v>
      </c>
      <c r="N425" s="606" t="s">
        <v>461</v>
      </c>
      <c r="O425" s="606"/>
    </row>
    <row r="426" spans="12:15" x14ac:dyDescent="0.3">
      <c r="L426" s="606" t="s">
        <v>1385</v>
      </c>
      <c r="M426" s="606" t="s">
        <v>461</v>
      </c>
      <c r="N426" s="606" t="s">
        <v>461</v>
      </c>
      <c r="O426" s="606"/>
    </row>
    <row r="427" spans="12:15" x14ac:dyDescent="0.3">
      <c r="L427" s="606" t="s">
        <v>1386</v>
      </c>
      <c r="M427" s="606" t="s">
        <v>461</v>
      </c>
      <c r="N427" s="606" t="s">
        <v>461</v>
      </c>
      <c r="O427" s="606"/>
    </row>
    <row r="428" spans="12:15" x14ac:dyDescent="0.3">
      <c r="L428" s="606" t="s">
        <v>1387</v>
      </c>
      <c r="M428" s="606" t="s">
        <v>461</v>
      </c>
      <c r="N428" s="606" t="s">
        <v>461</v>
      </c>
      <c r="O428" s="606"/>
    </row>
    <row r="429" spans="12:15" x14ac:dyDescent="0.3">
      <c r="L429" s="606" t="s">
        <v>1388</v>
      </c>
      <c r="M429" s="606" t="s">
        <v>461</v>
      </c>
      <c r="N429" s="606" t="s">
        <v>461</v>
      </c>
      <c r="O429" s="606"/>
    </row>
    <row r="430" spans="12:15" x14ac:dyDescent="0.3">
      <c r="L430" s="606" t="s">
        <v>1389</v>
      </c>
      <c r="M430" s="606" t="s">
        <v>461</v>
      </c>
      <c r="N430" s="606" t="s">
        <v>461</v>
      </c>
      <c r="O430" s="606"/>
    </row>
    <row r="431" spans="12:15" x14ac:dyDescent="0.3">
      <c r="L431" s="606" t="s">
        <v>1390</v>
      </c>
      <c r="M431" s="606" t="s">
        <v>461</v>
      </c>
      <c r="N431" s="606" t="s">
        <v>461</v>
      </c>
      <c r="O431" s="606"/>
    </row>
    <row r="432" spans="12:15" x14ac:dyDescent="0.3">
      <c r="L432" s="606" t="s">
        <v>1391</v>
      </c>
      <c r="M432" s="606" t="s">
        <v>461</v>
      </c>
      <c r="N432" s="606" t="s">
        <v>461</v>
      </c>
      <c r="O432" s="606"/>
    </row>
    <row r="433" spans="12:16" x14ac:dyDescent="0.3">
      <c r="L433" s="606" t="s">
        <v>1392</v>
      </c>
      <c r="M433" s="606" t="s">
        <v>461</v>
      </c>
      <c r="N433" s="606" t="s">
        <v>461</v>
      </c>
      <c r="O433" s="606"/>
    </row>
    <row r="434" spans="12:16" x14ac:dyDescent="0.3">
      <c r="L434" s="606" t="s">
        <v>1393</v>
      </c>
      <c r="M434" s="606" t="s">
        <v>461</v>
      </c>
      <c r="N434" s="606" t="s">
        <v>461</v>
      </c>
      <c r="O434" s="606"/>
    </row>
    <row r="435" spans="12:16" x14ac:dyDescent="0.3">
      <c r="L435" s="608" t="s">
        <v>542</v>
      </c>
      <c r="M435" s="608">
        <v>0.03</v>
      </c>
      <c r="N435" s="608">
        <v>0.05</v>
      </c>
      <c r="O435" s="606" t="s">
        <v>1451</v>
      </c>
      <c r="P435" s="615" t="s">
        <v>1447</v>
      </c>
    </row>
    <row r="436" spans="12:16" x14ac:dyDescent="0.3">
      <c r="L436" s="606" t="s">
        <v>1394</v>
      </c>
      <c r="M436" s="606" t="s">
        <v>461</v>
      </c>
      <c r="N436" s="606" t="s">
        <v>461</v>
      </c>
      <c r="O436" s="606"/>
    </row>
    <row r="437" spans="12:16" x14ac:dyDescent="0.3">
      <c r="L437" s="606" t="s">
        <v>1395</v>
      </c>
      <c r="M437" s="606" t="s">
        <v>461</v>
      </c>
      <c r="N437" s="606" t="s">
        <v>461</v>
      </c>
      <c r="O437" s="606"/>
    </row>
    <row r="438" spans="12:16" x14ac:dyDescent="0.3">
      <c r="L438" s="606" t="s">
        <v>543</v>
      </c>
      <c r="M438" s="606" t="s">
        <v>461</v>
      </c>
      <c r="N438" s="606" t="s">
        <v>461</v>
      </c>
      <c r="O438" s="606"/>
    </row>
    <row r="439" spans="12:16" x14ac:dyDescent="0.3">
      <c r="L439" s="608" t="s">
        <v>1396</v>
      </c>
      <c r="M439" s="608">
        <v>0.03</v>
      </c>
      <c r="N439" s="608">
        <v>0.05</v>
      </c>
      <c r="O439" s="606" t="s">
        <v>1451</v>
      </c>
      <c r="P439" s="615" t="s">
        <v>1447</v>
      </c>
    </row>
    <row r="440" spans="12:16" x14ac:dyDescent="0.3">
      <c r="L440" s="606" t="s">
        <v>1397</v>
      </c>
      <c r="M440" s="606" t="s">
        <v>461</v>
      </c>
      <c r="N440" s="606" t="s">
        <v>461</v>
      </c>
      <c r="O440" s="606"/>
    </row>
    <row r="441" spans="12:16" x14ac:dyDescent="0.3">
      <c r="L441" s="606" t="s">
        <v>1398</v>
      </c>
      <c r="M441" s="606" t="s">
        <v>461</v>
      </c>
      <c r="N441" s="606" t="s">
        <v>461</v>
      </c>
      <c r="O441" s="606"/>
    </row>
    <row r="442" spans="12:16" x14ac:dyDescent="0.3">
      <c r="L442" s="606" t="s">
        <v>1399</v>
      </c>
      <c r="M442" s="606" t="s">
        <v>461</v>
      </c>
      <c r="N442" s="606" t="s">
        <v>461</v>
      </c>
      <c r="O442" s="606"/>
    </row>
    <row r="443" spans="12:16" x14ac:dyDescent="0.3">
      <c r="L443" s="606" t="s">
        <v>1400</v>
      </c>
      <c r="M443" s="606" t="s">
        <v>461</v>
      </c>
      <c r="N443" s="606" t="s">
        <v>461</v>
      </c>
      <c r="O443" s="606"/>
    </row>
    <row r="444" spans="12:16" x14ac:dyDescent="0.3">
      <c r="L444" s="606" t="s">
        <v>544</v>
      </c>
      <c r="M444" s="606" t="s">
        <v>461</v>
      </c>
      <c r="N444" s="606" t="s">
        <v>461</v>
      </c>
      <c r="O444" s="606" t="s">
        <v>1542</v>
      </c>
    </row>
    <row r="445" spans="12:16" x14ac:dyDescent="0.3">
      <c r="L445" s="609" t="s">
        <v>1401</v>
      </c>
      <c r="M445" s="609">
        <v>0.03</v>
      </c>
      <c r="N445" s="610" t="s">
        <v>461</v>
      </c>
      <c r="O445" s="606" t="s">
        <v>1446</v>
      </c>
    </row>
    <row r="446" spans="12:16" x14ac:dyDescent="0.3">
      <c r="L446" s="606" t="s">
        <v>831</v>
      </c>
      <c r="M446" s="606" t="s">
        <v>461</v>
      </c>
      <c r="N446" s="606" t="s">
        <v>461</v>
      </c>
      <c r="O446" s="606"/>
    </row>
    <row r="447" spans="12:16" x14ac:dyDescent="0.3">
      <c r="L447" s="606" t="s">
        <v>1402</v>
      </c>
      <c r="M447" s="606" t="s">
        <v>461</v>
      </c>
      <c r="N447" s="606" t="s">
        <v>461</v>
      </c>
      <c r="O447" s="606"/>
    </row>
    <row r="448" spans="12:16" x14ac:dyDescent="0.3">
      <c r="L448" s="606" t="s">
        <v>1403</v>
      </c>
      <c r="M448" s="606" t="s">
        <v>461</v>
      </c>
      <c r="N448" s="606" t="s">
        <v>461</v>
      </c>
      <c r="O448" s="606"/>
    </row>
    <row r="449" spans="12:16" x14ac:dyDescent="0.3">
      <c r="L449" s="608" t="s">
        <v>1404</v>
      </c>
      <c r="M449" s="608">
        <v>0.03</v>
      </c>
      <c r="N449" s="608">
        <v>0.05</v>
      </c>
      <c r="O449" s="606" t="s">
        <v>1451</v>
      </c>
      <c r="P449" s="615" t="s">
        <v>1447</v>
      </c>
    </row>
    <row r="450" spans="12:16" x14ac:dyDescent="0.3">
      <c r="L450" s="606" t="s">
        <v>545</v>
      </c>
      <c r="M450" s="606" t="s">
        <v>461</v>
      </c>
      <c r="N450" s="606" t="s">
        <v>461</v>
      </c>
      <c r="O450" s="606"/>
    </row>
    <row r="451" spans="12:16" x14ac:dyDescent="0.3">
      <c r="L451" s="606" t="s">
        <v>1405</v>
      </c>
      <c r="M451" s="606" t="s">
        <v>461</v>
      </c>
      <c r="N451" s="606" t="s">
        <v>461</v>
      </c>
      <c r="O451" s="606"/>
    </row>
    <row r="452" spans="12:16" x14ac:dyDescent="0.3">
      <c r="L452" s="606" t="s">
        <v>1406</v>
      </c>
      <c r="M452" s="606" t="s">
        <v>461</v>
      </c>
      <c r="N452" s="606" t="s">
        <v>461</v>
      </c>
      <c r="O452" s="606"/>
    </row>
    <row r="453" spans="12:16" x14ac:dyDescent="0.3">
      <c r="L453" s="608" t="s">
        <v>1407</v>
      </c>
      <c r="M453" s="608">
        <v>0.03</v>
      </c>
      <c r="N453" s="608">
        <v>0.05</v>
      </c>
      <c r="O453" s="606" t="s">
        <v>1451</v>
      </c>
      <c r="P453" s="615" t="s">
        <v>1447</v>
      </c>
    </row>
    <row r="454" spans="12:16" x14ac:dyDescent="0.3">
      <c r="L454" s="606" t="s">
        <v>1408</v>
      </c>
      <c r="M454" s="606" t="s">
        <v>461</v>
      </c>
      <c r="N454" s="606" t="s">
        <v>461</v>
      </c>
      <c r="O454" s="606"/>
    </row>
    <row r="455" spans="12:16" x14ac:dyDescent="0.3">
      <c r="L455" s="606" t="s">
        <v>1409</v>
      </c>
      <c r="M455" s="606" t="s">
        <v>461</v>
      </c>
      <c r="N455" s="606" t="s">
        <v>461</v>
      </c>
      <c r="O455" s="606"/>
    </row>
    <row r="456" spans="12:16" x14ac:dyDescent="0.3">
      <c r="L456" s="606" t="s">
        <v>1410</v>
      </c>
      <c r="M456" s="606" t="s">
        <v>461</v>
      </c>
      <c r="N456" s="606" t="s">
        <v>461</v>
      </c>
      <c r="O456" s="606"/>
    </row>
    <row r="457" spans="12:16" x14ac:dyDescent="0.3">
      <c r="L457" s="606" t="s">
        <v>1421</v>
      </c>
      <c r="M457" s="606" t="s">
        <v>461</v>
      </c>
      <c r="N457" s="606" t="s">
        <v>461</v>
      </c>
      <c r="O457" s="606"/>
    </row>
    <row r="458" spans="12:16" x14ac:dyDescent="0.3">
      <c r="L458" s="606" t="s">
        <v>1411</v>
      </c>
      <c r="M458" s="606" t="s">
        <v>461</v>
      </c>
      <c r="N458" s="606" t="s">
        <v>461</v>
      </c>
      <c r="O458" s="606"/>
    </row>
    <row r="459" spans="12:16" x14ac:dyDescent="0.3">
      <c r="L459" s="606" t="s">
        <v>1412</v>
      </c>
      <c r="M459" s="606" t="s">
        <v>461</v>
      </c>
      <c r="N459" s="606" t="s">
        <v>461</v>
      </c>
      <c r="O459" s="606"/>
    </row>
    <row r="460" spans="12:16" x14ac:dyDescent="0.3">
      <c r="L460" s="606" t="s">
        <v>546</v>
      </c>
      <c r="M460" s="606" t="s">
        <v>461</v>
      </c>
      <c r="N460" s="606" t="s">
        <v>461</v>
      </c>
      <c r="O460" s="606"/>
    </row>
    <row r="461" spans="12:16" x14ac:dyDescent="0.3">
      <c r="L461" s="606" t="s">
        <v>1413</v>
      </c>
      <c r="M461" s="606" t="s">
        <v>461</v>
      </c>
      <c r="N461" s="606" t="s">
        <v>461</v>
      </c>
      <c r="O461" s="606"/>
    </row>
    <row r="462" spans="12:16" x14ac:dyDescent="0.3">
      <c r="L462" s="606" t="s">
        <v>980</v>
      </c>
      <c r="M462" s="606" t="s">
        <v>461</v>
      </c>
      <c r="N462" s="606" t="s">
        <v>461</v>
      </c>
      <c r="O462" s="606"/>
    </row>
    <row r="463" spans="12:16" x14ac:dyDescent="0.3">
      <c r="L463" s="606" t="s">
        <v>981</v>
      </c>
      <c r="M463" s="606" t="s">
        <v>461</v>
      </c>
      <c r="N463" s="606" t="s">
        <v>461</v>
      </c>
      <c r="O463" s="606"/>
    </row>
    <row r="464" spans="12:16" x14ac:dyDescent="0.3">
      <c r="L464" s="606" t="s">
        <v>982</v>
      </c>
      <c r="M464" s="606" t="s">
        <v>461</v>
      </c>
      <c r="N464" s="606" t="s">
        <v>461</v>
      </c>
      <c r="O464" s="606"/>
    </row>
    <row r="465" spans="12:15" x14ac:dyDescent="0.3">
      <c r="L465" s="606" t="s">
        <v>983</v>
      </c>
      <c r="M465" s="606" t="s">
        <v>461</v>
      </c>
      <c r="N465" s="606" t="s">
        <v>461</v>
      </c>
      <c r="O465" s="606"/>
    </row>
    <row r="466" spans="12:15" x14ac:dyDescent="0.3">
      <c r="L466" s="606" t="s">
        <v>984</v>
      </c>
      <c r="M466" s="606" t="s">
        <v>461</v>
      </c>
      <c r="N466" s="606" t="s">
        <v>461</v>
      </c>
      <c r="O466" s="606"/>
    </row>
    <row r="467" spans="12:15" x14ac:dyDescent="0.3">
      <c r="L467" s="606" t="s">
        <v>985</v>
      </c>
      <c r="M467" s="606" t="s">
        <v>461</v>
      </c>
      <c r="N467" s="606" t="s">
        <v>461</v>
      </c>
      <c r="O467" s="606"/>
    </row>
    <row r="468" spans="12:15" x14ac:dyDescent="0.3">
      <c r="L468" s="606" t="s">
        <v>832</v>
      </c>
      <c r="M468" s="606" t="s">
        <v>461</v>
      </c>
      <c r="N468" s="606" t="s">
        <v>461</v>
      </c>
      <c r="O468" s="606"/>
    </row>
    <row r="469" spans="12:15" x14ac:dyDescent="0.3">
      <c r="L469" s="606" t="s">
        <v>986</v>
      </c>
      <c r="M469" s="606" t="s">
        <v>461</v>
      </c>
      <c r="N469" s="606" t="s">
        <v>461</v>
      </c>
      <c r="O469" s="606" t="s">
        <v>1542</v>
      </c>
    </row>
    <row r="470" spans="12:15" x14ac:dyDescent="0.3">
      <c r="L470" s="606" t="s">
        <v>987</v>
      </c>
      <c r="M470" s="606" t="s">
        <v>461</v>
      </c>
      <c r="N470" s="606" t="s">
        <v>461</v>
      </c>
      <c r="O470" s="606"/>
    </row>
    <row r="471" spans="12:15" x14ac:dyDescent="0.3">
      <c r="L471" s="609" t="s">
        <v>988</v>
      </c>
      <c r="M471" s="609" t="s">
        <v>461</v>
      </c>
      <c r="N471" s="609" t="s">
        <v>461</v>
      </c>
      <c r="O471" s="606" t="s">
        <v>1446</v>
      </c>
    </row>
    <row r="472" spans="12:15" x14ac:dyDescent="0.3">
      <c r="L472" s="606" t="s">
        <v>989</v>
      </c>
      <c r="M472" s="606" t="s">
        <v>461</v>
      </c>
      <c r="N472" s="606" t="s">
        <v>461</v>
      </c>
      <c r="O472" s="606"/>
    </row>
    <row r="473" spans="12:15" x14ac:dyDescent="0.3">
      <c r="L473" s="606" t="s">
        <v>990</v>
      </c>
      <c r="M473" s="606" t="s">
        <v>461</v>
      </c>
      <c r="N473" s="606" t="s">
        <v>461</v>
      </c>
      <c r="O473" s="606"/>
    </row>
    <row r="474" spans="12:15" x14ac:dyDescent="0.3">
      <c r="L474" s="606" t="s">
        <v>991</v>
      </c>
      <c r="M474" s="606" t="s">
        <v>461</v>
      </c>
      <c r="N474" s="606" t="s">
        <v>461</v>
      </c>
      <c r="O474" s="606"/>
    </row>
    <row r="475" spans="12:15" x14ac:dyDescent="0.3">
      <c r="L475" s="606" t="s">
        <v>992</v>
      </c>
      <c r="M475" s="606" t="s">
        <v>461</v>
      </c>
      <c r="N475" s="606" t="s">
        <v>461</v>
      </c>
      <c r="O475" s="606"/>
    </row>
    <row r="476" spans="12:15" x14ac:dyDescent="0.3">
      <c r="L476" s="606" t="s">
        <v>833</v>
      </c>
      <c r="M476" s="606" t="s">
        <v>461</v>
      </c>
      <c r="N476" s="606" t="s">
        <v>461</v>
      </c>
      <c r="O476" s="606"/>
    </row>
    <row r="477" spans="12:15" x14ac:dyDescent="0.3">
      <c r="L477" s="606" t="s">
        <v>993</v>
      </c>
      <c r="M477" s="606" t="s">
        <v>461</v>
      </c>
      <c r="N477" s="606" t="s">
        <v>461</v>
      </c>
      <c r="O477" s="606"/>
    </row>
    <row r="478" spans="12:15" x14ac:dyDescent="0.3">
      <c r="L478" s="606" t="s">
        <v>994</v>
      </c>
      <c r="M478" s="606" t="s">
        <v>461</v>
      </c>
      <c r="N478" s="606" t="s">
        <v>461</v>
      </c>
      <c r="O478" s="606"/>
    </row>
    <row r="479" spans="12:15" x14ac:dyDescent="0.3">
      <c r="L479" s="606" t="s">
        <v>995</v>
      </c>
      <c r="M479" s="606" t="s">
        <v>461</v>
      </c>
      <c r="N479" s="606" t="s">
        <v>461</v>
      </c>
      <c r="O479" s="606"/>
    </row>
    <row r="480" spans="12:15" x14ac:dyDescent="0.3">
      <c r="L480" s="606" t="s">
        <v>996</v>
      </c>
      <c r="M480" s="606" t="s">
        <v>461</v>
      </c>
      <c r="N480" s="606" t="s">
        <v>461</v>
      </c>
      <c r="O480" s="606"/>
    </row>
    <row r="481" spans="12:16" x14ac:dyDescent="0.3">
      <c r="L481" s="606" t="s">
        <v>997</v>
      </c>
      <c r="M481" s="606" t="s">
        <v>461</v>
      </c>
      <c r="N481" s="606" t="s">
        <v>461</v>
      </c>
      <c r="O481" s="606"/>
    </row>
    <row r="482" spans="12:16" x14ac:dyDescent="0.3">
      <c r="L482" s="606" t="s">
        <v>998</v>
      </c>
      <c r="M482" s="606" t="s">
        <v>461</v>
      </c>
      <c r="N482" s="606" t="s">
        <v>461</v>
      </c>
      <c r="O482" s="606"/>
    </row>
    <row r="483" spans="12:16" x14ac:dyDescent="0.3">
      <c r="L483" s="606" t="s">
        <v>999</v>
      </c>
      <c r="M483" s="606" t="s">
        <v>461</v>
      </c>
      <c r="N483" s="606" t="s">
        <v>461</v>
      </c>
      <c r="O483" s="606"/>
    </row>
    <row r="484" spans="12:16" x14ac:dyDescent="0.3">
      <c r="L484" s="606" t="s">
        <v>1000</v>
      </c>
      <c r="M484" s="606" t="s">
        <v>461</v>
      </c>
      <c r="N484" s="606" t="s">
        <v>461</v>
      </c>
      <c r="O484" s="606"/>
    </row>
    <row r="485" spans="12:16" x14ac:dyDescent="0.3">
      <c r="L485" s="606" t="s">
        <v>834</v>
      </c>
      <c r="M485" s="606" t="s">
        <v>461</v>
      </c>
      <c r="N485" s="606" t="s">
        <v>461</v>
      </c>
      <c r="O485" s="606"/>
    </row>
    <row r="486" spans="12:16" x14ac:dyDescent="0.3">
      <c r="L486" s="606" t="s">
        <v>1001</v>
      </c>
      <c r="M486" s="606" t="s">
        <v>461</v>
      </c>
      <c r="N486" s="606" t="s">
        <v>461</v>
      </c>
      <c r="O486" s="606"/>
    </row>
    <row r="487" spans="12:16" x14ac:dyDescent="0.3">
      <c r="L487" s="608" t="s">
        <v>1002</v>
      </c>
      <c r="M487" s="608">
        <v>0.03</v>
      </c>
      <c r="N487" s="608">
        <v>0.05</v>
      </c>
      <c r="O487" s="606" t="s">
        <v>1451</v>
      </c>
      <c r="P487" s="615" t="s">
        <v>1447</v>
      </c>
    </row>
    <row r="488" spans="12:16" x14ac:dyDescent="0.3">
      <c r="L488" s="606" t="s">
        <v>547</v>
      </c>
      <c r="M488" s="606" t="s">
        <v>461</v>
      </c>
      <c r="N488" s="606" t="s">
        <v>461</v>
      </c>
      <c r="O488" s="606"/>
    </row>
    <row r="489" spans="12:16" x14ac:dyDescent="0.3">
      <c r="L489" s="606" t="s">
        <v>548</v>
      </c>
      <c r="M489" s="606" t="s">
        <v>461</v>
      </c>
      <c r="N489" s="606" t="s">
        <v>461</v>
      </c>
      <c r="O489" s="606"/>
    </row>
    <row r="490" spans="12:16" x14ac:dyDescent="0.3">
      <c r="L490" s="606" t="s">
        <v>835</v>
      </c>
      <c r="M490" s="606" t="s">
        <v>461</v>
      </c>
      <c r="N490" s="606" t="s">
        <v>461</v>
      </c>
      <c r="O490" s="606"/>
    </row>
    <row r="491" spans="12:16" x14ac:dyDescent="0.3">
      <c r="L491" s="606" t="s">
        <v>1003</v>
      </c>
      <c r="M491" s="606" t="s">
        <v>461</v>
      </c>
      <c r="N491" s="606" t="s">
        <v>461</v>
      </c>
      <c r="O491" s="606"/>
    </row>
    <row r="492" spans="12:16" x14ac:dyDescent="0.3">
      <c r="L492" s="606" t="s">
        <v>1004</v>
      </c>
      <c r="M492" s="606" t="s">
        <v>461</v>
      </c>
      <c r="N492" s="606" t="s">
        <v>461</v>
      </c>
      <c r="O492" s="606"/>
    </row>
    <row r="493" spans="12:16" x14ac:dyDescent="0.3">
      <c r="L493" s="606" t="s">
        <v>1005</v>
      </c>
      <c r="M493" s="606" t="s">
        <v>461</v>
      </c>
      <c r="N493" s="606" t="s">
        <v>461</v>
      </c>
      <c r="O493" s="606"/>
    </row>
    <row r="494" spans="12:16" x14ac:dyDescent="0.3">
      <c r="L494" s="606" t="s">
        <v>1006</v>
      </c>
      <c r="M494" s="606" t="s">
        <v>461</v>
      </c>
      <c r="N494" s="606" t="s">
        <v>461</v>
      </c>
      <c r="O494" s="606"/>
    </row>
    <row r="495" spans="12:16" x14ac:dyDescent="0.3">
      <c r="L495" s="606" t="s">
        <v>1007</v>
      </c>
      <c r="M495" s="606" t="s">
        <v>461</v>
      </c>
      <c r="N495" s="606" t="s">
        <v>461</v>
      </c>
      <c r="O495" s="606"/>
    </row>
    <row r="496" spans="12:16" x14ac:dyDescent="0.3">
      <c r="L496" s="606" t="s">
        <v>1008</v>
      </c>
      <c r="M496" s="606" t="s">
        <v>461</v>
      </c>
      <c r="N496" s="606" t="s">
        <v>461</v>
      </c>
      <c r="O496" s="606"/>
    </row>
    <row r="497" spans="12:16" x14ac:dyDescent="0.3">
      <c r="L497" s="606" t="s">
        <v>1009</v>
      </c>
      <c r="M497" s="606" t="s">
        <v>461</v>
      </c>
      <c r="N497" s="606" t="s">
        <v>461</v>
      </c>
      <c r="O497" s="606"/>
    </row>
    <row r="498" spans="12:16" x14ac:dyDescent="0.3">
      <c r="L498" s="606" t="s">
        <v>1010</v>
      </c>
      <c r="M498" s="606" t="s">
        <v>461</v>
      </c>
      <c r="N498" s="606" t="s">
        <v>461</v>
      </c>
      <c r="O498" s="606"/>
    </row>
    <row r="499" spans="12:16" x14ac:dyDescent="0.3">
      <c r="L499" s="606" t="s">
        <v>549</v>
      </c>
      <c r="M499" s="606" t="s">
        <v>461</v>
      </c>
      <c r="N499" s="606" t="s">
        <v>461</v>
      </c>
      <c r="O499" s="606"/>
    </row>
    <row r="500" spans="12:16" x14ac:dyDescent="0.3">
      <c r="L500" s="606" t="s">
        <v>1011</v>
      </c>
      <c r="M500" s="606" t="s">
        <v>461</v>
      </c>
      <c r="N500" s="606" t="s">
        <v>461</v>
      </c>
      <c r="O500" s="606"/>
    </row>
    <row r="501" spans="12:16" x14ac:dyDescent="0.3">
      <c r="L501" s="606" t="s">
        <v>1012</v>
      </c>
      <c r="M501" s="606" t="s">
        <v>461</v>
      </c>
      <c r="N501" s="606" t="s">
        <v>461</v>
      </c>
      <c r="O501" s="606"/>
    </row>
    <row r="502" spans="12:16" x14ac:dyDescent="0.3">
      <c r="L502" s="606" t="s">
        <v>1013</v>
      </c>
      <c r="M502" s="606" t="s">
        <v>461</v>
      </c>
      <c r="N502" s="606" t="s">
        <v>461</v>
      </c>
      <c r="O502" s="606"/>
    </row>
    <row r="503" spans="12:16" x14ac:dyDescent="0.3">
      <c r="L503" s="606" t="s">
        <v>551</v>
      </c>
      <c r="M503" s="606" t="s">
        <v>461</v>
      </c>
      <c r="N503" s="606" t="s">
        <v>461</v>
      </c>
      <c r="O503" s="606"/>
    </row>
    <row r="504" spans="12:16" x14ac:dyDescent="0.3">
      <c r="L504" s="606" t="s">
        <v>1014</v>
      </c>
      <c r="M504" s="606" t="s">
        <v>461</v>
      </c>
      <c r="N504" s="606" t="s">
        <v>461</v>
      </c>
      <c r="O504" s="606"/>
    </row>
    <row r="505" spans="12:16" x14ac:dyDescent="0.3">
      <c r="L505" s="606" t="s">
        <v>1015</v>
      </c>
      <c r="M505" s="606" t="s">
        <v>461</v>
      </c>
      <c r="N505" s="606" t="s">
        <v>461</v>
      </c>
      <c r="O505" s="606"/>
    </row>
    <row r="506" spans="12:16" x14ac:dyDescent="0.3">
      <c r="L506" s="606" t="s">
        <v>552</v>
      </c>
      <c r="M506" s="606" t="s">
        <v>461</v>
      </c>
      <c r="N506" s="606" t="s">
        <v>461</v>
      </c>
      <c r="O506" s="606"/>
    </row>
    <row r="507" spans="12:16" x14ac:dyDescent="0.3">
      <c r="L507" s="606" t="s">
        <v>836</v>
      </c>
      <c r="M507" s="606" t="s">
        <v>461</v>
      </c>
      <c r="N507" s="606" t="s">
        <v>461</v>
      </c>
      <c r="O507" s="606"/>
    </row>
    <row r="508" spans="12:16" x14ac:dyDescent="0.3">
      <c r="L508" s="606" t="s">
        <v>1016</v>
      </c>
      <c r="M508" s="606" t="s">
        <v>461</v>
      </c>
      <c r="N508" s="606" t="s">
        <v>461</v>
      </c>
      <c r="O508" s="606"/>
    </row>
    <row r="509" spans="12:16" x14ac:dyDescent="0.3">
      <c r="L509" s="606" t="s">
        <v>1017</v>
      </c>
      <c r="M509" s="606" t="s">
        <v>461</v>
      </c>
      <c r="N509" s="606" t="s">
        <v>461</v>
      </c>
      <c r="O509" s="606"/>
    </row>
    <row r="510" spans="12:16" x14ac:dyDescent="0.3">
      <c r="L510" s="606" t="s">
        <v>1018</v>
      </c>
      <c r="M510" s="606" t="s">
        <v>461</v>
      </c>
      <c r="N510" s="606" t="s">
        <v>461</v>
      </c>
      <c r="O510" s="606"/>
    </row>
    <row r="511" spans="12:16" x14ac:dyDescent="0.3">
      <c r="L511" s="608" t="s">
        <v>397</v>
      </c>
      <c r="M511" s="608">
        <v>0.03</v>
      </c>
      <c r="N511" s="608">
        <v>0.05</v>
      </c>
      <c r="O511" s="606" t="s">
        <v>1451</v>
      </c>
      <c r="P511" s="615" t="s">
        <v>1447</v>
      </c>
    </row>
    <row r="512" spans="12:16" x14ac:dyDescent="0.3">
      <c r="L512" s="606" t="s">
        <v>1019</v>
      </c>
      <c r="M512" s="606" t="s">
        <v>461</v>
      </c>
      <c r="N512" s="606" t="s">
        <v>461</v>
      </c>
      <c r="O512" s="606"/>
    </row>
    <row r="513" spans="12:16" x14ac:dyDescent="0.3">
      <c r="L513" s="606" t="s">
        <v>1020</v>
      </c>
      <c r="M513" s="606" t="s">
        <v>461</v>
      </c>
      <c r="N513" s="606" t="s">
        <v>461</v>
      </c>
      <c r="O513" s="606"/>
    </row>
    <row r="514" spans="12:16" x14ac:dyDescent="0.3">
      <c r="L514" s="606" t="s">
        <v>1021</v>
      </c>
      <c r="M514" s="606" t="s">
        <v>461</v>
      </c>
      <c r="N514" s="606" t="s">
        <v>461</v>
      </c>
      <c r="O514" s="606"/>
    </row>
    <row r="515" spans="12:16" x14ac:dyDescent="0.3">
      <c r="L515" s="606" t="s">
        <v>1022</v>
      </c>
      <c r="M515" s="606" t="s">
        <v>461</v>
      </c>
      <c r="N515" s="606" t="s">
        <v>461</v>
      </c>
      <c r="O515" s="606"/>
    </row>
    <row r="516" spans="12:16" x14ac:dyDescent="0.3">
      <c r="L516" s="606" t="s">
        <v>837</v>
      </c>
      <c r="M516" s="606" t="s">
        <v>461</v>
      </c>
      <c r="N516" s="606" t="s">
        <v>461</v>
      </c>
      <c r="O516" s="606"/>
    </row>
    <row r="517" spans="12:16" x14ac:dyDescent="0.3">
      <c r="L517" s="606" t="s">
        <v>1023</v>
      </c>
      <c r="M517" s="606" t="s">
        <v>461</v>
      </c>
      <c r="N517" s="606" t="s">
        <v>461</v>
      </c>
      <c r="O517" s="606" t="s">
        <v>1542</v>
      </c>
    </row>
    <row r="518" spans="12:16" x14ac:dyDescent="0.3">
      <c r="L518" s="606" t="s">
        <v>838</v>
      </c>
      <c r="M518" s="606" t="s">
        <v>461</v>
      </c>
      <c r="N518" s="606" t="s">
        <v>461</v>
      </c>
      <c r="O518" s="606"/>
    </row>
    <row r="519" spans="12:16" x14ac:dyDescent="0.3">
      <c r="L519" s="606" t="s">
        <v>1024</v>
      </c>
      <c r="M519" s="606" t="s">
        <v>461</v>
      </c>
      <c r="N519" s="606" t="s">
        <v>461</v>
      </c>
      <c r="O519" s="606"/>
    </row>
    <row r="520" spans="12:16" x14ac:dyDescent="0.3">
      <c r="L520" s="608" t="s">
        <v>1025</v>
      </c>
      <c r="M520" s="608">
        <v>0.03</v>
      </c>
      <c r="N520" s="608">
        <v>0.05</v>
      </c>
      <c r="O520" s="606" t="s">
        <v>1451</v>
      </c>
      <c r="P520" s="615" t="s">
        <v>1447</v>
      </c>
    </row>
    <row r="521" spans="12:16" x14ac:dyDescent="0.3">
      <c r="L521" s="606" t="s">
        <v>1026</v>
      </c>
      <c r="M521" s="606" t="s">
        <v>461</v>
      </c>
      <c r="N521" s="606" t="s">
        <v>461</v>
      </c>
      <c r="O521" s="606"/>
    </row>
    <row r="522" spans="12:16" x14ac:dyDescent="0.3">
      <c r="L522" s="606" t="s">
        <v>1027</v>
      </c>
      <c r="M522" s="606" t="s">
        <v>461</v>
      </c>
      <c r="N522" s="606" t="s">
        <v>461</v>
      </c>
      <c r="O522" s="606"/>
    </row>
    <row r="523" spans="12:16" x14ac:dyDescent="0.3">
      <c r="L523" s="606" t="s">
        <v>1028</v>
      </c>
      <c r="M523" s="606" t="s">
        <v>461</v>
      </c>
      <c r="N523" s="606" t="s">
        <v>461</v>
      </c>
      <c r="O523" s="606"/>
    </row>
    <row r="524" spans="12:16" x14ac:dyDescent="0.3">
      <c r="L524" s="606" t="s">
        <v>1029</v>
      </c>
      <c r="M524" s="606" t="s">
        <v>461</v>
      </c>
      <c r="N524" s="606" t="s">
        <v>461</v>
      </c>
      <c r="O524" s="606" t="s">
        <v>1542</v>
      </c>
    </row>
    <row r="525" spans="12:16" x14ac:dyDescent="0.3">
      <c r="L525" s="606" t="s">
        <v>1030</v>
      </c>
      <c r="M525" s="606" t="s">
        <v>461</v>
      </c>
      <c r="N525" s="606" t="s">
        <v>461</v>
      </c>
      <c r="O525" s="606"/>
    </row>
    <row r="526" spans="12:16" x14ac:dyDescent="0.3">
      <c r="L526" s="606" t="s">
        <v>1031</v>
      </c>
      <c r="M526" s="606" t="s">
        <v>461</v>
      </c>
      <c r="N526" s="606" t="s">
        <v>461</v>
      </c>
      <c r="O526" s="606"/>
    </row>
    <row r="527" spans="12:16" x14ac:dyDescent="0.3">
      <c r="L527" s="606" t="s">
        <v>1032</v>
      </c>
      <c r="M527" s="606" t="s">
        <v>461</v>
      </c>
      <c r="N527" s="606" t="s">
        <v>461</v>
      </c>
      <c r="O527" s="606"/>
    </row>
    <row r="528" spans="12:16" x14ac:dyDescent="0.3">
      <c r="L528" s="606" t="s">
        <v>1033</v>
      </c>
      <c r="M528" s="606" t="s">
        <v>461</v>
      </c>
      <c r="N528" s="606" t="s">
        <v>461</v>
      </c>
      <c r="O528" s="606"/>
    </row>
    <row r="529" spans="12:16" x14ac:dyDescent="0.3">
      <c r="L529" s="606" t="s">
        <v>1034</v>
      </c>
      <c r="M529" s="606" t="s">
        <v>461</v>
      </c>
      <c r="N529" s="606" t="s">
        <v>461</v>
      </c>
      <c r="O529" s="606"/>
    </row>
    <row r="530" spans="12:16" x14ac:dyDescent="0.3">
      <c r="L530" s="606" t="s">
        <v>1035</v>
      </c>
      <c r="M530" s="606" t="s">
        <v>461</v>
      </c>
      <c r="N530" s="606" t="s">
        <v>461</v>
      </c>
      <c r="O530" s="606"/>
    </row>
    <row r="531" spans="12:16" x14ac:dyDescent="0.3">
      <c r="L531" s="606" t="s">
        <v>1036</v>
      </c>
      <c r="M531" s="606" t="s">
        <v>461</v>
      </c>
      <c r="N531" s="606" t="s">
        <v>461</v>
      </c>
      <c r="O531" s="606"/>
    </row>
    <row r="532" spans="12:16" x14ac:dyDescent="0.3">
      <c r="L532" s="606" t="s">
        <v>1037</v>
      </c>
      <c r="M532" s="606" t="s">
        <v>461</v>
      </c>
      <c r="N532" s="606" t="s">
        <v>461</v>
      </c>
      <c r="O532" s="606"/>
    </row>
    <row r="533" spans="12:16" x14ac:dyDescent="0.3">
      <c r="L533" s="606" t="s">
        <v>1038</v>
      </c>
      <c r="M533" s="606" t="s">
        <v>461</v>
      </c>
      <c r="N533" s="606" t="s">
        <v>461</v>
      </c>
      <c r="O533" s="606"/>
    </row>
    <row r="534" spans="12:16" x14ac:dyDescent="0.3">
      <c r="L534" s="606" t="s">
        <v>553</v>
      </c>
      <c r="M534" s="606" t="s">
        <v>461</v>
      </c>
      <c r="N534" s="606" t="s">
        <v>461</v>
      </c>
      <c r="O534" s="606"/>
    </row>
    <row r="535" spans="12:16" x14ac:dyDescent="0.3">
      <c r="L535" s="606" t="s">
        <v>839</v>
      </c>
      <c r="M535" s="606" t="s">
        <v>461</v>
      </c>
      <c r="N535" s="606" t="s">
        <v>461</v>
      </c>
      <c r="O535" s="606"/>
    </row>
    <row r="536" spans="12:16" x14ac:dyDescent="0.3">
      <c r="L536" s="606" t="s">
        <v>1039</v>
      </c>
      <c r="M536" s="606" t="s">
        <v>461</v>
      </c>
      <c r="N536" s="606" t="s">
        <v>461</v>
      </c>
      <c r="O536" s="606"/>
    </row>
    <row r="537" spans="12:16" x14ac:dyDescent="0.3">
      <c r="L537" s="606" t="s">
        <v>1040</v>
      </c>
      <c r="M537" s="606" t="s">
        <v>461</v>
      </c>
      <c r="N537" s="606" t="s">
        <v>461</v>
      </c>
      <c r="O537" s="606"/>
    </row>
    <row r="538" spans="12:16" x14ac:dyDescent="0.3">
      <c r="L538" s="606" t="s">
        <v>554</v>
      </c>
      <c r="M538" s="606" t="s">
        <v>461</v>
      </c>
      <c r="N538" s="606" t="s">
        <v>461</v>
      </c>
      <c r="O538" s="606"/>
    </row>
    <row r="539" spans="12:16" x14ac:dyDescent="0.3">
      <c r="L539" s="606" t="s">
        <v>1041</v>
      </c>
      <c r="M539" s="606" t="s">
        <v>461</v>
      </c>
      <c r="N539" s="606" t="s">
        <v>461</v>
      </c>
      <c r="O539" s="606"/>
    </row>
    <row r="540" spans="12:16" x14ac:dyDescent="0.3">
      <c r="L540" s="606" t="s">
        <v>398</v>
      </c>
      <c r="M540" s="606" t="s">
        <v>461</v>
      </c>
      <c r="N540" s="606" t="s">
        <v>461</v>
      </c>
      <c r="O540" s="606"/>
    </row>
    <row r="541" spans="12:16" x14ac:dyDescent="0.3">
      <c r="L541" s="608" t="s">
        <v>1042</v>
      </c>
      <c r="M541" s="608">
        <v>0.03</v>
      </c>
      <c r="N541" s="608">
        <v>0.05</v>
      </c>
      <c r="O541" s="606" t="s">
        <v>1451</v>
      </c>
      <c r="P541" s="615" t="s">
        <v>1447</v>
      </c>
    </row>
    <row r="542" spans="12:16" x14ac:dyDescent="0.3">
      <c r="L542" s="606" t="s">
        <v>1043</v>
      </c>
      <c r="M542" s="606" t="s">
        <v>461</v>
      </c>
      <c r="N542" s="606" t="s">
        <v>461</v>
      </c>
      <c r="O542" s="606"/>
    </row>
    <row r="543" spans="12:16" x14ac:dyDescent="0.3">
      <c r="L543" s="606" t="s">
        <v>1044</v>
      </c>
      <c r="M543" s="606" t="s">
        <v>461</v>
      </c>
      <c r="N543" s="606" t="s">
        <v>461</v>
      </c>
      <c r="O543" s="606" t="s">
        <v>1542</v>
      </c>
    </row>
    <row r="544" spans="12:16" x14ac:dyDescent="0.3">
      <c r="L544" s="606" t="s">
        <v>1045</v>
      </c>
      <c r="M544" s="606" t="s">
        <v>461</v>
      </c>
      <c r="N544" s="606" t="s">
        <v>461</v>
      </c>
      <c r="O544" s="606"/>
    </row>
    <row r="545" spans="12:15" x14ac:dyDescent="0.3">
      <c r="L545" s="606" t="s">
        <v>1046</v>
      </c>
      <c r="M545" s="606" t="s">
        <v>461</v>
      </c>
      <c r="N545" s="606" t="s">
        <v>461</v>
      </c>
      <c r="O545" s="606"/>
    </row>
    <row r="546" spans="12:15" x14ac:dyDescent="0.3">
      <c r="L546" s="606" t="s">
        <v>399</v>
      </c>
      <c r="M546" s="606" t="s">
        <v>461</v>
      </c>
      <c r="N546" s="606" t="s">
        <v>461</v>
      </c>
      <c r="O546" s="606"/>
    </row>
    <row r="547" spans="12:15" x14ac:dyDescent="0.3">
      <c r="L547" s="606" t="s">
        <v>1047</v>
      </c>
      <c r="M547" s="606" t="s">
        <v>461</v>
      </c>
      <c r="N547" s="606" t="s">
        <v>461</v>
      </c>
      <c r="O547" s="606" t="s">
        <v>1542</v>
      </c>
    </row>
    <row r="548" spans="12:15" x14ac:dyDescent="0.3">
      <c r="L548" s="606" t="s">
        <v>840</v>
      </c>
      <c r="M548" s="606" t="s">
        <v>461</v>
      </c>
      <c r="N548" s="606" t="s">
        <v>461</v>
      </c>
      <c r="O548" s="606"/>
    </row>
    <row r="549" spans="12:15" x14ac:dyDescent="0.3">
      <c r="L549" s="606" t="s">
        <v>1048</v>
      </c>
      <c r="M549" s="606" t="s">
        <v>461</v>
      </c>
      <c r="N549" s="606" t="s">
        <v>461</v>
      </c>
      <c r="O549" s="606"/>
    </row>
    <row r="550" spans="12:15" x14ac:dyDescent="0.3">
      <c r="L550" s="606" t="s">
        <v>1049</v>
      </c>
      <c r="M550" s="606" t="s">
        <v>461</v>
      </c>
      <c r="N550" s="606" t="s">
        <v>461</v>
      </c>
      <c r="O550" s="606"/>
    </row>
    <row r="551" spans="12:15" x14ac:dyDescent="0.3">
      <c r="L551" s="606" t="s">
        <v>1050</v>
      </c>
      <c r="M551" s="606" t="s">
        <v>461</v>
      </c>
      <c r="N551" s="606" t="s">
        <v>461</v>
      </c>
      <c r="O551" s="606"/>
    </row>
    <row r="552" spans="12:15" x14ac:dyDescent="0.3">
      <c r="L552" s="606" t="s">
        <v>1051</v>
      </c>
      <c r="M552" s="606" t="s">
        <v>461</v>
      </c>
      <c r="N552" s="606" t="s">
        <v>461</v>
      </c>
      <c r="O552" s="606"/>
    </row>
    <row r="553" spans="12:15" x14ac:dyDescent="0.3">
      <c r="L553" s="606" t="s">
        <v>841</v>
      </c>
      <c r="M553" s="606" t="s">
        <v>461</v>
      </c>
      <c r="N553" s="606" t="s">
        <v>461</v>
      </c>
      <c r="O553" s="606"/>
    </row>
    <row r="554" spans="12:15" x14ac:dyDescent="0.3">
      <c r="L554" s="606" t="s">
        <v>1052</v>
      </c>
      <c r="M554" s="606" t="s">
        <v>461</v>
      </c>
      <c r="N554" s="606" t="s">
        <v>461</v>
      </c>
      <c r="O554" s="606"/>
    </row>
    <row r="555" spans="12:15" x14ac:dyDescent="0.3">
      <c r="L555" s="606" t="s">
        <v>1053</v>
      </c>
      <c r="M555" s="606" t="s">
        <v>461</v>
      </c>
      <c r="N555" s="606" t="s">
        <v>461</v>
      </c>
      <c r="O555" s="606"/>
    </row>
  </sheetData>
  <sheetProtection algorithmName="SHA-512" hashValue="oHeLnPHTVBtW404dSlvDK+fdTk2I14css2g/arM0XB6dVE2vbcqmD4hExB7MoJSvOD/SrGNu/ygZoSXtGDCYMQ==" saltValue="OlD3djxPrP1n6WfaHPrMdQ=="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C2CA-D998-42A4-801A-834A786678CE}">
  <dimension ref="A1:G91"/>
  <sheetViews>
    <sheetView workbookViewId="0">
      <selection activeCell="H55" sqref="H55"/>
    </sheetView>
  </sheetViews>
  <sheetFormatPr defaultRowHeight="14.4" x14ac:dyDescent="0.3"/>
  <cols>
    <col min="1" max="1" width="14.21875" customWidth="1"/>
    <col min="2" max="2" width="18.6640625" customWidth="1"/>
    <col min="3" max="3" width="19.21875" customWidth="1"/>
    <col min="4" max="4" width="32.88671875" customWidth="1"/>
    <col min="5" max="5" width="16.6640625" customWidth="1"/>
    <col min="6" max="6" width="19.6640625" customWidth="1"/>
    <col min="7" max="7" width="12.109375" customWidth="1"/>
  </cols>
  <sheetData>
    <row r="1" spans="1:7" x14ac:dyDescent="0.3">
      <c r="B1" t="s">
        <v>1425</v>
      </c>
      <c r="C1" t="s">
        <v>1425</v>
      </c>
    </row>
    <row r="2" spans="1:7" x14ac:dyDescent="0.3">
      <c r="B2" t="s">
        <v>1426</v>
      </c>
      <c r="C2" t="s">
        <v>1430</v>
      </c>
    </row>
    <row r="3" spans="1:7" x14ac:dyDescent="0.3">
      <c r="B3" t="s">
        <v>1427</v>
      </c>
      <c r="C3" t="s">
        <v>1429</v>
      </c>
    </row>
    <row r="4" spans="1:7" x14ac:dyDescent="0.3">
      <c r="A4" t="s">
        <v>1085</v>
      </c>
      <c r="B4">
        <v>0.03</v>
      </c>
      <c r="C4">
        <v>0.05</v>
      </c>
      <c r="D4" t="s">
        <v>1451</v>
      </c>
      <c r="E4" t="s">
        <v>1447</v>
      </c>
      <c r="F4" t="s">
        <v>1085</v>
      </c>
      <c r="G4">
        <v>0.08</v>
      </c>
    </row>
    <row r="5" spans="1:7" x14ac:dyDescent="0.3">
      <c r="A5" t="s">
        <v>801</v>
      </c>
      <c r="B5">
        <v>0.03</v>
      </c>
      <c r="C5">
        <v>0.05</v>
      </c>
      <c r="D5" t="s">
        <v>1451</v>
      </c>
      <c r="E5" t="s">
        <v>1447</v>
      </c>
      <c r="F5" t="s">
        <v>801</v>
      </c>
      <c r="G5" s="180">
        <v>0.08</v>
      </c>
    </row>
    <row r="6" spans="1:7" x14ac:dyDescent="0.3">
      <c r="A6" t="s">
        <v>476</v>
      </c>
      <c r="B6">
        <v>0.03</v>
      </c>
      <c r="C6">
        <v>0.05</v>
      </c>
      <c r="D6" t="s">
        <v>1451</v>
      </c>
      <c r="E6" t="s">
        <v>1447</v>
      </c>
      <c r="F6" t="s">
        <v>476</v>
      </c>
      <c r="G6" s="180">
        <v>0.08</v>
      </c>
    </row>
    <row r="7" spans="1:7" x14ac:dyDescent="0.3">
      <c r="A7" t="s">
        <v>1105</v>
      </c>
      <c r="B7">
        <v>0.03</v>
      </c>
      <c r="C7">
        <v>0.05</v>
      </c>
      <c r="D7" t="s">
        <v>1451</v>
      </c>
      <c r="E7" t="s">
        <v>1447</v>
      </c>
      <c r="F7" t="s">
        <v>1105</v>
      </c>
      <c r="G7" s="180">
        <v>0.08</v>
      </c>
    </row>
    <row r="8" spans="1:7" x14ac:dyDescent="0.3">
      <c r="A8" t="s">
        <v>1150</v>
      </c>
      <c r="B8">
        <v>0.03</v>
      </c>
      <c r="C8">
        <v>0.05</v>
      </c>
      <c r="D8" t="s">
        <v>1451</v>
      </c>
      <c r="E8" t="s">
        <v>1447</v>
      </c>
      <c r="F8" t="s">
        <v>1150</v>
      </c>
      <c r="G8" s="180">
        <v>0.08</v>
      </c>
    </row>
    <row r="9" spans="1:7" x14ac:dyDescent="0.3">
      <c r="A9" t="s">
        <v>1182</v>
      </c>
      <c r="B9">
        <v>0.03</v>
      </c>
      <c r="C9">
        <v>0.05</v>
      </c>
      <c r="D9" t="s">
        <v>1451</v>
      </c>
      <c r="E9" t="s">
        <v>1447</v>
      </c>
      <c r="F9" t="s">
        <v>1182</v>
      </c>
      <c r="G9" s="180">
        <v>0.08</v>
      </c>
    </row>
    <row r="10" spans="1:7" x14ac:dyDescent="0.3">
      <c r="A10" t="s">
        <v>812</v>
      </c>
      <c r="B10">
        <v>0.03</v>
      </c>
      <c r="C10">
        <v>0.05</v>
      </c>
      <c r="D10" t="s">
        <v>1451</v>
      </c>
      <c r="E10" t="s">
        <v>1447</v>
      </c>
      <c r="F10" t="s">
        <v>812</v>
      </c>
      <c r="G10" s="180">
        <v>0.08</v>
      </c>
    </row>
    <row r="11" spans="1:7" x14ac:dyDescent="0.3">
      <c r="A11" t="s">
        <v>1195</v>
      </c>
      <c r="B11">
        <v>0.03</v>
      </c>
      <c r="C11">
        <v>0.05</v>
      </c>
      <c r="D11" t="s">
        <v>1451</v>
      </c>
      <c r="E11" t="s">
        <v>1447</v>
      </c>
      <c r="F11" t="s">
        <v>1195</v>
      </c>
      <c r="G11" s="180">
        <v>0.08</v>
      </c>
    </row>
    <row r="12" spans="1:7" x14ac:dyDescent="0.3">
      <c r="A12" t="s">
        <v>504</v>
      </c>
      <c r="B12">
        <v>0.03</v>
      </c>
      <c r="C12">
        <v>0.05</v>
      </c>
      <c r="D12" t="s">
        <v>1451</v>
      </c>
      <c r="E12" t="s">
        <v>1447</v>
      </c>
      <c r="F12" t="s">
        <v>504</v>
      </c>
      <c r="G12" s="180">
        <v>0.08</v>
      </c>
    </row>
    <row r="13" spans="1:7" x14ac:dyDescent="0.3">
      <c r="A13" t="s">
        <v>395</v>
      </c>
      <c r="B13">
        <v>0.03</v>
      </c>
      <c r="C13">
        <v>0.05</v>
      </c>
      <c r="D13" t="s">
        <v>1451</v>
      </c>
      <c r="E13" t="s">
        <v>1447</v>
      </c>
      <c r="F13" t="s">
        <v>395</v>
      </c>
      <c r="G13" s="180">
        <v>0.08</v>
      </c>
    </row>
    <row r="14" spans="1:7" x14ac:dyDescent="0.3">
      <c r="A14" t="s">
        <v>510</v>
      </c>
      <c r="B14">
        <v>0.03</v>
      </c>
      <c r="C14">
        <v>0.05</v>
      </c>
      <c r="D14" t="s">
        <v>1451</v>
      </c>
      <c r="E14" t="s">
        <v>1447</v>
      </c>
      <c r="F14" t="s">
        <v>510</v>
      </c>
      <c r="G14" s="180">
        <v>0.08</v>
      </c>
    </row>
    <row r="15" spans="1:7" x14ac:dyDescent="0.3">
      <c r="A15" t="s">
        <v>819</v>
      </c>
      <c r="B15">
        <v>0.03</v>
      </c>
      <c r="C15">
        <v>0.05</v>
      </c>
      <c r="D15" t="s">
        <v>1451</v>
      </c>
      <c r="E15" t="s">
        <v>1447</v>
      </c>
      <c r="F15" t="s">
        <v>819</v>
      </c>
      <c r="G15" s="180">
        <v>0.08</v>
      </c>
    </row>
    <row r="16" spans="1:7" x14ac:dyDescent="0.3">
      <c r="A16" t="s">
        <v>1234</v>
      </c>
      <c r="B16">
        <v>0.03</v>
      </c>
      <c r="C16">
        <v>0.05</v>
      </c>
      <c r="D16" t="s">
        <v>1451</v>
      </c>
      <c r="E16" t="s">
        <v>1447</v>
      </c>
      <c r="F16" t="s">
        <v>1234</v>
      </c>
      <c r="G16" s="180">
        <v>0.08</v>
      </c>
    </row>
    <row r="17" spans="1:7" x14ac:dyDescent="0.3">
      <c r="A17" t="s">
        <v>514</v>
      </c>
      <c r="B17">
        <v>0.03</v>
      </c>
      <c r="C17">
        <v>0.05</v>
      </c>
      <c r="D17" t="s">
        <v>1451</v>
      </c>
      <c r="E17" t="s">
        <v>1447</v>
      </c>
      <c r="F17" t="s">
        <v>514</v>
      </c>
      <c r="G17" s="180">
        <v>0.08</v>
      </c>
    </row>
    <row r="18" spans="1:7" x14ac:dyDescent="0.3">
      <c r="A18" t="s">
        <v>1254</v>
      </c>
      <c r="B18">
        <v>0.03</v>
      </c>
      <c r="C18">
        <v>0.05</v>
      </c>
      <c r="D18" t="s">
        <v>1451</v>
      </c>
      <c r="E18" t="s">
        <v>1447</v>
      </c>
      <c r="F18" t="s">
        <v>1254</v>
      </c>
      <c r="G18" s="180">
        <v>0.08</v>
      </c>
    </row>
    <row r="19" spans="1:7" x14ac:dyDescent="0.3">
      <c r="A19" t="s">
        <v>1259</v>
      </c>
      <c r="B19">
        <v>0.03</v>
      </c>
      <c r="C19">
        <v>0.05</v>
      </c>
      <c r="D19" t="s">
        <v>1451</v>
      </c>
      <c r="E19" t="s">
        <v>1447</v>
      </c>
      <c r="F19" t="s">
        <v>1259</v>
      </c>
      <c r="G19" s="180">
        <v>0.08</v>
      </c>
    </row>
    <row r="20" spans="1:7" x14ac:dyDescent="0.3">
      <c r="A20" t="s">
        <v>1269</v>
      </c>
      <c r="B20">
        <v>0.03</v>
      </c>
      <c r="C20">
        <v>0.05</v>
      </c>
      <c r="D20" t="s">
        <v>1451</v>
      </c>
      <c r="E20" t="s">
        <v>1447</v>
      </c>
      <c r="F20" t="s">
        <v>1269</v>
      </c>
      <c r="G20" s="180">
        <v>0.08</v>
      </c>
    </row>
    <row r="21" spans="1:7" x14ac:dyDescent="0.3">
      <c r="A21" t="s">
        <v>1285</v>
      </c>
      <c r="B21">
        <v>0.03</v>
      </c>
      <c r="C21">
        <v>0.05</v>
      </c>
      <c r="D21" t="s">
        <v>1451</v>
      </c>
      <c r="E21" t="s">
        <v>1447</v>
      </c>
      <c r="F21" t="s">
        <v>1285</v>
      </c>
      <c r="G21" s="180">
        <v>0.08</v>
      </c>
    </row>
    <row r="22" spans="1:7" x14ac:dyDescent="0.3">
      <c r="A22" t="s">
        <v>438</v>
      </c>
      <c r="B22">
        <v>0.03</v>
      </c>
      <c r="C22">
        <v>0.05</v>
      </c>
      <c r="D22" t="s">
        <v>1451</v>
      </c>
      <c r="E22" t="s">
        <v>1447</v>
      </c>
      <c r="F22" t="s">
        <v>438</v>
      </c>
      <c r="G22" s="180">
        <v>0.08</v>
      </c>
    </row>
    <row r="23" spans="1:7" x14ac:dyDescent="0.3">
      <c r="A23" t="s">
        <v>1329</v>
      </c>
      <c r="B23">
        <v>0.03</v>
      </c>
      <c r="C23">
        <v>0.05</v>
      </c>
      <c r="D23" t="s">
        <v>1451</v>
      </c>
      <c r="E23" t="s">
        <v>1447</v>
      </c>
      <c r="F23" t="s">
        <v>1329</v>
      </c>
      <c r="G23" s="180">
        <v>0.08</v>
      </c>
    </row>
    <row r="24" spans="1:7" x14ac:dyDescent="0.3">
      <c r="A24" t="s">
        <v>528</v>
      </c>
      <c r="B24">
        <v>0.03</v>
      </c>
      <c r="C24">
        <v>0.05</v>
      </c>
      <c r="D24" t="s">
        <v>1451</v>
      </c>
      <c r="E24" t="s">
        <v>1447</v>
      </c>
      <c r="F24" t="s">
        <v>528</v>
      </c>
      <c r="G24" s="180">
        <v>0.08</v>
      </c>
    </row>
    <row r="25" spans="1:7" x14ac:dyDescent="0.3">
      <c r="A25" t="s">
        <v>536</v>
      </c>
      <c r="B25">
        <v>0.03</v>
      </c>
      <c r="C25">
        <v>0.05</v>
      </c>
      <c r="D25" t="s">
        <v>1451</v>
      </c>
      <c r="E25" t="s">
        <v>1447</v>
      </c>
      <c r="F25" t="s">
        <v>536</v>
      </c>
      <c r="G25" s="180">
        <v>0.08</v>
      </c>
    </row>
    <row r="26" spans="1:7" x14ac:dyDescent="0.3">
      <c r="A26" t="s">
        <v>539</v>
      </c>
      <c r="B26">
        <v>0.03</v>
      </c>
      <c r="C26">
        <v>0.05</v>
      </c>
      <c r="D26" t="s">
        <v>1451</v>
      </c>
      <c r="E26" t="s">
        <v>1447</v>
      </c>
      <c r="F26" t="s">
        <v>539</v>
      </c>
      <c r="G26" s="180">
        <v>0.08</v>
      </c>
    </row>
    <row r="27" spans="1:7" x14ac:dyDescent="0.3">
      <c r="A27" t="s">
        <v>1378</v>
      </c>
      <c r="B27">
        <v>0.03</v>
      </c>
      <c r="C27">
        <v>0.05</v>
      </c>
      <c r="D27" t="s">
        <v>1451</v>
      </c>
      <c r="E27" t="s">
        <v>1447</v>
      </c>
      <c r="F27" t="s">
        <v>1378</v>
      </c>
      <c r="G27" s="180">
        <v>0.08</v>
      </c>
    </row>
    <row r="28" spans="1:7" x14ac:dyDescent="0.3">
      <c r="A28" t="s">
        <v>542</v>
      </c>
      <c r="B28">
        <v>0.03</v>
      </c>
      <c r="C28">
        <v>0.05</v>
      </c>
      <c r="D28" t="s">
        <v>1451</v>
      </c>
      <c r="E28" t="s">
        <v>1447</v>
      </c>
      <c r="F28" t="s">
        <v>542</v>
      </c>
      <c r="G28" s="180">
        <v>0.08</v>
      </c>
    </row>
    <row r="29" spans="1:7" x14ac:dyDescent="0.3">
      <c r="A29" t="s">
        <v>1396</v>
      </c>
      <c r="B29">
        <v>0.03</v>
      </c>
      <c r="C29">
        <v>0.05</v>
      </c>
      <c r="D29" t="s">
        <v>1451</v>
      </c>
      <c r="E29" t="s">
        <v>1447</v>
      </c>
      <c r="F29" t="s">
        <v>1396</v>
      </c>
      <c r="G29" s="180">
        <v>0.08</v>
      </c>
    </row>
    <row r="30" spans="1:7" x14ac:dyDescent="0.3">
      <c r="A30" t="s">
        <v>1404</v>
      </c>
      <c r="B30">
        <v>0.03</v>
      </c>
      <c r="C30">
        <v>0.05</v>
      </c>
      <c r="D30" t="s">
        <v>1451</v>
      </c>
      <c r="E30" t="s">
        <v>1447</v>
      </c>
      <c r="F30" t="s">
        <v>1404</v>
      </c>
      <c r="G30" s="180">
        <v>0.08</v>
      </c>
    </row>
    <row r="31" spans="1:7" x14ac:dyDescent="0.3">
      <c r="A31" t="s">
        <v>1407</v>
      </c>
      <c r="B31">
        <v>0.03</v>
      </c>
      <c r="C31">
        <v>0.05</v>
      </c>
      <c r="D31" t="s">
        <v>1451</v>
      </c>
      <c r="E31" t="s">
        <v>1447</v>
      </c>
      <c r="F31" t="s">
        <v>1407</v>
      </c>
      <c r="G31" s="180">
        <v>0.08</v>
      </c>
    </row>
    <row r="32" spans="1:7" x14ac:dyDescent="0.3">
      <c r="A32" t="s">
        <v>1002</v>
      </c>
      <c r="B32">
        <v>0.03</v>
      </c>
      <c r="C32">
        <v>0.05</v>
      </c>
      <c r="D32" t="s">
        <v>1451</v>
      </c>
      <c r="E32" t="s">
        <v>1447</v>
      </c>
      <c r="F32" t="s">
        <v>1002</v>
      </c>
      <c r="G32" s="180">
        <v>0.08</v>
      </c>
    </row>
    <row r="33" spans="1:7" x14ac:dyDescent="0.3">
      <c r="A33" t="s">
        <v>397</v>
      </c>
      <c r="B33">
        <v>0.03</v>
      </c>
      <c r="C33">
        <v>0.05</v>
      </c>
      <c r="D33" t="s">
        <v>1451</v>
      </c>
      <c r="E33" t="s">
        <v>1447</v>
      </c>
      <c r="F33" t="s">
        <v>397</v>
      </c>
      <c r="G33" s="180">
        <v>0.08</v>
      </c>
    </row>
    <row r="34" spans="1:7" x14ac:dyDescent="0.3">
      <c r="A34" t="s">
        <v>1025</v>
      </c>
      <c r="B34">
        <v>0.03</v>
      </c>
      <c r="C34">
        <v>0.05</v>
      </c>
      <c r="D34" t="s">
        <v>1451</v>
      </c>
      <c r="E34" t="s">
        <v>1447</v>
      </c>
      <c r="F34" t="s">
        <v>1025</v>
      </c>
      <c r="G34" s="180">
        <v>0.08</v>
      </c>
    </row>
    <row r="35" spans="1:7" x14ac:dyDescent="0.3">
      <c r="A35" t="s">
        <v>1042</v>
      </c>
      <c r="B35">
        <v>0.03</v>
      </c>
      <c r="C35">
        <v>0.05</v>
      </c>
      <c r="D35" t="s">
        <v>1451</v>
      </c>
      <c r="E35" t="s">
        <v>1447</v>
      </c>
      <c r="F35" s="558" t="s">
        <v>1042</v>
      </c>
      <c r="G35" s="180">
        <v>0.08</v>
      </c>
    </row>
    <row r="36" spans="1:7" x14ac:dyDescent="0.3">
      <c r="A36" t="s">
        <v>1080</v>
      </c>
      <c r="B36" t="s">
        <v>461</v>
      </c>
      <c r="C36">
        <v>0.05</v>
      </c>
      <c r="D36" t="s">
        <v>1446</v>
      </c>
      <c r="F36" t="s">
        <v>1080</v>
      </c>
      <c r="G36">
        <v>7.0000000000000007E-2</v>
      </c>
    </row>
    <row r="37" spans="1:7" x14ac:dyDescent="0.3">
      <c r="A37" t="s">
        <v>1120</v>
      </c>
      <c r="B37">
        <v>0.15</v>
      </c>
      <c r="C37" t="s">
        <v>461</v>
      </c>
      <c r="D37" t="s">
        <v>1446</v>
      </c>
      <c r="F37" t="s">
        <v>1120</v>
      </c>
      <c r="G37" s="180">
        <v>7.0000000000000007E-2</v>
      </c>
    </row>
    <row r="38" spans="1:7" x14ac:dyDescent="0.3">
      <c r="A38" t="s">
        <v>1147</v>
      </c>
      <c r="B38">
        <v>0.05</v>
      </c>
      <c r="C38" t="s">
        <v>461</v>
      </c>
      <c r="D38" t="s">
        <v>1446</v>
      </c>
      <c r="F38" t="s">
        <v>1147</v>
      </c>
      <c r="G38" s="180">
        <v>7.0000000000000007E-2</v>
      </c>
    </row>
    <row r="39" spans="1:7" x14ac:dyDescent="0.3">
      <c r="A39" t="s">
        <v>1163</v>
      </c>
      <c r="B39">
        <v>0.03</v>
      </c>
      <c r="C39" t="s">
        <v>461</v>
      </c>
      <c r="D39" t="s">
        <v>1446</v>
      </c>
      <c r="F39" t="s">
        <v>1163</v>
      </c>
      <c r="G39" s="180">
        <v>7.0000000000000007E-2</v>
      </c>
    </row>
    <row r="40" spans="1:7" x14ac:dyDescent="0.3">
      <c r="A40" t="s">
        <v>1174</v>
      </c>
      <c r="B40">
        <v>0.03</v>
      </c>
      <c r="C40" t="s">
        <v>461</v>
      </c>
      <c r="D40" t="s">
        <v>1446</v>
      </c>
      <c r="F40" t="s">
        <v>1174</v>
      </c>
      <c r="G40" s="180">
        <v>7.0000000000000007E-2</v>
      </c>
    </row>
    <row r="41" spans="1:7" x14ac:dyDescent="0.3">
      <c r="A41" t="s">
        <v>1210</v>
      </c>
      <c r="B41">
        <v>0.03</v>
      </c>
      <c r="C41" t="s">
        <v>461</v>
      </c>
      <c r="D41" t="s">
        <v>1446</v>
      </c>
      <c r="F41" t="s">
        <v>1210</v>
      </c>
      <c r="G41" s="180">
        <v>7.0000000000000007E-2</v>
      </c>
    </row>
    <row r="42" spans="1:7" x14ac:dyDescent="0.3">
      <c r="A42" t="s">
        <v>1216</v>
      </c>
      <c r="B42">
        <v>0.03</v>
      </c>
      <c r="C42" t="s">
        <v>461</v>
      </c>
      <c r="D42" t="s">
        <v>1446</v>
      </c>
      <c r="F42" t="s">
        <v>1216</v>
      </c>
      <c r="G42" s="180">
        <v>7.0000000000000007E-2</v>
      </c>
    </row>
    <row r="43" spans="1:7" x14ac:dyDescent="0.3">
      <c r="A43" t="s">
        <v>396</v>
      </c>
      <c r="B43" t="s">
        <v>461</v>
      </c>
      <c r="C43" t="s">
        <v>461</v>
      </c>
      <c r="D43" t="s">
        <v>1446</v>
      </c>
      <c r="F43" t="s">
        <v>396</v>
      </c>
      <c r="G43" s="180">
        <v>7.0000000000000007E-2</v>
      </c>
    </row>
    <row r="44" spans="1:7" x14ac:dyDescent="0.3">
      <c r="A44" t="s">
        <v>1239</v>
      </c>
      <c r="B44" t="s">
        <v>461</v>
      </c>
      <c r="C44" t="s">
        <v>461</v>
      </c>
      <c r="D44" t="s">
        <v>1446</v>
      </c>
      <c r="F44" t="s">
        <v>1239</v>
      </c>
      <c r="G44" s="180">
        <v>7.0000000000000007E-2</v>
      </c>
    </row>
    <row r="45" spans="1:7" x14ac:dyDescent="0.3">
      <c r="A45" t="s">
        <v>1264</v>
      </c>
      <c r="B45" t="s">
        <v>461</v>
      </c>
      <c r="C45" t="s">
        <v>461</v>
      </c>
      <c r="D45" t="s">
        <v>1446</v>
      </c>
      <c r="F45" t="s">
        <v>1264</v>
      </c>
      <c r="G45" s="180">
        <v>7.0000000000000007E-2</v>
      </c>
    </row>
    <row r="46" spans="1:7" x14ac:dyDescent="0.3">
      <c r="A46" t="s">
        <v>1276</v>
      </c>
      <c r="B46">
        <v>0.03</v>
      </c>
      <c r="C46">
        <v>0.03</v>
      </c>
      <c r="D46" t="s">
        <v>1446</v>
      </c>
      <c r="F46" t="s">
        <v>1276</v>
      </c>
      <c r="G46" s="180">
        <v>7.0000000000000007E-2</v>
      </c>
    </row>
    <row r="47" spans="1:7" x14ac:dyDescent="0.3">
      <c r="A47" t="s">
        <v>1280</v>
      </c>
      <c r="B47" t="s">
        <v>461</v>
      </c>
      <c r="C47" t="s">
        <v>461</v>
      </c>
      <c r="D47" t="s">
        <v>1446</v>
      </c>
      <c r="F47" t="s">
        <v>1280</v>
      </c>
      <c r="G47" s="180">
        <v>7.0000000000000007E-2</v>
      </c>
    </row>
    <row r="48" spans="1:7" x14ac:dyDescent="0.3">
      <c r="A48" t="s">
        <v>1290</v>
      </c>
      <c r="B48">
        <v>0.03</v>
      </c>
      <c r="C48" t="s">
        <v>461</v>
      </c>
      <c r="D48" t="s">
        <v>1446</v>
      </c>
      <c r="F48" t="s">
        <v>1290</v>
      </c>
      <c r="G48" s="180">
        <v>7.0000000000000007E-2</v>
      </c>
    </row>
    <row r="49" spans="1:7" x14ac:dyDescent="0.3">
      <c r="A49" t="s">
        <v>1315</v>
      </c>
      <c r="B49">
        <v>0.01</v>
      </c>
      <c r="C49" t="s">
        <v>461</v>
      </c>
      <c r="D49" t="s">
        <v>1446</v>
      </c>
      <c r="F49" t="s">
        <v>1315</v>
      </c>
      <c r="G49" s="180">
        <v>7.0000000000000007E-2</v>
      </c>
    </row>
    <row r="50" spans="1:7" x14ac:dyDescent="0.3">
      <c r="A50" t="s">
        <v>1319</v>
      </c>
      <c r="B50" t="s">
        <v>461</v>
      </c>
      <c r="C50" t="s">
        <v>461</v>
      </c>
      <c r="D50" t="s">
        <v>1446</v>
      </c>
      <c r="F50" t="s">
        <v>1319</v>
      </c>
      <c r="G50" s="180">
        <v>7.0000000000000007E-2</v>
      </c>
    </row>
    <row r="51" spans="1:7" x14ac:dyDescent="0.3">
      <c r="A51" t="s">
        <v>1332</v>
      </c>
      <c r="B51" t="s">
        <v>461</v>
      </c>
      <c r="C51" t="s">
        <v>461</v>
      </c>
      <c r="D51" t="s">
        <v>1446</v>
      </c>
      <c r="F51" t="s">
        <v>1332</v>
      </c>
      <c r="G51" s="180">
        <v>7.0000000000000007E-2</v>
      </c>
    </row>
    <row r="52" spans="1:7" x14ac:dyDescent="0.3">
      <c r="A52" t="s">
        <v>1357</v>
      </c>
      <c r="B52" t="s">
        <v>461</v>
      </c>
      <c r="C52" t="s">
        <v>461</v>
      </c>
      <c r="D52" t="s">
        <v>1446</v>
      </c>
      <c r="F52" t="s">
        <v>1357</v>
      </c>
      <c r="G52" s="180">
        <v>7.0000000000000007E-2</v>
      </c>
    </row>
    <row r="53" spans="1:7" x14ac:dyDescent="0.3">
      <c r="A53" t="s">
        <v>1401</v>
      </c>
      <c r="B53">
        <v>0.03</v>
      </c>
      <c r="C53" t="s">
        <v>461</v>
      </c>
      <c r="D53" t="s">
        <v>1446</v>
      </c>
      <c r="F53" t="s">
        <v>1401</v>
      </c>
      <c r="G53" s="180">
        <v>7.0000000000000007E-2</v>
      </c>
    </row>
    <row r="54" spans="1:7" x14ac:dyDescent="0.3">
      <c r="A54" t="s">
        <v>988</v>
      </c>
      <c r="B54" t="s">
        <v>461</v>
      </c>
      <c r="C54" t="s">
        <v>461</v>
      </c>
      <c r="D54" t="s">
        <v>1446</v>
      </c>
      <c r="F54" s="558" t="s">
        <v>988</v>
      </c>
      <c r="G54" s="180">
        <v>7.0000000000000007E-2</v>
      </c>
    </row>
    <row r="55" spans="1:7" x14ac:dyDescent="0.3">
      <c r="A55" t="s">
        <v>480</v>
      </c>
      <c r="B55" t="s">
        <v>461</v>
      </c>
      <c r="C55" t="s">
        <v>461</v>
      </c>
      <c r="D55" t="s">
        <v>1542</v>
      </c>
      <c r="F55" t="s">
        <v>480</v>
      </c>
      <c r="G55">
        <v>0.09</v>
      </c>
    </row>
    <row r="56" spans="1:7" x14ac:dyDescent="0.3">
      <c r="A56" t="s">
        <v>1158</v>
      </c>
      <c r="B56" t="s">
        <v>461</v>
      </c>
      <c r="C56" t="s">
        <v>461</v>
      </c>
      <c r="D56" t="s">
        <v>1542</v>
      </c>
      <c r="F56" t="s">
        <v>1158</v>
      </c>
      <c r="G56" s="180">
        <v>0.09</v>
      </c>
    </row>
    <row r="57" spans="1:7" x14ac:dyDescent="0.3">
      <c r="A57" t="s">
        <v>811</v>
      </c>
      <c r="B57" t="s">
        <v>461</v>
      </c>
      <c r="C57" t="s">
        <v>461</v>
      </c>
      <c r="D57" t="s">
        <v>1542</v>
      </c>
      <c r="F57" t="s">
        <v>811</v>
      </c>
      <c r="G57" s="180">
        <v>0.09</v>
      </c>
    </row>
    <row r="58" spans="1:7" x14ac:dyDescent="0.3">
      <c r="A58" t="s">
        <v>497</v>
      </c>
      <c r="B58" t="s">
        <v>461</v>
      </c>
      <c r="C58" t="s">
        <v>461</v>
      </c>
      <c r="D58" t="s">
        <v>1542</v>
      </c>
      <c r="F58" t="s">
        <v>497</v>
      </c>
      <c r="G58" s="180">
        <v>0.09</v>
      </c>
    </row>
    <row r="59" spans="1:7" x14ac:dyDescent="0.3">
      <c r="A59" t="s">
        <v>1196</v>
      </c>
      <c r="B59" t="s">
        <v>461</v>
      </c>
      <c r="C59" t="s">
        <v>461</v>
      </c>
      <c r="D59" t="s">
        <v>1542</v>
      </c>
      <c r="F59" t="s">
        <v>1196</v>
      </c>
      <c r="G59" s="180">
        <v>0.09</v>
      </c>
    </row>
    <row r="60" spans="1:7" x14ac:dyDescent="0.3">
      <c r="A60" t="s">
        <v>1199</v>
      </c>
      <c r="B60" t="s">
        <v>461</v>
      </c>
      <c r="C60" t="s">
        <v>461</v>
      </c>
      <c r="D60" t="s">
        <v>1542</v>
      </c>
      <c r="F60" t="s">
        <v>1199</v>
      </c>
      <c r="G60" s="180">
        <v>0.09</v>
      </c>
    </row>
    <row r="61" spans="1:7" x14ac:dyDescent="0.3">
      <c r="A61" t="s">
        <v>1201</v>
      </c>
      <c r="B61" t="s">
        <v>461</v>
      </c>
      <c r="C61" t="s">
        <v>461</v>
      </c>
      <c r="D61" t="s">
        <v>1542</v>
      </c>
      <c r="F61" t="s">
        <v>1201</v>
      </c>
      <c r="G61" s="180">
        <v>0.09</v>
      </c>
    </row>
    <row r="62" spans="1:7" x14ac:dyDescent="0.3">
      <c r="A62" t="s">
        <v>1231</v>
      </c>
      <c r="B62" t="s">
        <v>461</v>
      </c>
      <c r="C62" t="s">
        <v>461</v>
      </c>
      <c r="D62" t="s">
        <v>1542</v>
      </c>
      <c r="F62" t="s">
        <v>1231</v>
      </c>
      <c r="G62" s="180">
        <v>0.09</v>
      </c>
    </row>
    <row r="63" spans="1:7" x14ac:dyDescent="0.3">
      <c r="A63" t="s">
        <v>1253</v>
      </c>
      <c r="B63" t="s">
        <v>461</v>
      </c>
      <c r="C63" t="s">
        <v>461</v>
      </c>
      <c r="D63" t="s">
        <v>1542</v>
      </c>
      <c r="F63" t="s">
        <v>1253</v>
      </c>
      <c r="G63" s="180">
        <v>0.09</v>
      </c>
    </row>
    <row r="64" spans="1:7" x14ac:dyDescent="0.3">
      <c r="A64" s="566" t="s">
        <v>437</v>
      </c>
      <c r="B64" s="558" t="s">
        <v>461</v>
      </c>
      <c r="C64" s="558" t="s">
        <v>461</v>
      </c>
      <c r="D64" s="558" t="s">
        <v>1542</v>
      </c>
      <c r="E64" s="558"/>
      <c r="F64" s="558" t="s">
        <v>437</v>
      </c>
      <c r="G64" s="180">
        <v>0.09</v>
      </c>
    </row>
    <row r="65" spans="1:7" x14ac:dyDescent="0.3">
      <c r="A65" t="s">
        <v>439</v>
      </c>
      <c r="B65" t="s">
        <v>461</v>
      </c>
      <c r="C65" t="s">
        <v>461</v>
      </c>
      <c r="D65" t="s">
        <v>1542</v>
      </c>
      <c r="F65" t="s">
        <v>439</v>
      </c>
      <c r="G65" s="180">
        <v>0.09</v>
      </c>
    </row>
    <row r="66" spans="1:7" x14ac:dyDescent="0.3">
      <c r="A66" t="s">
        <v>526</v>
      </c>
      <c r="B66" t="s">
        <v>461</v>
      </c>
      <c r="C66" t="s">
        <v>461</v>
      </c>
      <c r="D66" t="s">
        <v>1542</v>
      </c>
      <c r="F66" t="s">
        <v>526</v>
      </c>
      <c r="G66" s="180">
        <v>0.09</v>
      </c>
    </row>
    <row r="67" spans="1:7" x14ac:dyDescent="0.3">
      <c r="A67" t="s">
        <v>1356</v>
      </c>
      <c r="B67" t="s">
        <v>461</v>
      </c>
      <c r="C67" t="s">
        <v>461</v>
      </c>
      <c r="D67" t="s">
        <v>1542</v>
      </c>
      <c r="F67" t="s">
        <v>1356</v>
      </c>
      <c r="G67" s="180">
        <v>0.09</v>
      </c>
    </row>
    <row r="68" spans="1:7" x14ac:dyDescent="0.3">
      <c r="A68" t="s">
        <v>544</v>
      </c>
      <c r="B68" t="s">
        <v>461</v>
      </c>
      <c r="C68" t="s">
        <v>461</v>
      </c>
      <c r="D68" t="s">
        <v>1542</v>
      </c>
      <c r="F68" t="s">
        <v>544</v>
      </c>
      <c r="G68" s="180">
        <v>0.09</v>
      </c>
    </row>
    <row r="69" spans="1:7" s="180" customFormat="1" x14ac:dyDescent="0.3">
      <c r="A69" s="566" t="s">
        <v>986</v>
      </c>
      <c r="B69" t="s">
        <v>461</v>
      </c>
      <c r="C69" t="s">
        <v>461</v>
      </c>
      <c r="D69" s="180" t="s">
        <v>1542</v>
      </c>
      <c r="F69" t="s">
        <v>986</v>
      </c>
      <c r="G69" s="180">
        <v>0.09</v>
      </c>
    </row>
    <row r="70" spans="1:7" x14ac:dyDescent="0.3">
      <c r="A70" t="s">
        <v>1023</v>
      </c>
      <c r="B70" t="s">
        <v>461</v>
      </c>
      <c r="C70" t="s">
        <v>461</v>
      </c>
      <c r="D70" t="s">
        <v>1542</v>
      </c>
      <c r="F70" t="s">
        <v>1023</v>
      </c>
      <c r="G70" s="180">
        <v>0.09</v>
      </c>
    </row>
    <row r="71" spans="1:7" x14ac:dyDescent="0.3">
      <c r="A71" t="s">
        <v>1029</v>
      </c>
      <c r="B71" t="s">
        <v>461</v>
      </c>
      <c r="C71" t="s">
        <v>461</v>
      </c>
      <c r="D71" t="s">
        <v>1542</v>
      </c>
      <c r="F71" t="s">
        <v>1029</v>
      </c>
      <c r="G71" s="180">
        <v>0.09</v>
      </c>
    </row>
    <row r="72" spans="1:7" x14ac:dyDescent="0.3">
      <c r="A72" t="s">
        <v>1044</v>
      </c>
      <c r="B72" t="s">
        <v>461</v>
      </c>
      <c r="C72" t="s">
        <v>461</v>
      </c>
      <c r="D72" t="s">
        <v>1542</v>
      </c>
      <c r="F72" t="s">
        <v>1044</v>
      </c>
      <c r="G72" s="180">
        <v>0.09</v>
      </c>
    </row>
    <row r="73" spans="1:7" x14ac:dyDescent="0.3">
      <c r="A73" t="s">
        <v>1047</v>
      </c>
      <c r="B73" t="s">
        <v>461</v>
      </c>
      <c r="C73" t="s">
        <v>461</v>
      </c>
      <c r="D73" t="s">
        <v>1542</v>
      </c>
      <c r="F73" t="s">
        <v>1047</v>
      </c>
      <c r="G73" s="180">
        <v>0.09</v>
      </c>
    </row>
    <row r="89" spans="6:6" x14ac:dyDescent="0.3">
      <c r="F89" t="s">
        <v>349</v>
      </c>
    </row>
    <row r="90" spans="6:6" x14ac:dyDescent="0.3">
      <c r="F90" t="s">
        <v>349</v>
      </c>
    </row>
    <row r="91" spans="6:6" x14ac:dyDescent="0.3">
      <c r="F91" t="s">
        <v>349</v>
      </c>
    </row>
  </sheetData>
  <sortState xmlns:xlrd2="http://schemas.microsoft.com/office/spreadsheetml/2017/richdata2" ref="F55:F88">
    <sortCondition ref="F55:F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Import</vt:lpstr>
      <vt:lpstr>Performance Indicator FBA%</vt:lpstr>
      <vt:lpstr>RSS</vt:lpstr>
      <vt:lpstr>Electric trans</vt:lpstr>
      <vt:lpstr>Electric Policy Info</vt:lpstr>
      <vt:lpstr>Tax Reval Rate</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2023-12-01T18:32:04Z</cp:lastPrinted>
  <dcterms:created xsi:type="dcterms:W3CDTF">2011-03-11T21:05:05Z</dcterms:created>
  <dcterms:modified xsi:type="dcterms:W3CDTF">2024-10-16T22:31:49Z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